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5.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drawings/drawing4.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E:\宁\2.综合\2.司法\2021-1-0472盈地大厦\"/>
    </mc:Choice>
  </mc:AlternateContent>
  <xr:revisionPtr revIDLastSave="0" documentId="13_ncr:1_{E56D17F7-E003-45D7-98FC-152505A87D8F}" xr6:coauthVersionLast="45" xr6:coauthVersionMax="45" xr10:uidLastSave="{00000000-0000-0000-0000-000000000000}"/>
  <bookViews>
    <workbookView xWindow="0" yWindow="0" windowWidth="21600" windowHeight="12900" tabRatio="899" firstSheet="40" activeTab="4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一览表" sheetId="78" state="hidden" r:id="rId18"/>
    <sheet name="结果表" sheetId="9" state="hidden" r:id="rId19"/>
    <sheet name="成本法" sheetId="68" state="hidden" r:id="rId20"/>
    <sheet name="成本法 (元)" sheetId="69" state="hidden" r:id="rId21"/>
    <sheet name="假设开发法" sheetId="12" state="hidden" r:id="rId22"/>
    <sheet name="收益法 (元)" sheetId="67" state="hidden" r:id="rId23"/>
    <sheet name="收益法（汇总）" sheetId="70" state="hidden" r:id="rId24"/>
    <sheet name="酒店收入计算" sheetId="66" state="hidden" r:id="rId25"/>
    <sheet name="比较法-住宅" sheetId="21" state="hidden" r:id="rId26"/>
    <sheet name="比较法-工业" sheetId="37" state="hidden" r:id="rId27"/>
    <sheet name="比较法-仓储" sheetId="36" state="hidden" r:id="rId28"/>
    <sheet name="土地比较法-住宅、综合" sheetId="39" state="hidden" r:id="rId29"/>
    <sheet name="土地比较法-工业" sheetId="40" state="hidden" r:id="rId30"/>
    <sheet name="基准地价（汇总）" sheetId="76" state="hidden" r:id="rId31"/>
    <sheet name="基准地价修正-办公" sheetId="43" state="hidden" r:id="rId32"/>
    <sheet name="修正" sheetId="45" state="hidden" r:id="rId33"/>
    <sheet name="容积率修正" sheetId="46" state="hidden" r:id="rId34"/>
    <sheet name="基准地价修正-商业" sheetId="77" state="hidden" r:id="rId35"/>
    <sheet name="收益法" sheetId="15" state="hidden" r:id="rId36"/>
    <sheet name="比较法-商业" sheetId="80" state="hidden" r:id="rId37"/>
    <sheet name="比较法-大宗交易" sheetId="81" r:id="rId38"/>
    <sheet name="比较法-商业租金" sheetId="33" r:id="rId39"/>
    <sheet name="比较法-地下商业租金" sheetId="85" r:id="rId40"/>
    <sheet name="比较法租金-办公" sheetId="34" r:id="rId41"/>
    <sheet name="比较法-车位租金" sheetId="35" r:id="rId42"/>
    <sheet name="面积表及结果" sheetId="83" r:id="rId43"/>
    <sheet name="案例-租金" sheetId="79" r:id="rId44"/>
    <sheet name="案例-销售" sheetId="82" r:id="rId45"/>
    <sheet name="Sheet1" sheetId="86" r:id="rId46"/>
    <sheet name="市场走势" sheetId="84" r:id="rId47"/>
    <sheet name="Sheet2" sheetId="87" r:id="rId48"/>
    <sheet name="地价" sheetId="71" state="hidden" r:id="rId49"/>
    <sheet name="典型户型修正" sheetId="31" state="hidden" r:id="rId50"/>
    <sheet name="成本法（废）" sheetId="11" state="hidden" r:id="rId51"/>
    <sheet name="区片价" sheetId="44" state="hidden" r:id="rId52"/>
    <sheet name="因素修正幅度" sheetId="65" state="hidden" r:id="rId53"/>
    <sheet name="存贷款利率" sheetId="73" state="hidden" r:id="rId54"/>
    <sheet name="区片价（范围）" sheetId="75" state="hidden" r:id="rId55"/>
  </sheets>
  <externalReferences>
    <externalReference r:id="rId56"/>
    <externalReference r:id="rId57"/>
  </externalReferences>
  <definedNames>
    <definedName name="_xlnm._FilterDatabase" localSheetId="43" hidden="1">'案例-租金'!$A$1:$R$130</definedName>
    <definedName name="_xlnm._FilterDatabase" localSheetId="27" hidden="1">'比较法-仓储'!$A$1:$L$37</definedName>
    <definedName name="_xlnm._FilterDatabase" localSheetId="41" hidden="1">'比较法-车位租金'!$A$1:$L$39</definedName>
    <definedName name="_xlnm._FilterDatabase" localSheetId="37" hidden="1">'比较法-大宗交易'!$A$1:$L$50</definedName>
    <definedName name="_xlnm._FilterDatabase" localSheetId="39" hidden="1">'比较法-地下商业租金'!$A$1:$L$49</definedName>
    <definedName name="_xlnm._FilterDatabase" localSheetId="26" hidden="1">'比较法-工业'!$A$1:$L$43</definedName>
    <definedName name="_xlnm._FilterDatabase" localSheetId="36" hidden="1">'比较法-商业'!$A$1:$L$49</definedName>
    <definedName name="_xlnm._FilterDatabase" localSheetId="38" hidden="1">'比较法-商业租金'!$A$1:$L$49</definedName>
    <definedName name="_xlnm._FilterDatabase" localSheetId="25" hidden="1">'比较法-住宅'!$A$1:$L$49</definedName>
    <definedName name="_xlnm._FilterDatabase" localSheetId="40" hidden="1">'比较法租金-办公'!$A$1:$L$50</definedName>
    <definedName name="_xlnm._FilterDatabase" localSheetId="11" hidden="1">'数据-基础表'!$A$12:$AT$587</definedName>
    <definedName name="_xlnm._FilterDatabase" localSheetId="29" hidden="1">'土地比较法-工业'!$A$1:$L$43</definedName>
    <definedName name="_xlnm._FilterDatabase" localSheetId="28" hidden="1">'土地比较法-住宅、综合'!$A$1:$L$48</definedName>
    <definedName name="_xlnm._FilterDatabase" localSheetId="10" hidden="1">项目基本情况!$A$42:$N$42</definedName>
    <definedName name="_xlnm.Print_Area" localSheetId="27">'比较法-仓储'!$A$1:$K$42,'比较法-仓储'!$A$45:$M$96</definedName>
    <definedName name="_xlnm.Print_Area" localSheetId="41">'比较法-车位租金'!$A$1:$K$44,'比较法-车位租金'!$A$47:$M$102</definedName>
    <definedName name="_xlnm.Print_Area" localSheetId="37">'比较法-大宗交易'!$A$1:$K$55,'比较法-大宗交易'!$A$58:$M$132</definedName>
    <definedName name="_xlnm.Print_Area" localSheetId="39">'比较法-地下商业租金'!$A$1:$K$54,'比较法-地下商业租金'!$A$57:$M$131</definedName>
    <definedName name="_xlnm.Print_Area" localSheetId="26">'比较法-工业'!$A$1:$K$48,'比较法-工业'!$A$51:$M$113</definedName>
    <definedName name="_xlnm.Print_Area" localSheetId="36">'比较法-商业'!$A$1:$K$54,'比较法-商业'!$A$57:$M$131</definedName>
    <definedName name="_xlnm.Print_Area" localSheetId="38">'比较法-商业租金'!$A$1:$K$54,'比较法-商业租金'!$A$57:$M$131</definedName>
    <definedName name="_xlnm.Print_Area" localSheetId="25">'比较法-住宅'!$A$1:$K$54,'比较法-住宅'!$A$57:$M$131</definedName>
    <definedName name="_xlnm.Print_Area" localSheetId="40">'比较法租金-办公'!$A$1:$K$55,'比较法租金-办公'!$A$58:$M$132</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0">'基准地价（汇总）'!$A$1:$E$13</definedName>
    <definedName name="_xlnm.Print_Area" localSheetId="31">'基准地价修正-办公'!$A$1:$J$41,'基准地价修正-办公'!$A$45:$H$88,'基准地价修正-办公'!$R$1:$V$16</definedName>
    <definedName name="_xlnm.Print_Area" localSheetId="34">'基准地价修正-商业'!$A$1:$J$41,'基准地价修正-商业'!$A$45:$H$88,'基准地价修正-商业'!$R$1:$V$16</definedName>
    <definedName name="_xlnm.Print_Area" localSheetId="21">假设开发法!$A$1:$K$32</definedName>
    <definedName name="_xlnm.Print_Area" localSheetId="18">结果表!$A$1:$I$127</definedName>
    <definedName name="_xlnm.Print_Area" localSheetId="35">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 localSheetId="37">'比较法-大宗交易'!$B$119:$M$119</definedName>
    <definedName name="办公层高" localSheetId="17">'[1]比较法-办公'!$B$119:$M$119</definedName>
    <definedName name="办公层高">'比较法租金-办公'!$B$119:$M$119</definedName>
    <definedName name="办公朝向" localSheetId="37">'比较法-大宗交易'!$B$91:$M$91</definedName>
    <definedName name="办公朝向" localSheetId="17">'[1]比较法-办公'!$B$91:$M$91</definedName>
    <definedName name="办公朝向">'比较法租金-办公'!$B$91:$M$91</definedName>
    <definedName name="办公道路级别" localSheetId="37">'比较法-大宗交易'!$B$87:$M$87</definedName>
    <definedName name="办公道路级别" localSheetId="17">'[1]比较法-办公'!$B$87:$M$87</definedName>
    <definedName name="办公道路级别">'比较法租金-办公'!$B$87:$M$87</definedName>
    <definedName name="办公公共部分装修" localSheetId="37">'比较法-大宗交易'!$B$108:$M$108</definedName>
    <definedName name="办公公共部分装修" localSheetId="17">'[1]比较法-办公'!$B$108:$M$108</definedName>
    <definedName name="办公公共部分装修">'比较法租金-办公'!$B$108:$M$108</definedName>
    <definedName name="办公基础设施水平" localSheetId="37">'比较法-大宗交易'!$B$117:$M$117</definedName>
    <definedName name="办公基础设施水平" localSheetId="17">'[1]比较法-办公'!$B$117:$M$117</definedName>
    <definedName name="办公基础设施水平">'比较法租金-办公'!$B$117:$M$117</definedName>
    <definedName name="办公集聚程度" localSheetId="17">[1]定义!$M$1:$M$6</definedName>
    <definedName name="办公集聚程度">定义!$M$1:$M$6</definedName>
    <definedName name="办公建筑结构" localSheetId="37">'比较法-大宗交易'!$B$106:$M$106</definedName>
    <definedName name="办公建筑结构" localSheetId="17">'[1]比较法-办公'!$B$106:$M$106</definedName>
    <definedName name="办公建筑结构">'比较法租金-办公'!$B$106:$M$106</definedName>
    <definedName name="办公建筑类型" localSheetId="37">'比较法-大宗交易'!$B$101:$M$101</definedName>
    <definedName name="办公建筑类型" localSheetId="17">'[1]比较法-办公'!$B$101:$M$101</definedName>
    <definedName name="办公建筑类型">'比较法租金-办公'!$B$101:$M$101</definedName>
    <definedName name="办公交易情况" localSheetId="37">'比较法-大宗交易'!$A$62:$M$62</definedName>
    <definedName name="办公交易情况" localSheetId="17">'[1]比较法-办公'!$A$62:$M$62</definedName>
    <definedName name="办公交易情况">'比较法租金-办公'!$A$62:$M$62</definedName>
    <definedName name="办公楼层" localSheetId="37">'比较法-大宗交易'!$B$89:$M$89</definedName>
    <definedName name="办公楼层" localSheetId="17">'[1]比较法-办公'!$B$89:$M$89</definedName>
    <definedName name="办公楼层">'比较法租金-办公'!$B$89:$M$89</definedName>
    <definedName name="办公内部装修" localSheetId="37">'比较法-大宗交易'!$B$123:$M$123</definedName>
    <definedName name="办公内部装修" localSheetId="17">'[1]比较法-办公'!$B$123:$M$123</definedName>
    <definedName name="办公内部装修">'比较法租金-办公'!$B$123:$M$123</definedName>
    <definedName name="办公物业管理" localSheetId="37">'比较法-大宗交易'!$B$115:$M$115</definedName>
    <definedName name="办公物业管理" localSheetId="17">'[1]比较法-办公'!$B$115:$M$115</definedName>
    <definedName name="办公物业管理">'比较法租金-办公'!$B$115:$M$115</definedName>
    <definedName name="办公用途" localSheetId="37">'比较法-大宗交易'!$B$64:$M$64</definedName>
    <definedName name="办公用途" localSheetId="17">'[1]比较法-办公'!$B$64:$M$64</definedName>
    <definedName name="办公用途">'比较法租金-办公'!$B$64:$M$64</definedName>
    <definedName name="仓储公共部分装修" localSheetId="17">'[1]比较法-仓储'!$B$77:$M$77</definedName>
    <definedName name="仓储公共部分装修">'比较法-仓储'!$B$77:$M$77</definedName>
    <definedName name="仓储交易情况" localSheetId="17">'[1]比较法-仓储'!$A$49:$M$49</definedName>
    <definedName name="仓储交易情况">'比较法-仓储'!$A$49:$M$49</definedName>
    <definedName name="仓储楼层" localSheetId="17">'[1]比较法-仓储'!$B$69:$M$69</definedName>
    <definedName name="仓储楼层">'比较法-仓储'!$B$69:$M$69</definedName>
    <definedName name="仓储物业等级" localSheetId="17">'[1]比较法-仓储'!$B$82:$M$82</definedName>
    <definedName name="仓储物业等级">'比较法-仓储'!$B$82:$M$82</definedName>
    <definedName name="仓储用途" localSheetId="17">'[1]比较法-仓储'!$B$51:$M$51</definedName>
    <definedName name="仓储用途">'比较法-仓储'!$B$51:$M$51</definedName>
    <definedName name="产业集聚程度" localSheetId="17">[1]定义!$N$1:$N$6</definedName>
    <definedName name="产业集聚程度">定义!$N$1:$N$6</definedName>
    <definedName name="车位公共部分装修" localSheetId="17">'[1]比较法-车位'!$B$83:$M$83</definedName>
    <definedName name="车位公共部分装修">'比较法-车位租金'!$B$83:$M$83</definedName>
    <definedName name="车位交易情况" localSheetId="17">'[1]比较法-车位'!$A$51:$M$51</definedName>
    <definedName name="车位交易情况">'比较法-车位租金'!$A$51:$M$51</definedName>
    <definedName name="车位类型" localSheetId="17">'[1]比较法-车位'!$B$93:$M$93</definedName>
    <definedName name="车位类型">'比较法-车位租金'!$B$93:$M$93</definedName>
    <definedName name="车位楼层" localSheetId="17">'[1]比较法-车位'!$B$71:$M$71</definedName>
    <definedName name="车位楼层">'比较法-车位租金'!$B$71:$M$71</definedName>
    <definedName name="车位配套类型" localSheetId="17">'[1]比较法-车位'!$B$79:$M$79</definedName>
    <definedName name="车位配套类型">'比较法-车位租金'!$B$79:$M$79</definedName>
    <definedName name="车位物业等级" localSheetId="17">'[1]比较法-车位'!$B$88:$M$88</definedName>
    <definedName name="车位物业等级">'比较法-车位租金'!$B$88:$M$88</definedName>
    <definedName name="车位用途" localSheetId="17">'[1]比较法-车位'!$B$53:$M$53</definedName>
    <definedName name="车位用途">'比较法-车位租金'!$B$53:$M$53</definedName>
    <definedName name="城镇土地纳税等级分级范围" localSheetId="17">'[1]数据-取费表'!$A$53:$A$63</definedName>
    <definedName name="城镇土地纳税等级分级范围">'数据-取费表'!$A$53:$A$63</definedName>
    <definedName name="单价内涵" localSheetId="17">[1]定义!$V$1:$V$3</definedName>
    <definedName name="单价内涵">定义!$V$1:$V$3</definedName>
    <definedName name="地类判定" localSheetId="17">[1]定义!$H$1:$H$9</definedName>
    <definedName name="地类判定">定义!$H$1:$H$9</definedName>
    <definedName name="二级">区片价!$I$1:$I$20</definedName>
    <definedName name="二级分类" localSheetId="17">[1]修正!$C$17:$C$39</definedName>
    <definedName name="二级分类">修正!$C$17:$C$39</definedName>
    <definedName name="法定最高年限" localSheetId="17">[1]定义!$G$1:$G$4</definedName>
    <definedName name="法定最高年限">定义!$G$1:$G$4</definedName>
    <definedName name="工业公共部分装修" localSheetId="17">'[1]比较法-工业'!$B$95:$M$95</definedName>
    <definedName name="工业公共部分装修">'比较法-工业'!$B$95:$M$95</definedName>
    <definedName name="工业基础设施水平" localSheetId="17">'[1]比较法-工业'!$B$102:$M$102</definedName>
    <definedName name="工业基础设施水平">'比较法-工业'!$B$102:$M$102</definedName>
    <definedName name="工业建筑结构" localSheetId="17">'[1]比较法-工业'!$B$93:$M$93</definedName>
    <definedName name="工业建筑结构">'比较法-工业'!$B$93:$M$93</definedName>
    <definedName name="工业建筑类型" localSheetId="17">'[1]比较法-工业'!$B$88:$M$88</definedName>
    <definedName name="工业建筑类型">'比较法-工业'!$B$88:$M$88</definedName>
    <definedName name="工业交易情况" localSheetId="17">'[1]比较法-工业'!$A$55:$M$55</definedName>
    <definedName name="工业交易情况">'比较法-工业'!$A$55:$M$55</definedName>
    <definedName name="工业内部装修" localSheetId="17">'[1]比较法-工业'!$B$104:$M$104</definedName>
    <definedName name="工业内部装修">'比较法-工业'!$B$104:$M$104</definedName>
    <definedName name="工业物业管理" localSheetId="17">'[1]比较法-工业'!$B$100:$M$100</definedName>
    <definedName name="工业物业管理">'比较法-工业'!$B$100:$M$100</definedName>
    <definedName name="工业用途" localSheetId="17">'[1]比较法-工业'!$B$57:$M$57</definedName>
    <definedName name="工业用途">'比较法-工业'!$B$57:$M$57</definedName>
    <definedName name="公共配套设施" localSheetId="17">[1]定义!$Q$1:$Q$6</definedName>
    <definedName name="公共配套设施">定义!$Q$1:$Q$6</definedName>
    <definedName name="估价方法" localSheetId="17">[1]定义!$B$1:$B$50</definedName>
    <definedName name="估价方法">定义!$B$1:$B$50</definedName>
    <definedName name="环境" localSheetId="17">[1]定义!$S$1:$S$6</definedName>
    <definedName name="环境">定义!$S$1:$S$6</definedName>
    <definedName name="基础设施水平" localSheetId="17">[1]定义!$R$1:$R$6</definedName>
    <definedName name="基础设施水平">定义!$R$1:$R$6</definedName>
    <definedName name="季度" localSheetId="34">'基准地价修正-商业'!$Q$19:$AD$19</definedName>
    <definedName name="季度">'基准地价修正-办公'!$Q$19:$AD$19</definedName>
    <definedName name="价值类型2" localSheetId="17">[1]定义!$B$54:$B$56</definedName>
    <definedName name="价值类型2">定义!$B$54:$B$56</definedName>
    <definedName name="交通便捷度" localSheetId="17">[1]定义!$O$1:$O$6</definedName>
    <definedName name="交通便捷度">定义!$O$1:$O$6</definedName>
    <definedName name="九级">区片价!$P$1:$P$46</definedName>
    <definedName name="居住社区成熟度" localSheetId="17">[1]定义!$K$1:$K$6</definedName>
    <definedName name="居住社区成熟度">定义!$K$1:$K$6</definedName>
    <definedName name="类别" localSheetId="17">[1]定义!$J$1:$J$3</definedName>
    <definedName name="类别">定义!$J$1:$J$3</definedName>
    <definedName name="临街状况" localSheetId="17">[1]定义!$T$1:$T$5</definedName>
    <definedName name="临街状况">定义!$T$1:$T$5</definedName>
    <definedName name="六级">区片价!$M$1:$M$49</definedName>
    <definedName name="内部装修维护情况" localSheetId="17">[1]定义!$U$1:$U$6</definedName>
    <definedName name="内部装修维护情况">定义!$U$1:$U$6</definedName>
    <definedName name="判定" localSheetId="17">[1]定义!$D$1:$D$4</definedName>
    <definedName name="判定">定义!$D$1:$D$4</definedName>
    <definedName name="七级">区片价!$N$1:$N$49</definedName>
    <definedName name="七通一平" localSheetId="17">[1]修正!$A$6:$A$14</definedName>
    <definedName name="七通一平">修正!$A$6:$A$14</definedName>
    <definedName name="区域土地利用方向" localSheetId="17">[1]定义!$P$1:$P$6</definedName>
    <definedName name="区域土地利用方向">定义!$P$1:$P$6</definedName>
    <definedName name="三级">区片价!$J$1:$J$21</definedName>
    <definedName name="商业层高" localSheetId="39">'比较法-地下商业租金'!$B$116:$M$116</definedName>
    <definedName name="商业层高" localSheetId="36">'比较法-商业'!$B$116:$M$116</definedName>
    <definedName name="商业层高" localSheetId="17">'[1]比较法-商业'!$B$116:$M$116</definedName>
    <definedName name="商业层高">'比较法-商业租金'!$B$116:$M$116</definedName>
    <definedName name="商业成新度" localSheetId="39">'比较法-地下商业租金'!$B$109:$M$109</definedName>
    <definedName name="商业成新度" localSheetId="36">'比较法-商业'!$B$109:$M$109</definedName>
    <definedName name="商业成新度">'比较法-商业租金'!$B$109:$M$109</definedName>
    <definedName name="商业繁华度" localSheetId="17">[1]定义!$L$1:$L$6</definedName>
    <definedName name="商业繁华度">定义!$L$1:$L$6</definedName>
    <definedName name="商业公共部分装修" localSheetId="39">'比较法-地下商业租金'!$B$107:$M$107</definedName>
    <definedName name="商业公共部分装修" localSheetId="36">'比较法-商业'!$B$107:$M$107</definedName>
    <definedName name="商业公共部分装修" localSheetId="17">'[1]比较法-商业'!$B$107:$M$107</definedName>
    <definedName name="商业公共部分装修">'比较法-商业租金'!$B$107:$M$107</definedName>
    <definedName name="商业基础设施水平" localSheetId="39">'比较法-地下商业租金'!$B$112:$M$112</definedName>
    <definedName name="商业基础设施水平" localSheetId="36">'比较法-商业'!$B$112:$M$112</definedName>
    <definedName name="商业基础设施水平" localSheetId="17">'[1]比较法-商业'!$B$112:$M$112</definedName>
    <definedName name="商业基础设施水平">'比较法-商业租金'!$B$112:$M$112</definedName>
    <definedName name="商业建筑结构" localSheetId="39">'比较法-地下商业租金'!$B$105:$M$105</definedName>
    <definedName name="商业建筑结构" localSheetId="36">'比较法-商业'!$B$105:$M$105</definedName>
    <definedName name="商业建筑结构" localSheetId="17">'[1]比较法-商业'!$B$105:$M$105</definedName>
    <definedName name="商业建筑结构">'比较法-商业租金'!$B$105:$M$105</definedName>
    <definedName name="商业交易情况" localSheetId="39">'比较法-地下商业租金'!$A$61:$M$61</definedName>
    <definedName name="商业交易情况" localSheetId="36">'比较法-商业'!$A$61:$M$61</definedName>
    <definedName name="商业交易情况" localSheetId="17">'[1]比较法-商业'!$A$61:$M$61</definedName>
    <definedName name="商业交易情况">'比较法-商业租金'!$A$61:$M$61</definedName>
    <definedName name="商业街名称" localSheetId="17">[1]修正!$C$59:$C$119</definedName>
    <definedName name="商业街名称">修正!$C$59:$C$119</definedName>
    <definedName name="商业进深比" localSheetId="39">'比较法-地下商业租金'!$B$120:$M$120</definedName>
    <definedName name="商业进深比" localSheetId="36">'比较法-商业'!$B$120:$M$120</definedName>
    <definedName name="商业进深比" localSheetId="17">'[1]比较法-商业'!$B$120:$M$120</definedName>
    <definedName name="商业进深比">'比较法-商业租金'!$B$120:$M$120</definedName>
    <definedName name="商业类型" localSheetId="39">'比较法-地下商业租金'!$B$100:$M$100</definedName>
    <definedName name="商业类型" localSheetId="36">'比较法-商业'!$B$100:$M$100</definedName>
    <definedName name="商业类型" localSheetId="17">'[1]比较法-商业'!$B$100:$M$100</definedName>
    <definedName name="商业类型">'比较法-商业租金'!$B$100:$M$100</definedName>
    <definedName name="商业临街状况" localSheetId="39">'比较法-地下商业租金'!$B$86:$M$86</definedName>
    <definedName name="商业临街状况" localSheetId="36">'比较法-商业'!$B$86:$M$86</definedName>
    <definedName name="商业临街状况" localSheetId="17">'[1]比较法-商业'!$B$86:$M$86</definedName>
    <definedName name="商业临街状况">'比较法-商业租金'!$B$86:$M$86</definedName>
    <definedName name="商业楼层" localSheetId="39">'比较法-地下商业租金'!$B$92:$M$92</definedName>
    <definedName name="商业楼层" localSheetId="36">'比较法-商业'!$B$92:$M$92</definedName>
    <definedName name="商业楼层" localSheetId="17">'[1]比较法-商业'!$B$92:$M$92</definedName>
    <definedName name="商业楼层">'比较法-商业租金'!$B$92:$M$92</definedName>
    <definedName name="商业内部装修" localSheetId="39">'比较法-地下商业租金'!$B$122:$M$122</definedName>
    <definedName name="商业内部装修" localSheetId="36">'比较法-商业'!$B$122:$M$122</definedName>
    <definedName name="商业内部装修" localSheetId="17">'[1]比较法-商业'!$B$122:$M$122</definedName>
    <definedName name="商业内部装修">'比较法-商业租金'!$B$122:$M$122</definedName>
    <definedName name="商业人流量" localSheetId="39">'比较法-地下商业租金'!$B$90:$M$90</definedName>
    <definedName name="商业人流量" localSheetId="36">'比较法-商业'!$B$90:$M$90</definedName>
    <definedName name="商业人流量" localSheetId="17">'[1]比较法-商业'!$B$90:$M$90</definedName>
    <definedName name="商业人流量">'比较法-商业租金'!$B$90:$M$90</definedName>
    <definedName name="商业业态" localSheetId="39">'比较法-地下商业租金'!$B$114:$M$114</definedName>
    <definedName name="商业业态" localSheetId="36">'比较法-商业'!$B$114:$M$114</definedName>
    <definedName name="商业业态" localSheetId="17">'[1]比较法-商业'!$B$114:$M$114</definedName>
    <definedName name="商业业态">'比较法-商业租金'!$B$114:$M$114</definedName>
    <definedName name="商业用途" localSheetId="39">'比较法-地下商业租金'!$B$63:$M$63</definedName>
    <definedName name="商业用途" localSheetId="36">'比较法-商业'!$B$63:$M$63</definedName>
    <definedName name="商业用途" localSheetId="17">'[1]比较法-商业'!$B$63:$M$63</definedName>
    <definedName name="商业用途">'比较法-商业租金'!$B$63:$M$63</definedName>
    <definedName name="十二级">区片价!$S$1:$S$8</definedName>
    <definedName name="十级">区片价!$Q$1:$Q$27</definedName>
    <definedName name="十一级">区片价!$R$1:$R$22</definedName>
    <definedName name="是否封闭" localSheetId="17">'[1]比较法-仓储'!$B$89:$M$89</definedName>
    <definedName name="是否封闭">'比较法-仓储'!$B$89:$M$89</definedName>
    <definedName name="是否直接入户" localSheetId="17">'[1]比较法-车位'!$B$95:$M$95</definedName>
    <definedName name="是否直接入户">'比较法-车位租金'!$B$95:$M$95</definedName>
    <definedName name="四级">区片价!$K$1:$K$28</definedName>
    <definedName name="套工道路等级" localSheetId="17">'[1]土地比较法-工业'!$B$97:$M$97</definedName>
    <definedName name="套工道路等级">'土地比较法-工业'!$B$97:$M$97</definedName>
    <definedName name="套工地质条件" localSheetId="17">'[1]土地比较法-工业'!$B$114:$M$114</definedName>
    <definedName name="套工地质条件">'土地比较法-工业'!$B$114:$M$114</definedName>
    <definedName name="套工交易情况" localSheetId="17">'[1]土地比较法-住宅、综合'!$A$73:$M$73</definedName>
    <definedName name="套工交易情况">'土地比较法-住宅、综合'!$A$73:$M$73</definedName>
    <definedName name="套工土地级别" localSheetId="17">'[1]土地比较法-工业'!$B$99:$M$99</definedName>
    <definedName name="套工土地级别">'土地比较法-工业'!$B$99:$M$99</definedName>
    <definedName name="套工用途" localSheetId="17">'[1]土地比较法-工业'!$B$70:$M$70</definedName>
    <definedName name="套工用途">'土地比较法-工业'!$B$70:$M$70</definedName>
    <definedName name="套工宗地开发程度" localSheetId="17">'[1]土地比较法-工业'!$B$112:$M$112</definedName>
    <definedName name="套工宗地开发程度">'土地比较法-工业'!$B$112:$M$112</definedName>
    <definedName name="套工宗地形状" localSheetId="17">'[1]土地比较法-工业'!$B$110:$M$110</definedName>
    <definedName name="套工宗地形状">'土地比较法-工业'!$B$110:$M$110</definedName>
    <definedName name="套综道路等级" localSheetId="17">'[1]土地比较法-住宅、综合'!$B$106:$M$106</definedName>
    <definedName name="套综道路等级">'土地比较法-住宅、综合'!$B$106:$M$106</definedName>
    <definedName name="套综工程地质条件" localSheetId="17">'[1]土地比较法-住宅、综合'!$B$125:$M$125</definedName>
    <definedName name="套综工程地质条件">'土地比较法-住宅、综合'!$B$125:$M$125</definedName>
    <definedName name="套综交易情况" localSheetId="17">'[1]土地比较法-住宅、综合'!$A$73:$M$73</definedName>
    <definedName name="套综交易情况">'土地比较法-住宅、综合'!$A$73:$M$73</definedName>
    <definedName name="套综临街宽度及深度" localSheetId="17">'[1]土地比较法-住宅、综合'!$B$121:$M$121</definedName>
    <definedName name="套综临街宽度及深度">'土地比较法-住宅、综合'!$B$121:$M$121</definedName>
    <definedName name="套综土地级别" localSheetId="17">'[1]土地比较法-住宅、综合'!$B$108:$M$108</definedName>
    <definedName name="套综土地级别">'土地比较法-住宅、综合'!$B$108:$M$108</definedName>
    <definedName name="套综用途" localSheetId="17">'[1]土地比较法-住宅、综合'!$B$75:$M$75</definedName>
    <definedName name="套综用途">'土地比较法-住宅、综合'!$B$75:$M$75</definedName>
    <definedName name="套综宗地内开发程度" localSheetId="17">'[1]土地比较法-住宅、综合'!$B$123:$M$123</definedName>
    <definedName name="套综宗地内开发程度">'土地比较法-住宅、综合'!$B$123:$M$123</definedName>
    <definedName name="套综宗地形状" localSheetId="17">'[1]土地比较法-住宅、综合'!$B$119:$M$119</definedName>
    <definedName name="套综宗地形状">'土地比较法-住宅、综合'!$B$119:$M$119</definedName>
    <definedName name="土地估价师">估价师及机构信息!$D$3:$D$24</definedName>
    <definedName name="土地级别" localSheetId="17">[1]定义!$C$1:$C$14</definedName>
    <definedName name="土地级别">定义!$C$1:$C$14</definedName>
    <definedName name="土地利用方向">定义!$P$1:$P$6</definedName>
    <definedName name="土地年限区间" localSheetId="17">[1]定义!$I$1:$I$8</definedName>
    <definedName name="土地年限区间">定义!$I$1:$I$8</definedName>
    <definedName name="位置" localSheetId="17">[1]定义!$E$2:$E$4</definedName>
    <definedName name="位置">定义!$E$2:$E$4</definedName>
    <definedName name="五等判定" localSheetId="17">[1]定义!$W$1:$W$6</definedName>
    <definedName name="五等判定">定义!$W$1:$W$6</definedName>
    <definedName name="五级">区片价!$L$1:$L$35</definedName>
    <definedName name="项目类型" localSheetId="17">'[1]数据-汇总表'!$C$17:$C$26</definedName>
    <definedName name="项目类型">'数据-汇总表'!$C$17:$C$26</definedName>
    <definedName name="写字楼等级" localSheetId="37">'比较法-大宗交易'!$B$113:$M$113</definedName>
    <definedName name="写字楼等级" localSheetId="17">'[1]比较法-办公'!$B$113:$M$113</definedName>
    <definedName name="写字楼等级">'比较法租金-办公'!$B$113:$M$113</definedName>
    <definedName name="一级">区片价!$H$1:$H$6</definedName>
    <definedName name="一修多修正项2" localSheetId="17">[1]典型户型修正!$5:$5</definedName>
    <definedName name="一修多修正项2">典型户型修正!$5:$5</definedName>
    <definedName name="一修多修正项3" localSheetId="17">[1]典型户型修正!$7:$7</definedName>
    <definedName name="一修多修正项3">典型户型修正!$7:$7</definedName>
    <definedName name="一修多修正项4" localSheetId="17">[1]典型户型修正!$9:$9</definedName>
    <definedName name="一修多修正项4">典型户型修正!$9:$9</definedName>
    <definedName name="一修多修正项5" localSheetId="17">[1]典型户型修正!$11:$11</definedName>
    <definedName name="一修多修正项5">典型户型修正!$11:$11</definedName>
    <definedName name="一修多修正项6" localSheetId="17">[1]典型户型修正!$13:$13</definedName>
    <definedName name="一修多修正项6">典型户型修正!$13:$13</definedName>
    <definedName name="一修多修正项7" localSheetId="17">[1]典型户型修正!$15:$15</definedName>
    <definedName name="一修多修正项7">典型户型修正!$15:$15</definedName>
    <definedName name="一修多修正项8" localSheetId="17">[1]典型户型修正!$17:$17</definedName>
    <definedName name="一修多修正项8">典型户型修正!$17:$17</definedName>
    <definedName name="用途明细" localSheetId="17">[1]定义!$A$1:$A$50</definedName>
    <definedName name="用途明细">定义!$A$1:$A$50</definedName>
    <definedName name="有无电梯" localSheetId="17">'[1]比较法-仓储'!$B$84:$M$84</definedName>
    <definedName name="有无电梯">'比较法-仓储'!$B$84:$M$84</definedName>
    <definedName name="主用途" localSheetId="17">[1]定义!$F$1:$F$10</definedName>
    <definedName name="主用途">定义!$F$1:$F$10</definedName>
    <definedName name="住宅朝向" localSheetId="17">'[1]比较法-住宅'!$B$88:$M$88</definedName>
    <definedName name="住宅朝向">'比较法-住宅'!$B$88:$M$88</definedName>
    <definedName name="住宅房型" localSheetId="17">'[1]比较法-住宅'!$B$118:$M$118</definedName>
    <definedName name="住宅房型">'比较法-住宅'!$B$118:$M$118</definedName>
    <definedName name="住宅公共部分装修" localSheetId="17">'[1]比较法-住宅'!$B$109:$M$109</definedName>
    <definedName name="住宅公共部分装修">'比较法-住宅'!$B$109:$M$109</definedName>
    <definedName name="住宅基础设施水平" localSheetId="17">'[1]比较法-住宅'!$B$116:$M$116</definedName>
    <definedName name="住宅基础设施水平">'比较法-住宅'!$B$116:$M$116</definedName>
    <definedName name="住宅建筑结构" localSheetId="17">'[1]比较法-住宅'!$B$105:$M$105</definedName>
    <definedName name="住宅建筑结构">'比较法-住宅'!$B$105:$M$105</definedName>
    <definedName name="住宅建筑类型" localSheetId="17">'[1]比较法-住宅'!$B$100:$M$100</definedName>
    <definedName name="住宅建筑类型">'比较法-住宅'!$B$100:$M$100</definedName>
    <definedName name="住宅建筑品质" localSheetId="17">'[1]比较法-住宅'!$B$107:$M$107</definedName>
    <definedName name="住宅建筑品质">'比较法-住宅'!$B$107:$M$107</definedName>
    <definedName name="住宅交易情况" localSheetId="17">'[1]比较法-住宅'!$A$61:$M$61</definedName>
    <definedName name="住宅交易情况">'比较法-住宅'!$A$61:$M$61</definedName>
    <definedName name="住宅楼层" localSheetId="17">'[1]比较法-住宅'!$B$86:$M$86</definedName>
    <definedName name="住宅楼层">'比较法-住宅'!$B$86:$M$86</definedName>
    <definedName name="住宅内部装修" localSheetId="17">'[1]比较法-住宅'!$B$122:$M$122</definedName>
    <definedName name="住宅内部装修">'比较法-住宅'!$B$122:$M$122</definedName>
    <definedName name="住宅物业管理" localSheetId="17">'[1]比较法-住宅'!$B$114:$M$114</definedName>
    <definedName name="住宅物业管理">'比较法-住宅'!$B$114:$M$114</definedName>
    <definedName name="住宅用途" localSheetId="17">'[1]比较法-住宅'!$B$63:$M$63</definedName>
    <definedName name="住宅用途">'比较法-住宅'!$B$63:$M$63</definedName>
    <definedName name="住宅主力户型面积">'比较法-住宅'!$B$120:$M$120</definedName>
    <definedName name="注册房地产估价师" localSheetId="17">[1]估价师及机构信息!$A$3:$A$16</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T2" i="83" l="1"/>
  <c r="S2" i="83"/>
  <c r="R2" i="83"/>
  <c r="AC14" i="83"/>
  <c r="AC15" i="83"/>
  <c r="AC13" i="83"/>
  <c r="AA13" i="83"/>
  <c r="T63" i="84"/>
  <c r="T62" i="84"/>
  <c r="T61" i="84"/>
  <c r="T60" i="84"/>
  <c r="AB13" i="83"/>
  <c r="Q79" i="84" l="1"/>
  <c r="Q80" i="84"/>
  <c r="Q81" i="84"/>
  <c r="Q82" i="84"/>
  <c r="Q83" i="84"/>
  <c r="Q84" i="84"/>
  <c r="Q85" i="84"/>
  <c r="Q86" i="84"/>
  <c r="Q87" i="84"/>
  <c r="Q88" i="84"/>
  <c r="Q89" i="84"/>
  <c r="Q90" i="84"/>
  <c r="Q91" i="84"/>
  <c r="Q92" i="84"/>
  <c r="Q93" i="84"/>
  <c r="Q94" i="84"/>
  <c r="Q95" i="84"/>
  <c r="Q96" i="84"/>
  <c r="Q78" i="84"/>
  <c r="AA55" i="84"/>
  <c r="AA56" i="84"/>
  <c r="AA57" i="84"/>
  <c r="AA58" i="84"/>
  <c r="AA59" i="84"/>
  <c r="AA60" i="84"/>
  <c r="AA61" i="84"/>
  <c r="AA62" i="84"/>
  <c r="AA63" i="84"/>
  <c r="AA64" i="84"/>
  <c r="AA65" i="84"/>
  <c r="AA66" i="84"/>
  <c r="AA67" i="84"/>
  <c r="AA68" i="84"/>
  <c r="AA69" i="84"/>
  <c r="AA70" i="84"/>
  <c r="AA71" i="84"/>
  <c r="AA72" i="84"/>
  <c r="AA54" i="84"/>
  <c r="AA79" i="84"/>
  <c r="AA80" i="84"/>
  <c r="AA81" i="84"/>
  <c r="AA82" i="84"/>
  <c r="AA83" i="84"/>
  <c r="AA84" i="84"/>
  <c r="AA85" i="84"/>
  <c r="AA86" i="84"/>
  <c r="AA87" i="84"/>
  <c r="AA88" i="84"/>
  <c r="AA89" i="84"/>
  <c r="AA90" i="84"/>
  <c r="AA91" i="84"/>
  <c r="AA92" i="84"/>
  <c r="AA93" i="84"/>
  <c r="AA94" i="84"/>
  <c r="AA95" i="84"/>
  <c r="AA96" i="84"/>
  <c r="AA78" i="84"/>
  <c r="AA104" i="84"/>
  <c r="AA105" i="84"/>
  <c r="AA106" i="84"/>
  <c r="AA107" i="84"/>
  <c r="AA108" i="84"/>
  <c r="AA109" i="84"/>
  <c r="AA110" i="84"/>
  <c r="AA111" i="84"/>
  <c r="AA112" i="84"/>
  <c r="AA113" i="84"/>
  <c r="AA114" i="84"/>
  <c r="AA115" i="84"/>
  <c r="AA116" i="84"/>
  <c r="AA117" i="84"/>
  <c r="AA118" i="84"/>
  <c r="AA119" i="84"/>
  <c r="AA120" i="84"/>
  <c r="AA121" i="84"/>
  <c r="AA103" i="84"/>
  <c r="M79" i="84"/>
  <c r="M80" i="84"/>
  <c r="M81" i="84"/>
  <c r="M82" i="84"/>
  <c r="M83" i="84"/>
  <c r="M84" i="84"/>
  <c r="M85" i="84"/>
  <c r="M86" i="84"/>
  <c r="M87" i="84"/>
  <c r="M88" i="84"/>
  <c r="M89" i="84"/>
  <c r="M90" i="84"/>
  <c r="M91" i="84"/>
  <c r="M92" i="84"/>
  <c r="M93" i="84"/>
  <c r="M94" i="84"/>
  <c r="M95" i="84"/>
  <c r="M96" i="84"/>
  <c r="M78" i="84"/>
  <c r="W55" i="84"/>
  <c r="W56" i="84"/>
  <c r="W57" i="84"/>
  <c r="W58" i="84"/>
  <c r="W59" i="84"/>
  <c r="W60" i="84"/>
  <c r="W61" i="84"/>
  <c r="W62" i="84"/>
  <c r="W63" i="84"/>
  <c r="W64" i="84"/>
  <c r="W65" i="84"/>
  <c r="W66" i="84"/>
  <c r="W67" i="84"/>
  <c r="W68" i="84"/>
  <c r="W69" i="84"/>
  <c r="W70" i="84"/>
  <c r="W71" i="84"/>
  <c r="W72" i="84"/>
  <c r="W54" i="84"/>
  <c r="W79" i="84"/>
  <c r="W80" i="84"/>
  <c r="W81" i="84"/>
  <c r="W82" i="84"/>
  <c r="W83" i="84"/>
  <c r="W84" i="84"/>
  <c r="W85" i="84"/>
  <c r="W86" i="84"/>
  <c r="W87" i="84"/>
  <c r="W88" i="84"/>
  <c r="W89" i="84"/>
  <c r="W90" i="84"/>
  <c r="W91" i="84"/>
  <c r="W92" i="84"/>
  <c r="W93" i="84"/>
  <c r="W94" i="84"/>
  <c r="W95" i="84"/>
  <c r="W96" i="84"/>
  <c r="W78" i="84"/>
  <c r="W104" i="84"/>
  <c r="W105" i="84"/>
  <c r="W106" i="84"/>
  <c r="W107" i="84"/>
  <c r="W108" i="84"/>
  <c r="W109" i="84"/>
  <c r="W110" i="84"/>
  <c r="W111" i="84"/>
  <c r="W112" i="84"/>
  <c r="W113" i="84"/>
  <c r="W114" i="84"/>
  <c r="W115" i="84"/>
  <c r="W116" i="84"/>
  <c r="W117" i="84"/>
  <c r="W118" i="84"/>
  <c r="W119" i="84"/>
  <c r="W120" i="84"/>
  <c r="W121" i="84"/>
  <c r="W103" i="84"/>
  <c r="X104" i="84"/>
  <c r="V104" i="84"/>
  <c r="V105" i="84"/>
  <c r="V106" i="84"/>
  <c r="V107" i="84"/>
  <c r="V108" i="84"/>
  <c r="V109" i="84"/>
  <c r="V110" i="84"/>
  <c r="V111" i="84"/>
  <c r="V112" i="84"/>
  <c r="V113" i="84"/>
  <c r="V114" i="84"/>
  <c r="V115" i="84"/>
  <c r="V116" i="84"/>
  <c r="V117" i="84"/>
  <c r="V118" i="84"/>
  <c r="V119" i="84"/>
  <c r="V120" i="84"/>
  <c r="V121" i="84"/>
  <c r="V103" i="84"/>
  <c r="Y121" i="84"/>
  <c r="Y120" i="84"/>
  <c r="Y119" i="84"/>
  <c r="Y118" i="84"/>
  <c r="Y117" i="84"/>
  <c r="Y116" i="84"/>
  <c r="Y115" i="84"/>
  <c r="Y114" i="84"/>
  <c r="Y113" i="84"/>
  <c r="Y112" i="84"/>
  <c r="Y111" i="84"/>
  <c r="Y110" i="84"/>
  <c r="Y109" i="84"/>
  <c r="Y108" i="84"/>
  <c r="Y107" i="84"/>
  <c r="Y106" i="84"/>
  <c r="Y105" i="84"/>
  <c r="Y104" i="84"/>
  <c r="Y103" i="84"/>
  <c r="L78" i="84"/>
  <c r="R79" i="84" s="1"/>
  <c r="L79" i="84"/>
  <c r="L80" i="84"/>
  <c r="L81" i="84"/>
  <c r="L82" i="84"/>
  <c r="R83" i="84" s="1"/>
  <c r="L83" i="84"/>
  <c r="L84" i="84"/>
  <c r="R85" i="84" s="1"/>
  <c r="L85" i="84"/>
  <c r="L86" i="84"/>
  <c r="L87" i="84"/>
  <c r="L88" i="84"/>
  <c r="L89" i="84"/>
  <c r="L90" i="84"/>
  <c r="L91" i="84"/>
  <c r="L92" i="84"/>
  <c r="R93" i="84" s="1"/>
  <c r="L93" i="84"/>
  <c r="L94" i="84"/>
  <c r="R95" i="84" s="1"/>
  <c r="L95" i="84"/>
  <c r="L96" i="84"/>
  <c r="R81" i="84"/>
  <c r="R91" i="84"/>
  <c r="V79" i="84"/>
  <c r="V80" i="84"/>
  <c r="V81" i="84"/>
  <c r="V82" i="84"/>
  <c r="V83" i="84"/>
  <c r="V84" i="84"/>
  <c r="V85" i="84"/>
  <c r="V86" i="84"/>
  <c r="V87" i="84"/>
  <c r="V88" i="84"/>
  <c r="V89" i="84"/>
  <c r="V90" i="84"/>
  <c r="V91" i="84"/>
  <c r="V92" i="84"/>
  <c r="V93" i="84"/>
  <c r="V94" i="84"/>
  <c r="V95" i="84"/>
  <c r="V96" i="84"/>
  <c r="V78" i="84"/>
  <c r="Y96" i="84"/>
  <c r="X96" i="84"/>
  <c r="Y95" i="84"/>
  <c r="X95" i="84"/>
  <c r="Y94" i="84"/>
  <c r="X94" i="84"/>
  <c r="Y93" i="84"/>
  <c r="X93" i="84"/>
  <c r="Y92" i="84"/>
  <c r="X92" i="84"/>
  <c r="Y91" i="84"/>
  <c r="X91" i="84"/>
  <c r="Y90" i="84"/>
  <c r="X90" i="84"/>
  <c r="Y89" i="84"/>
  <c r="X89" i="84"/>
  <c r="Y88" i="84"/>
  <c r="X88" i="84"/>
  <c r="Y87" i="84"/>
  <c r="X87" i="84"/>
  <c r="Y86" i="84"/>
  <c r="X86" i="84"/>
  <c r="Y85" i="84"/>
  <c r="X85" i="84"/>
  <c r="Y84" i="84"/>
  <c r="X84" i="84"/>
  <c r="Y83" i="84"/>
  <c r="X83" i="84"/>
  <c r="Y82" i="84"/>
  <c r="X82" i="84"/>
  <c r="Y81" i="84"/>
  <c r="X81" i="84"/>
  <c r="Y80" i="84"/>
  <c r="X80" i="84"/>
  <c r="Y79" i="84"/>
  <c r="X79" i="84"/>
  <c r="V54" i="84"/>
  <c r="V55" i="84"/>
  <c r="V56" i="84"/>
  <c r="V57" i="84"/>
  <c r="V58" i="84"/>
  <c r="V59" i="84"/>
  <c r="V60" i="84"/>
  <c r="V61" i="84"/>
  <c r="V62" i="84"/>
  <c r="V63" i="84"/>
  <c r="V64" i="84"/>
  <c r="V65" i="84"/>
  <c r="V66" i="84"/>
  <c r="V67" i="84"/>
  <c r="V68" i="84"/>
  <c r="V69" i="84"/>
  <c r="V70" i="84"/>
  <c r="V71" i="84"/>
  <c r="V72" i="84"/>
  <c r="Y72" i="84"/>
  <c r="X72" i="84"/>
  <c r="Y71" i="84"/>
  <c r="Y70" i="84"/>
  <c r="X70" i="84"/>
  <c r="Y69" i="84"/>
  <c r="Y68" i="84"/>
  <c r="X68" i="84"/>
  <c r="Y67" i="84"/>
  <c r="Y66" i="84"/>
  <c r="X66" i="84"/>
  <c r="Y65" i="84"/>
  <c r="Y64" i="84"/>
  <c r="X64" i="84"/>
  <c r="Y63" i="84"/>
  <c r="Y62" i="84"/>
  <c r="X62" i="84"/>
  <c r="Y61" i="84"/>
  <c r="Y60" i="84"/>
  <c r="X60" i="84"/>
  <c r="Y59" i="84"/>
  <c r="Y58" i="84"/>
  <c r="X58" i="84"/>
  <c r="Y57" i="84"/>
  <c r="Y56" i="84"/>
  <c r="X56" i="84"/>
  <c r="Y55" i="84"/>
  <c r="Y54" i="84"/>
  <c r="R87" i="84"/>
  <c r="R96" i="84"/>
  <c r="O96" i="84"/>
  <c r="N96" i="84"/>
  <c r="O95" i="84"/>
  <c r="R94" i="84"/>
  <c r="O94" i="84"/>
  <c r="N94" i="84"/>
  <c r="O93" i="84"/>
  <c r="R92" i="84"/>
  <c r="O92" i="84"/>
  <c r="N92" i="84"/>
  <c r="O91" i="84"/>
  <c r="O90" i="84"/>
  <c r="O89" i="84"/>
  <c r="R88" i="84"/>
  <c r="O88" i="84"/>
  <c r="N88" i="84"/>
  <c r="O87" i="84"/>
  <c r="R86" i="84"/>
  <c r="O86" i="84"/>
  <c r="N86" i="84"/>
  <c r="O85" i="84"/>
  <c r="R84" i="84"/>
  <c r="O84" i="84"/>
  <c r="N84" i="84"/>
  <c r="O83" i="84"/>
  <c r="R82" i="84"/>
  <c r="O82" i="84"/>
  <c r="N82" i="84"/>
  <c r="O81" i="84"/>
  <c r="R80" i="84"/>
  <c r="O80" i="84"/>
  <c r="N80" i="84"/>
  <c r="O79" i="84"/>
  <c r="O78" i="84"/>
  <c r="X105" i="84" l="1"/>
  <c r="X106" i="84"/>
  <c r="X107" i="84"/>
  <c r="X108" i="84"/>
  <c r="X109" i="84"/>
  <c r="X110" i="84"/>
  <c r="X111" i="84"/>
  <c r="X112" i="84"/>
  <c r="X113" i="84"/>
  <c r="X114" i="84"/>
  <c r="X115" i="84"/>
  <c r="X116" i="84"/>
  <c r="X117" i="84"/>
  <c r="X118" i="84"/>
  <c r="X119" i="84"/>
  <c r="X120" i="84"/>
  <c r="X121" i="84"/>
  <c r="X55" i="84"/>
  <c r="X57" i="84"/>
  <c r="X59" i="84"/>
  <c r="X61" i="84"/>
  <c r="X63" i="84"/>
  <c r="X65" i="84"/>
  <c r="X67" i="84"/>
  <c r="X69" i="84"/>
  <c r="X71" i="84"/>
  <c r="N79" i="84"/>
  <c r="N81" i="84"/>
  <c r="N83" i="84"/>
  <c r="N85" i="84"/>
  <c r="N87" i="84"/>
  <c r="R90" i="84"/>
  <c r="N91" i="84"/>
  <c r="N93" i="84"/>
  <c r="N95" i="84"/>
  <c r="N78" i="84"/>
  <c r="N89" i="84"/>
  <c r="R89" i="84"/>
  <c r="N90" i="84"/>
  <c r="P2" i="83"/>
  <c r="G2" i="83" l="1"/>
  <c r="H2" i="83"/>
  <c r="R20" i="83"/>
  <c r="O26" i="79" l="1"/>
  <c r="O28" i="79"/>
  <c r="O25" i="79"/>
  <c r="L65" i="84" l="1"/>
  <c r="R66" i="84" s="1"/>
  <c r="M65" i="84"/>
  <c r="R72" i="84"/>
  <c r="O72" i="84"/>
  <c r="N72" i="84"/>
  <c r="R71" i="84"/>
  <c r="O71" i="84"/>
  <c r="N71" i="84"/>
  <c r="R70" i="84"/>
  <c r="O70" i="84"/>
  <c r="N70" i="84"/>
  <c r="R69" i="84"/>
  <c r="O69" i="84"/>
  <c r="N69" i="84"/>
  <c r="R68" i="84"/>
  <c r="O68" i="84"/>
  <c r="N68" i="84"/>
  <c r="R67" i="84"/>
  <c r="O67" i="84"/>
  <c r="N67" i="84"/>
  <c r="O66" i="84"/>
  <c r="O65" i="84"/>
  <c r="R64" i="84"/>
  <c r="O64" i="84"/>
  <c r="N64" i="84"/>
  <c r="R63" i="84"/>
  <c r="O63" i="84"/>
  <c r="N63" i="84"/>
  <c r="R62" i="84"/>
  <c r="O62" i="84"/>
  <c r="N62" i="84"/>
  <c r="R61" i="84"/>
  <c r="O61" i="84"/>
  <c r="N61" i="84"/>
  <c r="R60" i="84"/>
  <c r="O60" i="84"/>
  <c r="N60" i="84"/>
  <c r="R59" i="84"/>
  <c r="O59" i="84"/>
  <c r="N59" i="84"/>
  <c r="R58" i="84"/>
  <c r="O58" i="84"/>
  <c r="N58" i="84"/>
  <c r="R57" i="84"/>
  <c r="O57" i="84"/>
  <c r="N57" i="84"/>
  <c r="R56" i="84"/>
  <c r="O56" i="84"/>
  <c r="N56" i="84"/>
  <c r="R55" i="84"/>
  <c r="O55" i="84"/>
  <c r="N55" i="84"/>
  <c r="R54" i="84"/>
  <c r="O54" i="84"/>
  <c r="N54" i="84"/>
  <c r="N65" i="84" l="1"/>
  <c r="N66" i="84"/>
  <c r="R65" i="84"/>
  <c r="I78" i="84"/>
  <c r="I96" i="84"/>
  <c r="F96" i="84"/>
  <c r="E96" i="84"/>
  <c r="I95" i="84"/>
  <c r="F95" i="84"/>
  <c r="E95" i="84"/>
  <c r="I94" i="84"/>
  <c r="F94" i="84"/>
  <c r="E94" i="84"/>
  <c r="F93" i="84"/>
  <c r="E93" i="84"/>
  <c r="I92" i="84"/>
  <c r="F92" i="84"/>
  <c r="E92" i="84"/>
  <c r="I91" i="84"/>
  <c r="F91" i="84"/>
  <c r="E91" i="84"/>
  <c r="I90" i="84"/>
  <c r="F90" i="84"/>
  <c r="E90" i="84"/>
  <c r="F89" i="84"/>
  <c r="E89" i="84"/>
  <c r="I88" i="84"/>
  <c r="F88" i="84"/>
  <c r="E88" i="84"/>
  <c r="I87" i="84"/>
  <c r="F87" i="84"/>
  <c r="E87" i="84"/>
  <c r="I86" i="84"/>
  <c r="F86" i="84"/>
  <c r="E86" i="84"/>
  <c r="F85" i="84"/>
  <c r="E85" i="84"/>
  <c r="I84" i="84"/>
  <c r="F84" i="84"/>
  <c r="E84" i="84"/>
  <c r="I83" i="84"/>
  <c r="F83" i="84"/>
  <c r="E83" i="84"/>
  <c r="I82" i="84"/>
  <c r="E82" i="84"/>
  <c r="F81" i="84"/>
  <c r="E81" i="84"/>
  <c r="I80" i="84"/>
  <c r="E80" i="84"/>
  <c r="I79" i="84"/>
  <c r="F79" i="84"/>
  <c r="E79" i="84"/>
  <c r="O108" i="79"/>
  <c r="N108" i="79"/>
  <c r="M108" i="79"/>
  <c r="O107" i="79"/>
  <c r="N107" i="79"/>
  <c r="M107" i="79"/>
  <c r="O106" i="79"/>
  <c r="N106" i="79"/>
  <c r="M106" i="79"/>
  <c r="O105" i="79"/>
  <c r="N105" i="79"/>
  <c r="M105" i="79"/>
  <c r="O104" i="79"/>
  <c r="N104" i="79"/>
  <c r="P104" i="79" s="1"/>
  <c r="M104" i="79"/>
  <c r="P108" i="79" l="1"/>
  <c r="P105" i="79"/>
  <c r="F82" i="84"/>
  <c r="F80" i="84"/>
  <c r="P107" i="79"/>
  <c r="P106" i="79"/>
  <c r="T20" i="83"/>
  <c r="T19" i="83"/>
  <c r="F27" i="83"/>
  <c r="E19" i="83" l="1"/>
  <c r="E13" i="83"/>
  <c r="E20" i="83" s="1"/>
  <c r="H17" i="83"/>
  <c r="H5" i="83"/>
  <c r="G15" i="85" l="1"/>
  <c r="I15" i="85" s="1"/>
  <c r="C40" i="85"/>
  <c r="F118" i="85" s="1"/>
  <c r="AA18" i="82" l="1"/>
  <c r="L40" i="82" l="1"/>
  <c r="X36" i="82"/>
  <c r="AA34" i="82"/>
  <c r="X33" i="82"/>
  <c r="X34" i="82"/>
  <c r="X35" i="82"/>
  <c r="X32" i="82"/>
  <c r="X29" i="82"/>
  <c r="X30" i="82"/>
  <c r="X31" i="82"/>
  <c r="X28" i="82"/>
  <c r="X27" i="82"/>
  <c r="X24" i="82"/>
  <c r="X25" i="82"/>
  <c r="X26" i="82"/>
  <c r="X23" i="82"/>
  <c r="X21" i="82"/>
  <c r="X22" i="82"/>
  <c r="X20" i="82"/>
  <c r="X19" i="82"/>
  <c r="X18" i="82"/>
  <c r="X17" i="82"/>
  <c r="X16" i="82"/>
  <c r="AA15" i="82"/>
  <c r="X15" i="82"/>
  <c r="L11" i="82"/>
  <c r="M11" i="82" s="1"/>
  <c r="N11" i="82" l="1"/>
  <c r="X11" i="83" l="1"/>
  <c r="Y11" i="83"/>
  <c r="Z11" i="83"/>
  <c r="W11" i="83"/>
  <c r="G48" i="81"/>
  <c r="G34" i="81"/>
  <c r="E34" i="81"/>
  <c r="G5" i="81" l="1"/>
  <c r="E5" i="81"/>
  <c r="O21" i="79" l="1"/>
  <c r="I34" i="82" l="1"/>
  <c r="G17" i="33"/>
  <c r="G17" i="85" s="1"/>
  <c r="I17" i="85" s="1"/>
  <c r="M45" i="34"/>
  <c r="G25" i="83"/>
  <c r="M2" i="82"/>
  <c r="G12" i="83" l="1"/>
  <c r="G7" i="83"/>
  <c r="I34" i="81"/>
  <c r="M8" i="82"/>
  <c r="I48" i="81" s="1"/>
  <c r="G13" i="83" l="1"/>
  <c r="G20" i="83" s="1"/>
  <c r="S24" i="83" s="1"/>
  <c r="G21" i="83"/>
  <c r="G22" i="83" s="1"/>
  <c r="D2" i="86"/>
  <c r="I5" i="81"/>
  <c r="N10" i="82"/>
  <c r="J9" i="82"/>
  <c r="O20" i="79"/>
  <c r="N8" i="82"/>
  <c r="M7" i="82"/>
  <c r="J7" i="82"/>
  <c r="N7" i="82" s="1"/>
  <c r="N6" i="82"/>
  <c r="M6" i="82"/>
  <c r="E48" i="81" s="1"/>
  <c r="K6" i="82"/>
  <c r="N5" i="82"/>
  <c r="M5" i="82"/>
  <c r="N4" i="82"/>
  <c r="M4" i="82"/>
  <c r="N3" i="82"/>
  <c r="I3" i="82"/>
  <c r="M3" i="82" s="1"/>
  <c r="Y15" i="82" s="1"/>
  <c r="N2" i="82"/>
  <c r="K2" i="82"/>
  <c r="E27" i="83" l="1"/>
  <c r="H14" i="83"/>
  <c r="H12" i="83"/>
  <c r="H11" i="83"/>
  <c r="H10" i="83"/>
  <c r="H8" i="83"/>
  <c r="H7" i="83"/>
  <c r="D110" i="79"/>
  <c r="D111" i="79"/>
  <c r="D118" i="79"/>
  <c r="C117" i="79"/>
  <c r="D117" i="79" s="1"/>
  <c r="C116" i="79"/>
  <c r="D116" i="79" s="1"/>
  <c r="D6" i="86"/>
  <c r="D7" i="86" s="1"/>
  <c r="F11" i="86" s="1"/>
  <c r="H120" i="79" l="1"/>
  <c r="L118" i="79"/>
  <c r="H121" i="79"/>
  <c r="H21" i="83"/>
  <c r="H13" i="83"/>
  <c r="H20" i="83" s="1"/>
  <c r="L117" i="79"/>
  <c r="L116" i="79"/>
  <c r="G11" i="86"/>
  <c r="E11" i="86"/>
  <c r="D11" i="86"/>
  <c r="C34" i="81" l="1"/>
  <c r="T24" i="83"/>
  <c r="I118" i="79"/>
  <c r="C33" i="33"/>
  <c r="C40" i="33" s="1"/>
  <c r="F118" i="33" s="1"/>
  <c r="I40" i="35"/>
  <c r="G40" i="35"/>
  <c r="E40" i="35"/>
  <c r="E21" i="35"/>
  <c r="E17" i="35"/>
  <c r="E15" i="35"/>
  <c r="E5" i="35"/>
  <c r="I37" i="35"/>
  <c r="E37" i="35"/>
  <c r="AB3" i="83"/>
  <c r="M29" i="79"/>
  <c r="M28" i="79"/>
  <c r="M27" i="79"/>
  <c r="M26" i="79"/>
  <c r="M25" i="79"/>
  <c r="I5" i="85"/>
  <c r="G5" i="85"/>
  <c r="G47" i="33" l="1"/>
  <c r="I47" i="33"/>
  <c r="G19" i="33"/>
  <c r="G19" i="85" s="1"/>
  <c r="I19" i="85" s="1"/>
  <c r="G23" i="33"/>
  <c r="G23" i="85" s="1"/>
  <c r="I23" i="85" s="1"/>
  <c r="I23" i="33"/>
  <c r="I17" i="33"/>
  <c r="I19" i="33"/>
  <c r="M21" i="79"/>
  <c r="M20" i="79"/>
  <c r="M19" i="79"/>
  <c r="M18" i="79"/>
  <c r="M17" i="79"/>
  <c r="M16" i="79"/>
  <c r="M8" i="79"/>
  <c r="M7" i="79"/>
  <c r="M6" i="79"/>
  <c r="M5" i="79"/>
  <c r="B130" i="85" l="1"/>
  <c r="B128" i="85"/>
  <c r="B126" i="85"/>
  <c r="D125" i="85"/>
  <c r="E125" i="85" s="1"/>
  <c r="F125" i="85" s="1"/>
  <c r="G125" i="85" s="1"/>
  <c r="D123" i="85"/>
  <c r="E123" i="85" s="1"/>
  <c r="F123" i="85" s="1"/>
  <c r="G123" i="85" s="1"/>
  <c r="H123" i="85" s="1"/>
  <c r="I123" i="85" s="1"/>
  <c r="J123" i="85" s="1"/>
  <c r="K123" i="85" s="1"/>
  <c r="L123" i="85" s="1"/>
  <c r="M123" i="85" s="1"/>
  <c r="D121" i="85"/>
  <c r="E121" i="85" s="1"/>
  <c r="F121" i="85" s="1"/>
  <c r="G121" i="85" s="1"/>
  <c r="H121" i="85" s="1"/>
  <c r="I121" i="85" s="1"/>
  <c r="J121" i="85" s="1"/>
  <c r="K121" i="85" s="1"/>
  <c r="L121" i="85" s="1"/>
  <c r="M121" i="85" s="1"/>
  <c r="D117" i="85"/>
  <c r="E117" i="85" s="1"/>
  <c r="F117" i="85" s="1"/>
  <c r="G117" i="85" s="1"/>
  <c r="D115" i="85"/>
  <c r="E115" i="85" s="1"/>
  <c r="F115" i="85" s="1"/>
  <c r="G115" i="85" s="1"/>
  <c r="H115" i="85" s="1"/>
  <c r="I115" i="85" s="1"/>
  <c r="J115" i="85" s="1"/>
  <c r="K115" i="85" s="1"/>
  <c r="L115" i="85" s="1"/>
  <c r="M115" i="85" s="1"/>
  <c r="D113" i="85"/>
  <c r="E113" i="85" s="1"/>
  <c r="F113" i="85" s="1"/>
  <c r="G113" i="85" s="1"/>
  <c r="H113" i="85" s="1"/>
  <c r="I113" i="85" s="1"/>
  <c r="J113" i="85" s="1"/>
  <c r="K113" i="85" s="1"/>
  <c r="L113" i="85" s="1"/>
  <c r="M113" i="85" s="1"/>
  <c r="D111" i="85"/>
  <c r="E111" i="85" s="1"/>
  <c r="F111" i="85" s="1"/>
  <c r="G111" i="85" s="1"/>
  <c r="H111" i="85" s="1"/>
  <c r="I111" i="85" s="1"/>
  <c r="J111" i="85" s="1"/>
  <c r="K111" i="85" s="1"/>
  <c r="L111" i="85" s="1"/>
  <c r="M111" i="85" s="1"/>
  <c r="G109" i="85"/>
  <c r="F109" i="85"/>
  <c r="E109" i="85"/>
  <c r="D109" i="85"/>
  <c r="C109" i="85"/>
  <c r="D108" i="85"/>
  <c r="E108" i="85" s="1"/>
  <c r="D106" i="85"/>
  <c r="E106" i="85" s="1"/>
  <c r="F106" i="85" s="1"/>
  <c r="G106" i="85" s="1"/>
  <c r="H106" i="85" s="1"/>
  <c r="I106" i="85" s="1"/>
  <c r="J106" i="85" s="1"/>
  <c r="K106" i="85" s="1"/>
  <c r="L106" i="85" s="1"/>
  <c r="M106" i="85" s="1"/>
  <c r="M102" i="85"/>
  <c r="L102" i="85"/>
  <c r="K102" i="85"/>
  <c r="J102" i="85"/>
  <c r="I102" i="85"/>
  <c r="H102" i="85"/>
  <c r="G102" i="85"/>
  <c r="F102" i="85"/>
  <c r="E102" i="85"/>
  <c r="D102" i="85"/>
  <c r="C102" i="85"/>
  <c r="D101" i="85"/>
  <c r="E101" i="85" s="1"/>
  <c r="F101" i="85" s="1"/>
  <c r="G101" i="85" s="1"/>
  <c r="H101" i="85" s="1"/>
  <c r="I101" i="85" s="1"/>
  <c r="J101" i="85" s="1"/>
  <c r="K101" i="85" s="1"/>
  <c r="L101" i="85" s="1"/>
  <c r="M101" i="85" s="1"/>
  <c r="B98" i="85"/>
  <c r="B96" i="85"/>
  <c r="B94" i="85"/>
  <c r="B92" i="85"/>
  <c r="H28" i="85" s="1"/>
  <c r="AB28" i="85" s="1"/>
  <c r="D91" i="85"/>
  <c r="E91" i="85" s="1"/>
  <c r="F91" i="85" s="1"/>
  <c r="G91" i="85" s="1"/>
  <c r="H91" i="85" s="1"/>
  <c r="I91" i="85" s="1"/>
  <c r="J91" i="85" s="1"/>
  <c r="K91" i="85" s="1"/>
  <c r="L91" i="85" s="1"/>
  <c r="M91" i="85" s="1"/>
  <c r="B90" i="85"/>
  <c r="B88" i="85"/>
  <c r="D87" i="85"/>
  <c r="E87" i="85" s="1"/>
  <c r="F87" i="85" s="1"/>
  <c r="G87" i="85" s="1"/>
  <c r="H87" i="85" s="1"/>
  <c r="I87" i="85" s="1"/>
  <c r="J87" i="85" s="1"/>
  <c r="K87" i="85" s="1"/>
  <c r="L87" i="85" s="1"/>
  <c r="M87" i="85" s="1"/>
  <c r="D85" i="85"/>
  <c r="E85" i="85" s="1"/>
  <c r="F85" i="85" s="1"/>
  <c r="G85" i="85" s="1"/>
  <c r="D83" i="85"/>
  <c r="E83" i="85" s="1"/>
  <c r="F83" i="85" s="1"/>
  <c r="G83" i="85" s="1"/>
  <c r="D81" i="85"/>
  <c r="E81" i="85" s="1"/>
  <c r="F81" i="85" s="1"/>
  <c r="G81" i="85" s="1"/>
  <c r="D79" i="85"/>
  <c r="E79" i="85" s="1"/>
  <c r="F79" i="85" s="1"/>
  <c r="G79" i="85" s="1"/>
  <c r="D77" i="85"/>
  <c r="E77" i="85" s="1"/>
  <c r="F77" i="85" s="1"/>
  <c r="G77" i="85" s="1"/>
  <c r="B74" i="85"/>
  <c r="B72" i="85"/>
  <c r="H13" i="85" s="1"/>
  <c r="U13" i="85" s="1"/>
  <c r="B70" i="85"/>
  <c r="D69" i="85"/>
  <c r="E69" i="85" s="1"/>
  <c r="F69" i="85" s="1"/>
  <c r="G69" i="85" s="1"/>
  <c r="H69" i="85" s="1"/>
  <c r="I69" i="85" s="1"/>
  <c r="J69" i="85" s="1"/>
  <c r="K69" i="85" s="1"/>
  <c r="L69" i="85" s="1"/>
  <c r="M69" i="85" s="1"/>
  <c r="M67" i="85"/>
  <c r="L67" i="85"/>
  <c r="K67" i="85"/>
  <c r="J67" i="85"/>
  <c r="I67" i="85"/>
  <c r="H67" i="85"/>
  <c r="G67" i="85"/>
  <c r="F67" i="85"/>
  <c r="E67" i="85"/>
  <c r="D67" i="85"/>
  <c r="C67" i="85"/>
  <c r="G66" i="85"/>
  <c r="H66" i="85" s="1"/>
  <c r="I66" i="85" s="1"/>
  <c r="C63" i="85"/>
  <c r="N59" i="85"/>
  <c r="M59" i="85"/>
  <c r="L59" i="85"/>
  <c r="K59" i="85"/>
  <c r="J59" i="85"/>
  <c r="I59" i="85"/>
  <c r="H59" i="85"/>
  <c r="G59" i="85"/>
  <c r="F59" i="85"/>
  <c r="E59" i="85"/>
  <c r="D59" i="85"/>
  <c r="P49" i="85"/>
  <c r="P48" i="85"/>
  <c r="K48" i="85"/>
  <c r="P47" i="85"/>
  <c r="Q46" i="85"/>
  <c r="Z46" i="85" s="1"/>
  <c r="J46" i="85"/>
  <c r="AC46" i="85" s="1"/>
  <c r="H46" i="85"/>
  <c r="AB46" i="85" s="1"/>
  <c r="F46" i="85"/>
  <c r="AA46" i="85" s="1"/>
  <c r="Q45" i="85"/>
  <c r="Z45" i="85" s="1"/>
  <c r="J45" i="85"/>
  <c r="AC45" i="85" s="1"/>
  <c r="H45" i="85"/>
  <c r="AB45" i="85" s="1"/>
  <c r="F45" i="85"/>
  <c r="AA45" i="85" s="1"/>
  <c r="Q44" i="85"/>
  <c r="Z44" i="85" s="1"/>
  <c r="J44" i="85"/>
  <c r="AC44" i="85" s="1"/>
  <c r="H44" i="85"/>
  <c r="AB44" i="85" s="1"/>
  <c r="F44" i="85"/>
  <c r="AA44" i="85" s="1"/>
  <c r="Q43" i="85"/>
  <c r="Z43" i="85" s="1"/>
  <c r="J43" i="85"/>
  <c r="AC43" i="85" s="1"/>
  <c r="H43" i="85"/>
  <c r="AB43" i="85" s="1"/>
  <c r="F43" i="85"/>
  <c r="AA43" i="85" s="1"/>
  <c r="Q42" i="85"/>
  <c r="Z42" i="85" s="1"/>
  <c r="J42" i="85"/>
  <c r="AC42" i="85" s="1"/>
  <c r="H42" i="85"/>
  <c r="AB42" i="85" s="1"/>
  <c r="F42" i="85"/>
  <c r="AA42" i="85" s="1"/>
  <c r="Q41" i="85"/>
  <c r="Z41" i="85" s="1"/>
  <c r="J41" i="85"/>
  <c r="AC41" i="85" s="1"/>
  <c r="H41" i="85"/>
  <c r="AB41" i="85" s="1"/>
  <c r="F41" i="85"/>
  <c r="AA41" i="85" s="1"/>
  <c r="Q40" i="85"/>
  <c r="Z40" i="85" s="1"/>
  <c r="Q39" i="85"/>
  <c r="Z39" i="85" s="1"/>
  <c r="J39" i="85"/>
  <c r="AC39" i="85" s="1"/>
  <c r="H39" i="85"/>
  <c r="AB39" i="85" s="1"/>
  <c r="F39" i="85"/>
  <c r="AA39" i="85" s="1"/>
  <c r="Q38" i="85"/>
  <c r="Z38" i="85" s="1"/>
  <c r="J38" i="85"/>
  <c r="AC38" i="85" s="1"/>
  <c r="H38" i="85"/>
  <c r="AB38" i="85" s="1"/>
  <c r="F38" i="85"/>
  <c r="AA38" i="85" s="1"/>
  <c r="Q37" i="85"/>
  <c r="Z37" i="85" s="1"/>
  <c r="J37" i="85"/>
  <c r="AC37" i="85" s="1"/>
  <c r="H37" i="85"/>
  <c r="AB37" i="85" s="1"/>
  <c r="F37" i="85"/>
  <c r="AA37" i="85" s="1"/>
  <c r="Q36" i="85"/>
  <c r="Z36" i="85" s="1"/>
  <c r="I36" i="85"/>
  <c r="J36" i="85" s="1"/>
  <c r="G36" i="85"/>
  <c r="H36" i="85" s="1"/>
  <c r="F36" i="85"/>
  <c r="AA36" i="85" s="1"/>
  <c r="Q35" i="85"/>
  <c r="Z35" i="85" s="1"/>
  <c r="Q34" i="85"/>
  <c r="Z34" i="85" s="1"/>
  <c r="J34" i="85"/>
  <c r="AC34" i="85" s="1"/>
  <c r="H34" i="85"/>
  <c r="AB34" i="85" s="1"/>
  <c r="F34" i="85"/>
  <c r="AA34" i="85" s="1"/>
  <c r="Q33" i="85"/>
  <c r="Z33" i="85" s="1"/>
  <c r="Q32" i="85"/>
  <c r="Z32" i="85" s="1"/>
  <c r="J32" i="85"/>
  <c r="AC32" i="85" s="1"/>
  <c r="H32" i="85"/>
  <c r="AB32" i="85" s="1"/>
  <c r="F32" i="85"/>
  <c r="AA32" i="85" s="1"/>
  <c r="Q31" i="85"/>
  <c r="Z31" i="85" s="1"/>
  <c r="J31" i="85"/>
  <c r="W31" i="85" s="1"/>
  <c r="H31" i="85"/>
  <c r="AB31" i="85" s="1"/>
  <c r="F31" i="85"/>
  <c r="AA31" i="85" s="1"/>
  <c r="Q30" i="85"/>
  <c r="Z30" i="85" s="1"/>
  <c r="J30" i="85"/>
  <c r="AC30" i="85" s="1"/>
  <c r="H30" i="85"/>
  <c r="AB30" i="85" s="1"/>
  <c r="F30" i="85"/>
  <c r="AA30" i="85" s="1"/>
  <c r="Q29" i="85"/>
  <c r="Z29" i="85" s="1"/>
  <c r="J29" i="85"/>
  <c r="AC29" i="85" s="1"/>
  <c r="H29" i="85"/>
  <c r="AB29" i="85" s="1"/>
  <c r="F29" i="85"/>
  <c r="AA29" i="85" s="1"/>
  <c r="Q28" i="85"/>
  <c r="Z28" i="85" s="1"/>
  <c r="J28" i="85"/>
  <c r="AC28" i="85" s="1"/>
  <c r="F28" i="85"/>
  <c r="AA28" i="85" s="1"/>
  <c r="Q27" i="85"/>
  <c r="Z27" i="85" s="1"/>
  <c r="J27" i="85"/>
  <c r="AC27" i="85" s="1"/>
  <c r="H27" i="85"/>
  <c r="F27" i="85"/>
  <c r="AA27" i="85" s="1"/>
  <c r="Q26" i="85"/>
  <c r="Z26" i="85" s="1"/>
  <c r="J26" i="85"/>
  <c r="AC26" i="85" s="1"/>
  <c r="H26" i="85"/>
  <c r="AB26" i="85" s="1"/>
  <c r="F26" i="85"/>
  <c r="AA26" i="85" s="1"/>
  <c r="Q25" i="85"/>
  <c r="Z25" i="85" s="1"/>
  <c r="H25" i="85"/>
  <c r="AB25" i="85" s="1"/>
  <c r="Q23" i="85"/>
  <c r="Z23" i="85" s="1"/>
  <c r="J23" i="85"/>
  <c r="AC23" i="85" s="1"/>
  <c r="H23" i="85"/>
  <c r="AB23" i="85" s="1"/>
  <c r="F23" i="85"/>
  <c r="AA23" i="85" s="1"/>
  <c r="C23" i="85"/>
  <c r="Q21" i="85"/>
  <c r="Z21" i="85" s="1"/>
  <c r="J21" i="85"/>
  <c r="AC21" i="85" s="1"/>
  <c r="H21" i="85"/>
  <c r="AB21" i="85" s="1"/>
  <c r="F21" i="85"/>
  <c r="S21" i="85" s="1"/>
  <c r="C21" i="85"/>
  <c r="Q19" i="85"/>
  <c r="Z19" i="85" s="1"/>
  <c r="J19" i="85"/>
  <c r="AC19" i="85" s="1"/>
  <c r="H19" i="85"/>
  <c r="AB19" i="85" s="1"/>
  <c r="F19" i="85"/>
  <c r="AA19" i="85" s="1"/>
  <c r="C19" i="85"/>
  <c r="Q17" i="85"/>
  <c r="Z17" i="85" s="1"/>
  <c r="J17" i="85"/>
  <c r="AC17" i="85" s="1"/>
  <c r="H17" i="85"/>
  <c r="AB17" i="85" s="1"/>
  <c r="F17" i="85"/>
  <c r="AA17" i="85" s="1"/>
  <c r="C17" i="85"/>
  <c r="Q15" i="85"/>
  <c r="Z15" i="85" s="1"/>
  <c r="J15" i="85"/>
  <c r="AC15" i="85" s="1"/>
  <c r="H15" i="85"/>
  <c r="AB15" i="85" s="1"/>
  <c r="F15" i="85"/>
  <c r="AA15" i="85" s="1"/>
  <c r="C15" i="85"/>
  <c r="Q14" i="85"/>
  <c r="Z14" i="85" s="1"/>
  <c r="J14" i="85"/>
  <c r="AC14" i="85" s="1"/>
  <c r="H14" i="85"/>
  <c r="AB14" i="85" s="1"/>
  <c r="F14" i="85"/>
  <c r="AA14" i="85" s="1"/>
  <c r="Q13" i="85"/>
  <c r="Z13" i="85" s="1"/>
  <c r="J13" i="85"/>
  <c r="AC13" i="85" s="1"/>
  <c r="F13" i="85"/>
  <c r="AA13" i="85" s="1"/>
  <c r="Q12" i="85"/>
  <c r="Z12" i="85" s="1"/>
  <c r="J12" i="85"/>
  <c r="AC12" i="85" s="1"/>
  <c r="H12" i="85"/>
  <c r="AB12" i="85" s="1"/>
  <c r="F12" i="85"/>
  <c r="AA12" i="85" s="1"/>
  <c r="Q11" i="85"/>
  <c r="Z11" i="85" s="1"/>
  <c r="J11" i="85"/>
  <c r="AC11" i="85" s="1"/>
  <c r="H11" i="85"/>
  <c r="AB11" i="85" s="1"/>
  <c r="F11" i="85"/>
  <c r="AA11" i="85" s="1"/>
  <c r="Q10" i="85"/>
  <c r="Z10" i="85" s="1"/>
  <c r="J10" i="85"/>
  <c r="AC10" i="85" s="1"/>
  <c r="H10" i="85"/>
  <c r="AB10" i="85" s="1"/>
  <c r="F10" i="85"/>
  <c r="AA10" i="85" s="1"/>
  <c r="Q9" i="85"/>
  <c r="Z9" i="85" s="1"/>
  <c r="J9" i="85"/>
  <c r="AC9" i="85" s="1"/>
  <c r="H9" i="85"/>
  <c r="AB9" i="85" s="1"/>
  <c r="F9" i="85"/>
  <c r="AA9" i="85" s="1"/>
  <c r="J8" i="85"/>
  <c r="W8" i="85" s="1"/>
  <c r="H8" i="85"/>
  <c r="AB8" i="85" s="1"/>
  <c r="F8" i="85"/>
  <c r="S8" i="85" s="1"/>
  <c r="M34" i="79"/>
  <c r="L34" i="79"/>
  <c r="I5" i="35" s="1"/>
  <c r="L33" i="79"/>
  <c r="G5" i="35" s="1"/>
  <c r="D2" i="85"/>
  <c r="U30" i="85" l="1"/>
  <c r="F25" i="85"/>
  <c r="AA25" i="85" s="1"/>
  <c r="J25" i="85"/>
  <c r="AC25" i="85" s="1"/>
  <c r="W27" i="85"/>
  <c r="AC31" i="85"/>
  <c r="F108" i="85"/>
  <c r="G108" i="85" s="1"/>
  <c r="H108" i="85" s="1"/>
  <c r="I108" i="85" s="1"/>
  <c r="J108" i="85" s="1"/>
  <c r="K108" i="85" s="1"/>
  <c r="L108" i="85" s="1"/>
  <c r="M108" i="85" s="1"/>
  <c r="J35" i="85"/>
  <c r="AC35" i="85" s="1"/>
  <c r="H35" i="85"/>
  <c r="U35" i="85" s="1"/>
  <c r="F35" i="85"/>
  <c r="AA35" i="85" s="1"/>
  <c r="U8" i="85"/>
  <c r="AA8" i="85"/>
  <c r="AC8" i="85"/>
  <c r="U11" i="85"/>
  <c r="S12" i="85"/>
  <c r="W12" i="85"/>
  <c r="AB13" i="85"/>
  <c r="W15" i="85"/>
  <c r="S17" i="85"/>
  <c r="W17" i="85"/>
  <c r="S19" i="85"/>
  <c r="W19" i="85"/>
  <c r="W21" i="85"/>
  <c r="AA21" i="85"/>
  <c r="S23" i="85"/>
  <c r="W23" i="85"/>
  <c r="U25" i="85"/>
  <c r="S26" i="85"/>
  <c r="W26" i="85"/>
  <c r="AB27" i="85"/>
  <c r="U27" i="85"/>
  <c r="S29" i="85"/>
  <c r="S34" i="85"/>
  <c r="AB36" i="85"/>
  <c r="U36" i="85"/>
  <c r="U9" i="85"/>
  <c r="S10" i="85"/>
  <c r="W10" i="85"/>
  <c r="S14" i="85"/>
  <c r="W14" i="85"/>
  <c r="S15" i="85"/>
  <c r="S9" i="85"/>
  <c r="W9" i="85"/>
  <c r="U10" i="85"/>
  <c r="S11" i="85"/>
  <c r="W11" i="85"/>
  <c r="U12" i="85"/>
  <c r="S13" i="85"/>
  <c r="W13" i="85"/>
  <c r="U14" i="85"/>
  <c r="U15" i="85"/>
  <c r="U17" i="85"/>
  <c r="U19" i="85"/>
  <c r="U21" i="85"/>
  <c r="U23" i="85"/>
  <c r="W25" i="85"/>
  <c r="U26" i="85"/>
  <c r="S27" i="85"/>
  <c r="U28" i="85"/>
  <c r="W29" i="85"/>
  <c r="S31" i="85"/>
  <c r="U32" i="85"/>
  <c r="W34" i="85"/>
  <c r="AC36" i="85"/>
  <c r="W36" i="85"/>
  <c r="S36" i="85"/>
  <c r="U37" i="85"/>
  <c r="S38" i="85"/>
  <c r="W38" i="85"/>
  <c r="U39" i="85"/>
  <c r="U41" i="85"/>
  <c r="S42" i="85"/>
  <c r="W42" i="85"/>
  <c r="U43" i="85"/>
  <c r="S44" i="85"/>
  <c r="W44" i="85"/>
  <c r="U45" i="85"/>
  <c r="S46" i="85"/>
  <c r="W46" i="85"/>
  <c r="S28" i="85"/>
  <c r="W28" i="85"/>
  <c r="U29" i="85"/>
  <c r="S30" i="85"/>
  <c r="W30" i="85"/>
  <c r="U31" i="85"/>
  <c r="S32" i="85"/>
  <c r="W32" i="85"/>
  <c r="U34" i="85"/>
  <c r="S37" i="85"/>
  <c r="W37" i="85"/>
  <c r="U38" i="85"/>
  <c r="S39" i="85"/>
  <c r="W39" i="85"/>
  <c r="S41" i="85"/>
  <c r="W41" i="85"/>
  <c r="U42" i="85"/>
  <c r="S43" i="85"/>
  <c r="W43" i="85"/>
  <c r="U44" i="85"/>
  <c r="S45" i="85"/>
  <c r="W45" i="85"/>
  <c r="U46" i="85"/>
  <c r="D124" i="79"/>
  <c r="H124" i="79" s="1"/>
  <c r="D115" i="79"/>
  <c r="D109" i="79"/>
  <c r="O33" i="79" s="1"/>
  <c r="D106" i="79"/>
  <c r="H109" i="79" s="1"/>
  <c r="N21" i="79"/>
  <c r="I40" i="33" s="1"/>
  <c r="C118" i="33" s="1"/>
  <c r="P21" i="79"/>
  <c r="Q21" i="79"/>
  <c r="L21" i="79"/>
  <c r="I5" i="33" s="1"/>
  <c r="N27" i="79"/>
  <c r="O27" i="79"/>
  <c r="P27" i="79"/>
  <c r="Q27" i="79"/>
  <c r="H115" i="79" l="1"/>
  <c r="H118" i="79"/>
  <c r="S25" i="85"/>
  <c r="W35" i="85"/>
  <c r="S35" i="85"/>
  <c r="AB35" i="85"/>
  <c r="N29" i="79"/>
  <c r="O29" i="79"/>
  <c r="P29" i="79"/>
  <c r="Q29" i="79"/>
  <c r="N28" i="79"/>
  <c r="I40" i="85" s="1"/>
  <c r="I47" i="85"/>
  <c r="P28" i="79"/>
  <c r="Q28" i="79"/>
  <c r="C118" i="85" l="1"/>
  <c r="V47" i="85"/>
  <c r="N26" i="79"/>
  <c r="G40" i="85" s="1"/>
  <c r="G47" i="85"/>
  <c r="P26" i="79"/>
  <c r="Q26" i="79"/>
  <c r="N25" i="79"/>
  <c r="E40" i="85" s="1"/>
  <c r="E47" i="85"/>
  <c r="P25" i="79"/>
  <c r="Q25" i="79"/>
  <c r="L25" i="79"/>
  <c r="E5" i="85" s="1"/>
  <c r="P20" i="79"/>
  <c r="Q20" i="79"/>
  <c r="L20" i="79"/>
  <c r="G5" i="33" s="1"/>
  <c r="O18" i="79"/>
  <c r="P18" i="79"/>
  <c r="Q18" i="79"/>
  <c r="N18" i="79"/>
  <c r="E33" i="33" s="1"/>
  <c r="L18" i="79"/>
  <c r="L7" i="79"/>
  <c r="C44" i="79"/>
  <c r="N20" i="79" s="1"/>
  <c r="G40" i="33" s="1"/>
  <c r="E118" i="33" s="1"/>
  <c r="J40" i="85" l="1"/>
  <c r="E118" i="85"/>
  <c r="F40" i="85"/>
  <c r="D118" i="85"/>
  <c r="H40" i="85"/>
  <c r="G54" i="85"/>
  <c r="H54" i="85" s="1"/>
  <c r="T47" i="85"/>
  <c r="E54" i="85"/>
  <c r="F54" i="85" s="1"/>
  <c r="R47" i="85"/>
  <c r="I54" i="85"/>
  <c r="J54" i="85" s="1"/>
  <c r="Q10" i="79"/>
  <c r="P10" i="79"/>
  <c r="O10" i="79"/>
  <c r="N10" i="79"/>
  <c r="N19" i="79"/>
  <c r="M10" i="79"/>
  <c r="L10" i="79"/>
  <c r="N5" i="79"/>
  <c r="O5" i="79" s="1"/>
  <c r="E48" i="34" s="1"/>
  <c r="L5" i="79"/>
  <c r="E5" i="34" s="1"/>
  <c r="Q5" i="79"/>
  <c r="P5" i="79"/>
  <c r="L6" i="79"/>
  <c r="N6" i="79"/>
  <c r="O6" i="79"/>
  <c r="L106" i="79"/>
  <c r="C105" i="79"/>
  <c r="D105" i="79" s="1"/>
  <c r="C104" i="79"/>
  <c r="D104" i="79" s="1"/>
  <c r="L104" i="79" s="1"/>
  <c r="L121" i="79"/>
  <c r="L120" i="79"/>
  <c r="C103" i="79"/>
  <c r="D102" i="79"/>
  <c r="D134" i="79"/>
  <c r="I106" i="79" l="1"/>
  <c r="AB40" i="85"/>
  <c r="U40" i="85"/>
  <c r="AA40" i="85"/>
  <c r="S40" i="85"/>
  <c r="AC40" i="85"/>
  <c r="W40" i="85"/>
  <c r="L105" i="79"/>
  <c r="I70" i="84"/>
  <c r="I66" i="84"/>
  <c r="I62" i="84"/>
  <c r="I58" i="84"/>
  <c r="I54" i="84"/>
  <c r="I46" i="84"/>
  <c r="I42" i="84"/>
  <c r="I38" i="84"/>
  <c r="I34" i="84"/>
  <c r="I30" i="84"/>
  <c r="I21" i="84"/>
  <c r="I17" i="84"/>
  <c r="I13" i="84"/>
  <c r="I9" i="84"/>
  <c r="I55" i="84"/>
  <c r="I72" i="84"/>
  <c r="I71" i="84"/>
  <c r="I68" i="84"/>
  <c r="I67" i="84"/>
  <c r="I64" i="84"/>
  <c r="I63" i="84"/>
  <c r="I60" i="84"/>
  <c r="I59" i="84"/>
  <c r="I47" i="84"/>
  <c r="I43" i="84"/>
  <c r="I39" i="84"/>
  <c r="I35" i="84"/>
  <c r="I31" i="84"/>
  <c r="I48" i="84"/>
  <c r="I44" i="84"/>
  <c r="I40" i="84"/>
  <c r="I36" i="84"/>
  <c r="I22" i="84"/>
  <c r="I18" i="84"/>
  <c r="I14" i="84"/>
  <c r="I10" i="84"/>
  <c r="I23" i="84"/>
  <c r="I19" i="84"/>
  <c r="I15" i="84"/>
  <c r="J15" i="84" s="1"/>
  <c r="I11" i="84"/>
  <c r="J23" i="84" l="1"/>
  <c r="J19" i="84"/>
  <c r="E21" i="83"/>
  <c r="D3" i="86" s="1"/>
  <c r="E22" i="83"/>
  <c r="F13" i="86" s="1"/>
  <c r="F43" i="84"/>
  <c r="F59" i="84"/>
  <c r="F60" i="84"/>
  <c r="F61" i="84"/>
  <c r="F62" i="84"/>
  <c r="F65" i="84"/>
  <c r="F66" i="84"/>
  <c r="F67" i="84"/>
  <c r="F68" i="84"/>
  <c r="F69" i="84"/>
  <c r="F70" i="84"/>
  <c r="F71" i="84"/>
  <c r="F72" i="84"/>
  <c r="G63" i="84"/>
  <c r="F63" i="84" s="1"/>
  <c r="G14" i="84"/>
  <c r="F15" i="84" s="1"/>
  <c r="G57" i="84"/>
  <c r="G56" i="84"/>
  <c r="I56" i="84" s="1"/>
  <c r="G55" i="84"/>
  <c r="G54" i="84"/>
  <c r="G8" i="84"/>
  <c r="F9" i="84" s="1"/>
  <c r="G32" i="84"/>
  <c r="I32" i="84" s="1"/>
  <c r="G31" i="84"/>
  <c r="G30" i="84"/>
  <c r="G7" i="84"/>
  <c r="G6" i="84"/>
  <c r="G5" i="84"/>
  <c r="F34" i="84"/>
  <c r="F35" i="84"/>
  <c r="F36" i="84"/>
  <c r="F37" i="84"/>
  <c r="F38" i="84"/>
  <c r="F39" i="84"/>
  <c r="F40" i="84"/>
  <c r="F41" i="84"/>
  <c r="F42" i="84"/>
  <c r="F44" i="84"/>
  <c r="F45" i="84"/>
  <c r="F46" i="84"/>
  <c r="F47" i="84"/>
  <c r="F48" i="84"/>
  <c r="F10" i="84"/>
  <c r="F11" i="84"/>
  <c r="F12" i="84"/>
  <c r="F13" i="84"/>
  <c r="F14" i="84"/>
  <c r="F16" i="84"/>
  <c r="F17" i="84"/>
  <c r="F18" i="84"/>
  <c r="F19" i="84"/>
  <c r="F20" i="84"/>
  <c r="F21" i="84"/>
  <c r="F22" i="84"/>
  <c r="F23" i="84"/>
  <c r="E72" i="84"/>
  <c r="E71" i="84"/>
  <c r="E70" i="84"/>
  <c r="E69" i="84"/>
  <c r="E68" i="84"/>
  <c r="E67" i="84"/>
  <c r="E66" i="84"/>
  <c r="E65" i="84"/>
  <c r="E64" i="84"/>
  <c r="E63" i="84"/>
  <c r="E62" i="84"/>
  <c r="E61" i="84"/>
  <c r="E60" i="84"/>
  <c r="E59" i="84"/>
  <c r="E58" i="84"/>
  <c r="E57" i="84"/>
  <c r="E56" i="84"/>
  <c r="E55" i="84"/>
  <c r="F15" i="86" l="1"/>
  <c r="D13" i="86"/>
  <c r="D15" i="86" s="1"/>
  <c r="E13" i="86"/>
  <c r="E15" i="86" s="1"/>
  <c r="G13" i="86"/>
  <c r="G15" i="86" s="1"/>
  <c r="F7" i="84"/>
  <c r="I7" i="84"/>
  <c r="J11" i="84" s="1"/>
  <c r="F55" i="84"/>
  <c r="F57" i="84"/>
  <c r="F33" i="84"/>
  <c r="F8" i="84"/>
  <c r="F64" i="84"/>
  <c r="F58" i="84"/>
  <c r="F56" i="84"/>
  <c r="F6" i="84"/>
  <c r="F32" i="84"/>
  <c r="F31" i="84"/>
  <c r="AC40" i="84"/>
  <c r="AC36" i="84"/>
  <c r="AB30" i="84"/>
  <c r="AB31" i="84"/>
  <c r="AB32" i="84"/>
  <c r="AB33" i="84"/>
  <c r="AB34" i="84"/>
  <c r="AB35" i="84"/>
  <c r="AB36" i="84"/>
  <c r="AB37" i="84"/>
  <c r="AB38" i="84"/>
  <c r="AB39" i="84"/>
  <c r="AB40" i="84"/>
  <c r="AB41" i="84"/>
  <c r="AB42" i="84"/>
  <c r="AB43" i="84"/>
  <c r="AB46" i="84"/>
  <c r="AB47" i="84"/>
  <c r="AB48" i="84"/>
  <c r="AB49" i="84"/>
  <c r="AB23" i="84"/>
  <c r="AB6" i="84"/>
  <c r="AB7" i="84"/>
  <c r="AB8" i="84"/>
  <c r="AB9" i="84"/>
  <c r="AB10" i="84"/>
  <c r="AB11" i="84"/>
  <c r="AB12" i="84"/>
  <c r="AB13" i="84"/>
  <c r="AB14" i="84"/>
  <c r="AB15" i="84"/>
  <c r="AB16" i="84"/>
  <c r="AB17" i="84"/>
  <c r="AB18" i="84"/>
  <c r="AB19" i="84"/>
  <c r="AB20" i="84"/>
  <c r="AB21" i="84"/>
  <c r="AB22" i="84"/>
  <c r="AB5" i="84"/>
  <c r="V44" i="84"/>
  <c r="AC44" i="84" s="1"/>
  <c r="AA41" i="84"/>
  <c r="AA42" i="84" s="1"/>
  <c r="AA40" i="84"/>
  <c r="AA39" i="84"/>
  <c r="W39" i="84"/>
  <c r="AA38" i="84"/>
  <c r="AA37" i="84"/>
  <c r="AA36" i="84"/>
  <c r="AA35" i="84"/>
  <c r="W35" i="84"/>
  <c r="W34" i="84"/>
  <c r="W33" i="84"/>
  <c r="AA31" i="84"/>
  <c r="AA32" i="84" s="1"/>
  <c r="AA33" i="84" s="1"/>
  <c r="AA34" i="84" s="1"/>
  <c r="W31" i="84"/>
  <c r="W29" i="84"/>
  <c r="W30" i="84" s="1"/>
  <c r="AB44" i="84" l="1"/>
  <c r="AB45" i="84"/>
  <c r="E31" i="84"/>
  <c r="E32" i="84"/>
  <c r="E33" i="84"/>
  <c r="E34" i="84"/>
  <c r="E35" i="84"/>
  <c r="Y13" i="83" s="1"/>
  <c r="E36" i="84"/>
  <c r="E37" i="84"/>
  <c r="E38" i="84"/>
  <c r="E39" i="84"/>
  <c r="E40" i="84"/>
  <c r="E41" i="84"/>
  <c r="E42" i="84"/>
  <c r="E43" i="84"/>
  <c r="E44" i="84"/>
  <c r="E45" i="84"/>
  <c r="E46" i="84"/>
  <c r="E47" i="84"/>
  <c r="E48" i="84"/>
  <c r="E14" i="84"/>
  <c r="E15" i="84"/>
  <c r="E16" i="84"/>
  <c r="E17" i="84"/>
  <c r="E18" i="84"/>
  <c r="E19" i="84"/>
  <c r="E20" i="84"/>
  <c r="E21" i="84"/>
  <c r="E22" i="84"/>
  <c r="E23" i="84"/>
  <c r="E6" i="84"/>
  <c r="E7" i="84"/>
  <c r="E10" i="84"/>
  <c r="E11" i="84"/>
  <c r="E12" i="84"/>
  <c r="E13" i="84"/>
  <c r="R31" i="84"/>
  <c r="R32" i="84"/>
  <c r="R33" i="84"/>
  <c r="R34" i="84"/>
  <c r="R35" i="84"/>
  <c r="Z13" i="83" s="1"/>
  <c r="R36" i="84"/>
  <c r="R37" i="84"/>
  <c r="R38" i="84"/>
  <c r="R39" i="84"/>
  <c r="R40" i="84"/>
  <c r="R43" i="84"/>
  <c r="R44" i="84"/>
  <c r="R45" i="84"/>
  <c r="R46" i="84"/>
  <c r="R47" i="84"/>
  <c r="R48" i="84"/>
  <c r="R30" i="84"/>
  <c r="R6" i="84"/>
  <c r="R7" i="84"/>
  <c r="R8" i="84"/>
  <c r="R9" i="84"/>
  <c r="R10" i="84"/>
  <c r="R11" i="84"/>
  <c r="R12" i="84"/>
  <c r="R13" i="84"/>
  <c r="R14" i="84"/>
  <c r="R15" i="84"/>
  <c r="R18" i="84"/>
  <c r="R19" i="84"/>
  <c r="R20" i="84"/>
  <c r="R21" i="84"/>
  <c r="R22" i="84"/>
  <c r="R23" i="84"/>
  <c r="R5" i="84"/>
  <c r="Y48" i="84"/>
  <c r="X48" i="84"/>
  <c r="Q48" i="84"/>
  <c r="O48" i="84"/>
  <c r="N48" i="84"/>
  <c r="Y47" i="84"/>
  <c r="X47" i="84"/>
  <c r="Q47" i="84"/>
  <c r="O47" i="84"/>
  <c r="N47" i="84"/>
  <c r="Y46" i="84"/>
  <c r="X46" i="84"/>
  <c r="Q46" i="84"/>
  <c r="O46" i="84"/>
  <c r="N46" i="84"/>
  <c r="Y45" i="84"/>
  <c r="X45" i="84"/>
  <c r="Q45" i="84"/>
  <c r="O45" i="84"/>
  <c r="N45" i="84"/>
  <c r="Y44" i="84"/>
  <c r="X44" i="84"/>
  <c r="Q44" i="84"/>
  <c r="O44" i="84"/>
  <c r="N44" i="84"/>
  <c r="Y43" i="84"/>
  <c r="X43" i="84"/>
  <c r="Q43" i="84"/>
  <c r="O43" i="84"/>
  <c r="N43" i="84"/>
  <c r="Y42" i="84"/>
  <c r="X42" i="84"/>
  <c r="Q42" i="84"/>
  <c r="O42" i="84"/>
  <c r="Y41" i="84"/>
  <c r="X41" i="84"/>
  <c r="Q41" i="84"/>
  <c r="O41" i="84"/>
  <c r="L41" i="84"/>
  <c r="N42" i="84" s="1"/>
  <c r="Y40" i="84"/>
  <c r="X40" i="84"/>
  <c r="Q40" i="84"/>
  <c r="O40" i="84"/>
  <c r="N40" i="84"/>
  <c r="Y39" i="84"/>
  <c r="X39" i="84"/>
  <c r="Q39" i="84"/>
  <c r="O39" i="84"/>
  <c r="N39" i="84"/>
  <c r="Y38" i="84"/>
  <c r="X38" i="84"/>
  <c r="Q38" i="84"/>
  <c r="O38" i="84"/>
  <c r="N38" i="84"/>
  <c r="Y37" i="84"/>
  <c r="X37" i="84"/>
  <c r="Q37" i="84"/>
  <c r="O37" i="84"/>
  <c r="N37" i="84"/>
  <c r="Y36" i="84"/>
  <c r="X36" i="84"/>
  <c r="Q36" i="84"/>
  <c r="O36" i="84"/>
  <c r="N36" i="84"/>
  <c r="Y35" i="84"/>
  <c r="X35" i="84"/>
  <c r="Q35" i="84"/>
  <c r="O35" i="84"/>
  <c r="N35" i="84"/>
  <c r="Y34" i="84"/>
  <c r="X34" i="84"/>
  <c r="Q34" i="84"/>
  <c r="O34" i="84"/>
  <c r="N34" i="84"/>
  <c r="Y33" i="84"/>
  <c r="X33" i="84"/>
  <c r="Q33" i="84"/>
  <c r="O33" i="84"/>
  <c r="N33" i="84"/>
  <c r="Y32" i="84"/>
  <c r="X32" i="84"/>
  <c r="Q32" i="84"/>
  <c r="O32" i="84"/>
  <c r="N32" i="84"/>
  <c r="Y31" i="84"/>
  <c r="X31" i="84"/>
  <c r="Q31" i="84"/>
  <c r="O31" i="84"/>
  <c r="N31" i="84"/>
  <c r="Y30" i="84"/>
  <c r="X30" i="84"/>
  <c r="Q30" i="84"/>
  <c r="O30" i="84"/>
  <c r="N30" i="84"/>
  <c r="Q29" i="84"/>
  <c r="AA23" i="84"/>
  <c r="Y23" i="84"/>
  <c r="X23" i="84"/>
  <c r="Q23" i="84"/>
  <c r="O23" i="84"/>
  <c r="N23" i="84"/>
  <c r="AG22" i="84"/>
  <c r="AA22" i="84"/>
  <c r="Y22" i="84"/>
  <c r="X22" i="84"/>
  <c r="Q22" i="84"/>
  <c r="O22" i="84"/>
  <c r="N22" i="84"/>
  <c r="AG21" i="84"/>
  <c r="AA21" i="84"/>
  <c r="Y21" i="84"/>
  <c r="X21" i="84"/>
  <c r="Q21" i="84"/>
  <c r="O21" i="84"/>
  <c r="N21" i="84"/>
  <c r="AG20" i="84"/>
  <c r="AA20" i="84"/>
  <c r="Y20" i="84"/>
  <c r="X20" i="84"/>
  <c r="Q20" i="84"/>
  <c r="O20" i="84"/>
  <c r="N20" i="84"/>
  <c r="AG19" i="84"/>
  <c r="AA19" i="84"/>
  <c r="Y19" i="84"/>
  <c r="X19" i="84"/>
  <c r="Q19" i="84"/>
  <c r="O19" i="84"/>
  <c r="N19" i="84"/>
  <c r="AG18" i="84"/>
  <c r="AA18" i="84"/>
  <c r="Y18" i="84"/>
  <c r="X18" i="84"/>
  <c r="Q18" i="84"/>
  <c r="O18" i="84"/>
  <c r="N18" i="84"/>
  <c r="AG17" i="84"/>
  <c r="AA17" i="84"/>
  <c r="Y17" i="84"/>
  <c r="X17" i="84"/>
  <c r="Q17" i="84"/>
  <c r="AG16" i="84"/>
  <c r="AA16" i="84"/>
  <c r="Y16" i="84"/>
  <c r="X16" i="84"/>
  <c r="AA15" i="83" s="1"/>
  <c r="P16" i="84"/>
  <c r="O17" i="84" s="1"/>
  <c r="L16" i="84"/>
  <c r="R16" i="84" s="1"/>
  <c r="AG15" i="84"/>
  <c r="AA15" i="84"/>
  <c r="Y15" i="84"/>
  <c r="X15" i="84"/>
  <c r="Q15" i="84"/>
  <c r="O15" i="84"/>
  <c r="N15" i="84"/>
  <c r="AG14" i="84"/>
  <c r="AA14" i="84"/>
  <c r="Y14" i="84"/>
  <c r="X14" i="84"/>
  <c r="Q14" i="84"/>
  <c r="O14" i="84"/>
  <c r="N14" i="84"/>
  <c r="AG13" i="84"/>
  <c r="AA13" i="84"/>
  <c r="Y13" i="84"/>
  <c r="X13" i="84"/>
  <c r="Q13" i="84"/>
  <c r="O13" i="84"/>
  <c r="N13" i="84"/>
  <c r="AA12" i="84"/>
  <c r="Y12" i="84"/>
  <c r="X12" i="84"/>
  <c r="AA14" i="83" s="1"/>
  <c r="Q12" i="84"/>
  <c r="O12" i="84"/>
  <c r="N12" i="84"/>
  <c r="AA11" i="84"/>
  <c r="Y11" i="84"/>
  <c r="X11" i="84"/>
  <c r="Q11" i="84"/>
  <c r="O11" i="84"/>
  <c r="N11" i="84"/>
  <c r="AA10" i="84"/>
  <c r="Y10" i="84"/>
  <c r="X10" i="84"/>
  <c r="Q10" i="84"/>
  <c r="O10" i="84"/>
  <c r="N10" i="84"/>
  <c r="AA9" i="84"/>
  <c r="Y9" i="84"/>
  <c r="X9" i="84"/>
  <c r="Q9" i="84"/>
  <c r="O9" i="84"/>
  <c r="N9" i="84"/>
  <c r="AA8" i="84"/>
  <c r="Y8" i="84"/>
  <c r="X8" i="84"/>
  <c r="Q8" i="84"/>
  <c r="O8" i="84"/>
  <c r="N8" i="84"/>
  <c r="E8" i="84"/>
  <c r="AA7" i="84"/>
  <c r="Y7" i="84"/>
  <c r="X7" i="84"/>
  <c r="Q7" i="84"/>
  <c r="O7" i="84"/>
  <c r="N7" i="84"/>
  <c r="AA6" i="84"/>
  <c r="Y6" i="84"/>
  <c r="X6" i="84"/>
  <c r="Q6" i="84"/>
  <c r="O6" i="84"/>
  <c r="N6" i="84"/>
  <c r="AA5" i="84"/>
  <c r="Y5" i="84"/>
  <c r="X5" i="84"/>
  <c r="Q5" i="84"/>
  <c r="O5" i="84"/>
  <c r="N5" i="84"/>
  <c r="AA4" i="84"/>
  <c r="Q4" i="84"/>
  <c r="D4" i="84"/>
  <c r="I5" i="84" s="1"/>
  <c r="C4" i="84"/>
  <c r="Z14" i="83" l="1"/>
  <c r="Y15" i="83"/>
  <c r="Y14" i="83"/>
  <c r="E5" i="84"/>
  <c r="I6" i="84"/>
  <c r="N16" i="84"/>
  <c r="N17" i="84"/>
  <c r="N41" i="84"/>
  <c r="R17" i="84"/>
  <c r="R41" i="84"/>
  <c r="Z15" i="83" s="1"/>
  <c r="E9" i="84"/>
  <c r="R42" i="84"/>
  <c r="O16" i="84"/>
  <c r="Q16" i="84"/>
  <c r="AB14" i="83" l="1"/>
  <c r="AB15" i="83"/>
  <c r="E59" i="33"/>
  <c r="D59" i="33"/>
  <c r="L54" i="34"/>
  <c r="M54" i="34"/>
  <c r="N54" i="34"/>
  <c r="O45" i="34" l="1"/>
  <c r="N45" i="34"/>
  <c r="L41" i="82"/>
  <c r="AA35" i="82" s="1"/>
  <c r="L44" i="82"/>
  <c r="AA36" i="82" s="1"/>
  <c r="O50" i="82" l="1"/>
  <c r="O49" i="82"/>
  <c r="O48" i="82"/>
  <c r="O47" i="82"/>
  <c r="I45" i="82"/>
  <c r="I44" i="82"/>
  <c r="I42" i="82"/>
  <c r="I41" i="82"/>
  <c r="L39" i="82"/>
  <c r="I39" i="82"/>
  <c r="L38" i="82"/>
  <c r="AA32" i="82" s="1"/>
  <c r="I38" i="82"/>
  <c r="I37" i="82"/>
  <c r="I36" i="82"/>
  <c r="I35" i="82"/>
  <c r="T48" i="81"/>
  <c r="I33" i="82"/>
  <c r="L30" i="82"/>
  <c r="AA31" i="82" s="1"/>
  <c r="I30" i="82"/>
  <c r="L29" i="82"/>
  <c r="AA30" i="82" s="1"/>
  <c r="L28" i="82"/>
  <c r="AA29" i="82" s="1"/>
  <c r="L27" i="82"/>
  <c r="AA28" i="82" s="1"/>
  <c r="I27" i="82"/>
  <c r="H26" i="82"/>
  <c r="I26" i="82" s="1"/>
  <c r="L25" i="82"/>
  <c r="AA27" i="82" s="1"/>
  <c r="L23" i="82"/>
  <c r="AA26" i="82" s="1"/>
  <c r="I23" i="82"/>
  <c r="L22" i="82"/>
  <c r="AA25" i="82" s="1"/>
  <c r="L21" i="82"/>
  <c r="AA24" i="82" s="1"/>
  <c r="I21" i="82"/>
  <c r="L20" i="82"/>
  <c r="I20" i="82"/>
  <c r="I19" i="82"/>
  <c r="I18" i="82"/>
  <c r="O17" i="82"/>
  <c r="L17" i="82"/>
  <c r="O16" i="82"/>
  <c r="L16" i="82"/>
  <c r="AA21" i="82" s="1"/>
  <c r="I16" i="82"/>
  <c r="O15" i="82"/>
  <c r="L15" i="82"/>
  <c r="I15" i="82"/>
  <c r="O14" i="82"/>
  <c r="L14" i="82"/>
  <c r="AA19" i="82" s="1"/>
  <c r="I14" i="82"/>
  <c r="B131" i="81"/>
  <c r="H47" i="81" s="1"/>
  <c r="AB47" i="81" s="1"/>
  <c r="B129" i="81"/>
  <c r="J46" i="81" s="1"/>
  <c r="AC46" i="81" s="1"/>
  <c r="B127" i="81"/>
  <c r="J45" i="81" s="1"/>
  <c r="AC45" i="81" s="1"/>
  <c r="D126" i="81"/>
  <c r="E126" i="81" s="1"/>
  <c r="F126" i="81" s="1"/>
  <c r="G126" i="81" s="1"/>
  <c r="D124" i="81"/>
  <c r="E124" i="81" s="1"/>
  <c r="D120" i="81"/>
  <c r="E120" i="81" s="1"/>
  <c r="D118" i="81"/>
  <c r="E118" i="81" s="1"/>
  <c r="F118" i="81" s="1"/>
  <c r="G118" i="81" s="1"/>
  <c r="D116" i="81"/>
  <c r="E116" i="81" s="1"/>
  <c r="F116" i="81" s="1"/>
  <c r="G116" i="81" s="1"/>
  <c r="H116" i="81" s="1"/>
  <c r="I116" i="81" s="1"/>
  <c r="J116" i="81" s="1"/>
  <c r="K116" i="81" s="1"/>
  <c r="L116" i="81" s="1"/>
  <c r="M116" i="81" s="1"/>
  <c r="D114" i="81"/>
  <c r="E114" i="81" s="1"/>
  <c r="F114" i="81" s="1"/>
  <c r="G114" i="81" s="1"/>
  <c r="H114" i="81" s="1"/>
  <c r="I114" i="81" s="1"/>
  <c r="J114" i="81" s="1"/>
  <c r="K114" i="81" s="1"/>
  <c r="L114" i="81" s="1"/>
  <c r="M114" i="81" s="1"/>
  <c r="D112" i="81"/>
  <c r="E112" i="81" s="1"/>
  <c r="F112" i="81" s="1"/>
  <c r="G110" i="81"/>
  <c r="F110" i="81"/>
  <c r="E110" i="81"/>
  <c r="D110" i="81"/>
  <c r="C110" i="81"/>
  <c r="D109" i="81"/>
  <c r="E109" i="81" s="1"/>
  <c r="F109" i="81" s="1"/>
  <c r="G109" i="81" s="1"/>
  <c r="H109" i="81" s="1"/>
  <c r="I109" i="81" s="1"/>
  <c r="J109" i="81" s="1"/>
  <c r="K109" i="81" s="1"/>
  <c r="L109" i="81" s="1"/>
  <c r="M109" i="81" s="1"/>
  <c r="D107" i="81"/>
  <c r="E107" i="81" s="1"/>
  <c r="F107" i="81" s="1"/>
  <c r="G107" i="81" s="1"/>
  <c r="H107" i="81" s="1"/>
  <c r="I107" i="81" s="1"/>
  <c r="J107" i="81" s="1"/>
  <c r="K107" i="81" s="1"/>
  <c r="L107" i="81" s="1"/>
  <c r="M107" i="81" s="1"/>
  <c r="M103" i="81"/>
  <c r="L103" i="81"/>
  <c r="K103" i="81"/>
  <c r="J103" i="81"/>
  <c r="I103" i="81"/>
  <c r="H103" i="81"/>
  <c r="G103" i="81"/>
  <c r="F103" i="81"/>
  <c r="E103" i="81"/>
  <c r="D103" i="81"/>
  <c r="C103" i="81"/>
  <c r="D102" i="81"/>
  <c r="E102" i="81" s="1"/>
  <c r="F102" i="81" s="1"/>
  <c r="G102" i="81" s="1"/>
  <c r="H102" i="81" s="1"/>
  <c r="I102" i="81" s="1"/>
  <c r="J102" i="81" s="1"/>
  <c r="K102" i="81" s="1"/>
  <c r="L102" i="81" s="1"/>
  <c r="M102" i="81" s="1"/>
  <c r="B99" i="81"/>
  <c r="J32" i="81" s="1"/>
  <c r="B97" i="81"/>
  <c r="J31" i="81" s="1"/>
  <c r="AC31" i="81" s="1"/>
  <c r="B95" i="81"/>
  <c r="H30" i="81" s="1"/>
  <c r="B93" i="81"/>
  <c r="H29" i="81" s="1"/>
  <c r="AB29" i="81" s="1"/>
  <c r="D92" i="81"/>
  <c r="E92" i="81" s="1"/>
  <c r="F92" i="81" s="1"/>
  <c r="G92" i="81" s="1"/>
  <c r="H92" i="81" s="1"/>
  <c r="I92" i="81" s="1"/>
  <c r="J92" i="81" s="1"/>
  <c r="K92" i="81" s="1"/>
  <c r="L92" i="81" s="1"/>
  <c r="M92" i="81" s="1"/>
  <c r="B91" i="81"/>
  <c r="H28" i="81" s="1"/>
  <c r="AB28" i="81" s="1"/>
  <c r="D90" i="81"/>
  <c r="E90" i="81" s="1"/>
  <c r="F90" i="81" s="1"/>
  <c r="G90" i="81" s="1"/>
  <c r="H90" i="81" s="1"/>
  <c r="I90" i="81" s="1"/>
  <c r="J90" i="81" s="1"/>
  <c r="K90" i="81" s="1"/>
  <c r="L90" i="81" s="1"/>
  <c r="M90" i="81" s="1"/>
  <c r="B89" i="81"/>
  <c r="J27" i="81" s="1"/>
  <c r="AC27" i="81" s="1"/>
  <c r="D88" i="81"/>
  <c r="E88" i="81" s="1"/>
  <c r="J25" i="81" s="1"/>
  <c r="W25" i="81" s="1"/>
  <c r="D86" i="81"/>
  <c r="E86" i="81" s="1"/>
  <c r="F86" i="81" s="1"/>
  <c r="G86" i="81" s="1"/>
  <c r="D84" i="81"/>
  <c r="E84" i="81" s="1"/>
  <c r="F84" i="81" s="1"/>
  <c r="G84" i="81" s="1"/>
  <c r="D82" i="81"/>
  <c r="E82" i="81" s="1"/>
  <c r="F82" i="81" s="1"/>
  <c r="G82" i="81" s="1"/>
  <c r="D80" i="81"/>
  <c r="E80" i="81" s="1"/>
  <c r="F80" i="81" s="1"/>
  <c r="G80" i="81" s="1"/>
  <c r="D78" i="81"/>
  <c r="E78" i="81" s="1"/>
  <c r="B75" i="81"/>
  <c r="H14" i="81" s="1"/>
  <c r="U14" i="81" s="1"/>
  <c r="B73" i="81"/>
  <c r="B71" i="81"/>
  <c r="J12" i="81" s="1"/>
  <c r="D70" i="81"/>
  <c r="E70" i="81" s="1"/>
  <c r="F70" i="81" s="1"/>
  <c r="G70" i="81" s="1"/>
  <c r="H70" i="81" s="1"/>
  <c r="I70" i="81" s="1"/>
  <c r="J70" i="81" s="1"/>
  <c r="K70" i="81" s="1"/>
  <c r="L70" i="81" s="1"/>
  <c r="M70" i="81" s="1"/>
  <c r="M68" i="81"/>
  <c r="L68" i="81"/>
  <c r="K68" i="81"/>
  <c r="J68" i="81"/>
  <c r="I68" i="81"/>
  <c r="H68" i="81"/>
  <c r="G68" i="81"/>
  <c r="F68" i="81"/>
  <c r="E68" i="81"/>
  <c r="D68" i="81"/>
  <c r="C68" i="81"/>
  <c r="F67" i="81"/>
  <c r="G67" i="81" s="1"/>
  <c r="H67" i="81" s="1"/>
  <c r="I67" i="81" s="1"/>
  <c r="C64" i="81"/>
  <c r="J9" i="81" s="1"/>
  <c r="P50" i="81"/>
  <c r="P49" i="81"/>
  <c r="K49" i="81"/>
  <c r="P48" i="81"/>
  <c r="Q47" i="81"/>
  <c r="Z47" i="81" s="1"/>
  <c r="Q46" i="81"/>
  <c r="Z46" i="81" s="1"/>
  <c r="Q45" i="81"/>
  <c r="Z45" i="81" s="1"/>
  <c r="Q44" i="81"/>
  <c r="Z44" i="81" s="1"/>
  <c r="J44" i="81"/>
  <c r="W44" i="81" s="1"/>
  <c r="Q43" i="81"/>
  <c r="Z43" i="81" s="1"/>
  <c r="Q42" i="81"/>
  <c r="Z42" i="81" s="1"/>
  <c r="C42" i="81"/>
  <c r="Q41" i="81"/>
  <c r="Z41" i="81" s="1"/>
  <c r="Q40" i="81"/>
  <c r="Z40" i="81" s="1"/>
  <c r="J40" i="81"/>
  <c r="W40" i="81" s="1"/>
  <c r="H40" i="81"/>
  <c r="AB40" i="81" s="1"/>
  <c r="F40" i="81"/>
  <c r="AA40" i="81" s="1"/>
  <c r="Q39" i="81"/>
  <c r="Z39" i="81" s="1"/>
  <c r="J39" i="81"/>
  <c r="W39" i="81" s="1"/>
  <c r="Q38" i="81"/>
  <c r="Z38" i="81" s="1"/>
  <c r="J38" i="81"/>
  <c r="W38" i="81" s="1"/>
  <c r="H38" i="81"/>
  <c r="U38" i="81" s="1"/>
  <c r="F38" i="81"/>
  <c r="S38" i="81" s="1"/>
  <c r="Q37" i="81"/>
  <c r="Z37" i="81" s="1"/>
  <c r="Q36" i="81"/>
  <c r="Z36" i="81" s="1"/>
  <c r="J36" i="81"/>
  <c r="AC36" i="81" s="1"/>
  <c r="H36" i="81"/>
  <c r="U36" i="81" s="1"/>
  <c r="F36" i="81"/>
  <c r="S36" i="81" s="1"/>
  <c r="Q35" i="81"/>
  <c r="Z35" i="81" s="1"/>
  <c r="J35" i="81"/>
  <c r="W35" i="81" s="1"/>
  <c r="H35" i="81"/>
  <c r="AB35" i="81" s="1"/>
  <c r="F35" i="81"/>
  <c r="S35" i="81" s="1"/>
  <c r="Q34" i="81"/>
  <c r="Z34" i="81" s="1"/>
  <c r="Q33" i="81"/>
  <c r="Z33" i="81" s="1"/>
  <c r="J33" i="81"/>
  <c r="AC33" i="81" s="1"/>
  <c r="H33" i="81"/>
  <c r="AB33" i="81" s="1"/>
  <c r="F33" i="81"/>
  <c r="S33" i="81" s="1"/>
  <c r="Q32" i="81"/>
  <c r="Z32" i="81" s="1"/>
  <c r="Q31" i="81"/>
  <c r="Z31" i="81" s="1"/>
  <c r="H31" i="81"/>
  <c r="U31" i="81" s="1"/>
  <c r="Q30" i="81"/>
  <c r="Z30" i="81" s="1"/>
  <c r="J30" i="81"/>
  <c r="AC30" i="81" s="1"/>
  <c r="F30" i="81"/>
  <c r="AA30" i="81" s="1"/>
  <c r="Q29" i="81"/>
  <c r="Z29" i="81" s="1"/>
  <c r="F29" i="81"/>
  <c r="AA29" i="81" s="1"/>
  <c r="Q28" i="81"/>
  <c r="Z28" i="81" s="1"/>
  <c r="Q27" i="81"/>
  <c r="Z27" i="81" s="1"/>
  <c r="Q25" i="81"/>
  <c r="Z25" i="81" s="1"/>
  <c r="H25" i="81"/>
  <c r="AB25" i="81" s="1"/>
  <c r="Q23" i="81"/>
  <c r="Z23" i="81" s="1"/>
  <c r="J23" i="81"/>
  <c r="W23" i="81" s="1"/>
  <c r="H23" i="81"/>
  <c r="U23" i="81" s="1"/>
  <c r="F23" i="81"/>
  <c r="AA23" i="81" s="1"/>
  <c r="C23" i="81"/>
  <c r="Q21" i="81"/>
  <c r="Z21" i="81" s="1"/>
  <c r="J21" i="81"/>
  <c r="W21" i="81" s="1"/>
  <c r="H21" i="81"/>
  <c r="U21" i="81" s="1"/>
  <c r="F21" i="81"/>
  <c r="AA21" i="81" s="1"/>
  <c r="C21" i="81"/>
  <c r="Q19" i="81"/>
  <c r="Z19" i="81" s="1"/>
  <c r="J19" i="81"/>
  <c r="W19" i="81" s="1"/>
  <c r="F19" i="81"/>
  <c r="AA19" i="81" s="1"/>
  <c r="C19" i="81"/>
  <c r="Q17" i="81"/>
  <c r="Z17" i="81" s="1"/>
  <c r="J17" i="81"/>
  <c r="W17" i="81" s="1"/>
  <c r="C17" i="81"/>
  <c r="Q15" i="81"/>
  <c r="Z15" i="81" s="1"/>
  <c r="C15" i="81"/>
  <c r="Q14" i="81"/>
  <c r="Z14" i="81" s="1"/>
  <c r="Q13" i="81"/>
  <c r="Z13" i="81" s="1"/>
  <c r="J13" i="81"/>
  <c r="W13" i="81" s="1"/>
  <c r="H13" i="81"/>
  <c r="U13" i="81" s="1"/>
  <c r="F13" i="81"/>
  <c r="S13" i="81" s="1"/>
  <c r="Q12" i="81"/>
  <c r="Z12" i="81" s="1"/>
  <c r="Q11" i="81"/>
  <c r="Z11" i="81" s="1"/>
  <c r="J11" i="81"/>
  <c r="W11" i="81" s="1"/>
  <c r="H11" i="81"/>
  <c r="U11" i="81" s="1"/>
  <c r="F11" i="81"/>
  <c r="S11" i="81" s="1"/>
  <c r="Q10" i="81"/>
  <c r="Z10" i="81" s="1"/>
  <c r="J10" i="81"/>
  <c r="AC10" i="81" s="1"/>
  <c r="H10" i="81"/>
  <c r="AB10" i="81" s="1"/>
  <c r="F10" i="81"/>
  <c r="AA10" i="81" s="1"/>
  <c r="Q9" i="81"/>
  <c r="Z9" i="81" s="1"/>
  <c r="J8" i="81"/>
  <c r="AC8" i="81" s="1"/>
  <c r="H8" i="81"/>
  <c r="AB8" i="81" s="1"/>
  <c r="F8" i="81"/>
  <c r="AA8" i="81" s="1"/>
  <c r="B130" i="80"/>
  <c r="J46" i="80" s="1"/>
  <c r="AC46" i="80" s="1"/>
  <c r="B128" i="80"/>
  <c r="H45" i="80" s="1"/>
  <c r="AB45" i="80" s="1"/>
  <c r="B126" i="80"/>
  <c r="H44" i="80" s="1"/>
  <c r="AB44" i="80" s="1"/>
  <c r="D125" i="80"/>
  <c r="H43" i="80" s="1"/>
  <c r="AB43" i="80" s="1"/>
  <c r="D123" i="80"/>
  <c r="E123" i="80" s="1"/>
  <c r="H42" i="80" s="1"/>
  <c r="AB42" i="80" s="1"/>
  <c r="D121" i="80"/>
  <c r="E121" i="80" s="1"/>
  <c r="F121" i="80" s="1"/>
  <c r="G121" i="80" s="1"/>
  <c r="H121" i="80" s="1"/>
  <c r="I121" i="80" s="1"/>
  <c r="J121" i="80" s="1"/>
  <c r="K121" i="80" s="1"/>
  <c r="L121" i="80" s="1"/>
  <c r="M121" i="80" s="1"/>
  <c r="D117" i="80"/>
  <c r="E117" i="80" s="1"/>
  <c r="F117" i="80" s="1"/>
  <c r="G117" i="80" s="1"/>
  <c r="D115" i="80"/>
  <c r="E115" i="80" s="1"/>
  <c r="F115" i="80" s="1"/>
  <c r="G115" i="80" s="1"/>
  <c r="H115" i="80" s="1"/>
  <c r="I115" i="80" s="1"/>
  <c r="J115" i="80" s="1"/>
  <c r="K115" i="80" s="1"/>
  <c r="L115" i="80" s="1"/>
  <c r="M115" i="80" s="1"/>
  <c r="D113" i="80"/>
  <c r="E113" i="80" s="1"/>
  <c r="F113" i="80" s="1"/>
  <c r="G113" i="80" s="1"/>
  <c r="H113" i="80" s="1"/>
  <c r="I113" i="80" s="1"/>
  <c r="J113" i="80" s="1"/>
  <c r="K113" i="80" s="1"/>
  <c r="L113" i="80" s="1"/>
  <c r="M113" i="80" s="1"/>
  <c r="D111" i="80"/>
  <c r="E111" i="80" s="1"/>
  <c r="F111" i="80" s="1"/>
  <c r="G109" i="80"/>
  <c r="F109" i="80"/>
  <c r="E109" i="80"/>
  <c r="D109" i="80"/>
  <c r="C109" i="80"/>
  <c r="D108" i="80"/>
  <c r="E108" i="80" s="1"/>
  <c r="J35" i="80" s="1"/>
  <c r="W35" i="80" s="1"/>
  <c r="D106" i="80"/>
  <c r="E106" i="80" s="1"/>
  <c r="F106" i="80" s="1"/>
  <c r="G106" i="80" s="1"/>
  <c r="H106" i="80" s="1"/>
  <c r="I106" i="80" s="1"/>
  <c r="J106" i="80" s="1"/>
  <c r="K106" i="80" s="1"/>
  <c r="L106" i="80" s="1"/>
  <c r="M106" i="80" s="1"/>
  <c r="M102" i="80"/>
  <c r="L102" i="80"/>
  <c r="K102" i="80"/>
  <c r="J102" i="80"/>
  <c r="I102" i="80"/>
  <c r="H102" i="80"/>
  <c r="G102" i="80"/>
  <c r="F102" i="80"/>
  <c r="E102" i="80"/>
  <c r="D102" i="80"/>
  <c r="C102" i="80"/>
  <c r="D101" i="80"/>
  <c r="E101" i="80" s="1"/>
  <c r="F101" i="80" s="1"/>
  <c r="G101" i="80" s="1"/>
  <c r="H101" i="80" s="1"/>
  <c r="I101" i="80" s="1"/>
  <c r="J101" i="80" s="1"/>
  <c r="K101" i="80" s="1"/>
  <c r="L101" i="80" s="1"/>
  <c r="M101" i="80" s="1"/>
  <c r="B98" i="80"/>
  <c r="H31" i="80" s="1"/>
  <c r="B96" i="80"/>
  <c r="H30" i="80" s="1"/>
  <c r="AB30" i="80" s="1"/>
  <c r="B94" i="80"/>
  <c r="B92" i="80"/>
  <c r="D91" i="80"/>
  <c r="E91" i="80" s="1"/>
  <c r="F91" i="80" s="1"/>
  <c r="G91" i="80" s="1"/>
  <c r="H91" i="80" s="1"/>
  <c r="I91" i="80" s="1"/>
  <c r="J91" i="80" s="1"/>
  <c r="K91" i="80" s="1"/>
  <c r="L91" i="80" s="1"/>
  <c r="M91" i="80" s="1"/>
  <c r="B90" i="80"/>
  <c r="J27" i="80" s="1"/>
  <c r="B88" i="80"/>
  <c r="H26" i="80" s="1"/>
  <c r="U26" i="80" s="1"/>
  <c r="D87" i="80"/>
  <c r="H25" i="80" s="1"/>
  <c r="U25" i="80" s="1"/>
  <c r="D85" i="80"/>
  <c r="J23" i="80" s="1"/>
  <c r="D83" i="80"/>
  <c r="E83" i="80" s="1"/>
  <c r="F83" i="80" s="1"/>
  <c r="G83" i="80" s="1"/>
  <c r="D81" i="80"/>
  <c r="D79" i="80"/>
  <c r="E79" i="80" s="1"/>
  <c r="F79" i="80" s="1"/>
  <c r="G79" i="80" s="1"/>
  <c r="D77" i="80"/>
  <c r="E77" i="80" s="1"/>
  <c r="F77" i="80" s="1"/>
  <c r="G77" i="80" s="1"/>
  <c r="B74" i="80"/>
  <c r="H14" i="80" s="1"/>
  <c r="U14" i="80" s="1"/>
  <c r="B72" i="80"/>
  <c r="B70" i="80"/>
  <c r="H12" i="80" s="1"/>
  <c r="D69" i="80"/>
  <c r="E69" i="80" s="1"/>
  <c r="F69" i="80" s="1"/>
  <c r="G69" i="80" s="1"/>
  <c r="H69" i="80" s="1"/>
  <c r="I69" i="80" s="1"/>
  <c r="J69" i="80" s="1"/>
  <c r="K69" i="80" s="1"/>
  <c r="L69" i="80" s="1"/>
  <c r="M69" i="80" s="1"/>
  <c r="M67" i="80"/>
  <c r="L67" i="80"/>
  <c r="K67" i="80"/>
  <c r="J67" i="80"/>
  <c r="I67" i="80"/>
  <c r="H67" i="80"/>
  <c r="G67" i="80"/>
  <c r="F67" i="80"/>
  <c r="E67" i="80"/>
  <c r="D67" i="80"/>
  <c r="C67" i="80"/>
  <c r="G66" i="80"/>
  <c r="H66" i="80" s="1"/>
  <c r="I66" i="80" s="1"/>
  <c r="C63" i="80"/>
  <c r="F9" i="80" s="1"/>
  <c r="AA9" i="80" s="1"/>
  <c r="P49" i="80"/>
  <c r="P48" i="80"/>
  <c r="K48" i="80"/>
  <c r="P47" i="80"/>
  <c r="Q46" i="80"/>
  <c r="Z46" i="80" s="1"/>
  <c r="Q45" i="80"/>
  <c r="Z45" i="80" s="1"/>
  <c r="Q44" i="80"/>
  <c r="Z44" i="80" s="1"/>
  <c r="J44" i="80"/>
  <c r="AC44" i="80" s="1"/>
  <c r="F44" i="80"/>
  <c r="AA44" i="80" s="1"/>
  <c r="Q43" i="80"/>
  <c r="Z43" i="80" s="1"/>
  <c r="Q42" i="80"/>
  <c r="Z42" i="80" s="1"/>
  <c r="Q41" i="80"/>
  <c r="Z41" i="80" s="1"/>
  <c r="J41" i="80"/>
  <c r="W41" i="80" s="1"/>
  <c r="H41" i="80"/>
  <c r="U41" i="80" s="1"/>
  <c r="F41" i="80"/>
  <c r="AA41" i="80" s="1"/>
  <c r="Q40" i="80"/>
  <c r="Z40" i="80" s="1"/>
  <c r="J40" i="80"/>
  <c r="W40" i="80" s="1"/>
  <c r="H40" i="80"/>
  <c r="U40" i="80" s="1"/>
  <c r="F40" i="80"/>
  <c r="S40" i="80" s="1"/>
  <c r="Q39" i="80"/>
  <c r="Z39" i="80" s="1"/>
  <c r="J39" i="80"/>
  <c r="W39" i="80" s="1"/>
  <c r="H39" i="80"/>
  <c r="U39" i="80" s="1"/>
  <c r="F39" i="80"/>
  <c r="S39" i="80" s="1"/>
  <c r="Q38" i="80"/>
  <c r="Z38" i="80" s="1"/>
  <c r="J38" i="80"/>
  <c r="AC38" i="80" s="1"/>
  <c r="H38" i="80"/>
  <c r="U38" i="80" s="1"/>
  <c r="F38" i="80"/>
  <c r="S38" i="80" s="1"/>
  <c r="Q37" i="80"/>
  <c r="Z37" i="80" s="1"/>
  <c r="J37" i="80"/>
  <c r="W37" i="80" s="1"/>
  <c r="H37" i="80"/>
  <c r="F37" i="80"/>
  <c r="S37" i="80" s="1"/>
  <c r="Q36" i="80"/>
  <c r="Z36" i="80" s="1"/>
  <c r="I36" i="80"/>
  <c r="G36" i="80"/>
  <c r="Q35" i="80"/>
  <c r="Z35" i="80" s="1"/>
  <c r="Q34" i="80"/>
  <c r="Z34" i="80" s="1"/>
  <c r="J34" i="80"/>
  <c r="AC34" i="80" s="1"/>
  <c r="H34" i="80"/>
  <c r="U34" i="80" s="1"/>
  <c r="F34" i="80"/>
  <c r="AA34" i="80" s="1"/>
  <c r="Q33" i="80"/>
  <c r="Z33" i="80" s="1"/>
  <c r="Q32" i="80"/>
  <c r="Z32" i="80" s="1"/>
  <c r="J32" i="80"/>
  <c r="AC32" i="80" s="1"/>
  <c r="H32" i="80"/>
  <c r="U32" i="80" s="1"/>
  <c r="F32" i="80"/>
  <c r="AA32" i="80" s="1"/>
  <c r="Q31" i="80"/>
  <c r="Z31" i="80" s="1"/>
  <c r="Q30" i="80"/>
  <c r="Z30" i="80" s="1"/>
  <c r="F30" i="80"/>
  <c r="AA30" i="80" s="1"/>
  <c r="Q29" i="80"/>
  <c r="Z29" i="80" s="1"/>
  <c r="J29" i="80"/>
  <c r="AC29" i="80" s="1"/>
  <c r="H29" i="80"/>
  <c r="F29" i="80"/>
  <c r="AA29" i="80" s="1"/>
  <c r="Q28" i="80"/>
  <c r="Z28" i="80" s="1"/>
  <c r="H28" i="80"/>
  <c r="AB28" i="80" s="1"/>
  <c r="Q27" i="80"/>
  <c r="Z27" i="80" s="1"/>
  <c r="H27" i="80"/>
  <c r="AB27" i="80" s="1"/>
  <c r="AB26" i="80"/>
  <c r="Q26" i="80"/>
  <c r="Z26" i="80" s="1"/>
  <c r="J26" i="80"/>
  <c r="W26" i="80" s="1"/>
  <c r="F26" i="80"/>
  <c r="AA26" i="80" s="1"/>
  <c r="Q25" i="80"/>
  <c r="Z25" i="80" s="1"/>
  <c r="Q23" i="80"/>
  <c r="Z23" i="80" s="1"/>
  <c r="C23" i="80"/>
  <c r="Q21" i="80"/>
  <c r="Z21" i="80" s="1"/>
  <c r="J21" i="80"/>
  <c r="W21" i="80" s="1"/>
  <c r="H21" i="80"/>
  <c r="U21" i="80" s="1"/>
  <c r="F21" i="80"/>
  <c r="S21" i="80" s="1"/>
  <c r="C21" i="80"/>
  <c r="Q19" i="80"/>
  <c r="Z19" i="80" s="1"/>
  <c r="H19" i="80"/>
  <c r="U19" i="80" s="1"/>
  <c r="C19" i="80"/>
  <c r="Q17" i="80"/>
  <c r="Z17" i="80" s="1"/>
  <c r="H17" i="80"/>
  <c r="U17" i="80" s="1"/>
  <c r="C17" i="80"/>
  <c r="Q15" i="80"/>
  <c r="Z15" i="80" s="1"/>
  <c r="J15" i="80"/>
  <c r="W15" i="80" s="1"/>
  <c r="H15" i="80"/>
  <c r="U15" i="80" s="1"/>
  <c r="F15" i="80"/>
  <c r="S15" i="80" s="1"/>
  <c r="C15" i="80"/>
  <c r="Z14" i="80"/>
  <c r="Q14" i="80"/>
  <c r="J14" i="80"/>
  <c r="W14" i="80" s="1"/>
  <c r="F14" i="80"/>
  <c r="S14" i="80" s="1"/>
  <c r="Q13" i="80"/>
  <c r="Z13" i="80" s="1"/>
  <c r="J13" i="80"/>
  <c r="AC13" i="80" s="1"/>
  <c r="H13" i="80"/>
  <c r="U13" i="80" s="1"/>
  <c r="F13" i="80"/>
  <c r="S13" i="80" s="1"/>
  <c r="Q12" i="80"/>
  <c r="Z12" i="80" s="1"/>
  <c r="J12" i="80"/>
  <c r="W12" i="80" s="1"/>
  <c r="Q11" i="80"/>
  <c r="Z11" i="80" s="1"/>
  <c r="J11" i="80"/>
  <c r="AC11" i="80" s="1"/>
  <c r="H11" i="80"/>
  <c r="U11" i="80" s="1"/>
  <c r="F11" i="80"/>
  <c r="AA11" i="80" s="1"/>
  <c r="Q10" i="80"/>
  <c r="Z10" i="80" s="1"/>
  <c r="J10" i="80"/>
  <c r="AC10" i="80" s="1"/>
  <c r="H10" i="80"/>
  <c r="AB10" i="80" s="1"/>
  <c r="F10" i="80"/>
  <c r="AA10" i="80" s="1"/>
  <c r="Q9" i="80"/>
  <c r="Z9" i="80" s="1"/>
  <c r="H9" i="80"/>
  <c r="AB9" i="80" s="1"/>
  <c r="J8" i="80"/>
  <c r="W8" i="80" s="1"/>
  <c r="H8" i="80"/>
  <c r="AB8" i="80" s="1"/>
  <c r="F8" i="80"/>
  <c r="AA8" i="80" s="1"/>
  <c r="O17" i="79"/>
  <c r="E47" i="33" s="1"/>
  <c r="I36" i="33"/>
  <c r="G36" i="33"/>
  <c r="D2" i="81"/>
  <c r="D2" i="80"/>
  <c r="AB13" i="81" l="1"/>
  <c r="J47" i="81"/>
  <c r="W47" i="81" s="1"/>
  <c r="F47" i="81"/>
  <c r="AA47" i="81" s="1"/>
  <c r="J14" i="81"/>
  <c r="W14" i="81" s="1"/>
  <c r="J29" i="81"/>
  <c r="AC29" i="81" s="1"/>
  <c r="J9" i="80"/>
  <c r="AC9" i="80" s="1"/>
  <c r="F17" i="80"/>
  <c r="S17" i="80" s="1"/>
  <c r="J17" i="80"/>
  <c r="W17" i="80" s="1"/>
  <c r="F27" i="80"/>
  <c r="AA27" i="80" s="1"/>
  <c r="J30" i="80"/>
  <c r="AC30" i="80" s="1"/>
  <c r="AA40" i="80"/>
  <c r="E85" i="80"/>
  <c r="F85" i="80" s="1"/>
  <c r="G85" i="80" s="1"/>
  <c r="F9" i="81"/>
  <c r="AA9" i="81" s="1"/>
  <c r="F14" i="81"/>
  <c r="AA14" i="81" s="1"/>
  <c r="F17" i="81"/>
  <c r="AA17" i="81" s="1"/>
  <c r="H27" i="81"/>
  <c r="AB27" i="81" s="1"/>
  <c r="F31" i="81"/>
  <c r="AA31" i="81" s="1"/>
  <c r="AB31" i="81"/>
  <c r="F45" i="81"/>
  <c r="AA45" i="81" s="1"/>
  <c r="AC37" i="80"/>
  <c r="U8" i="81"/>
  <c r="O51" i="82"/>
  <c r="P50" i="82" s="1"/>
  <c r="W23" i="80"/>
  <c r="AC23" i="80"/>
  <c r="W27" i="80"/>
  <c r="AC27" i="80"/>
  <c r="S8" i="80"/>
  <c r="H46" i="81"/>
  <c r="AB46" i="81" s="1"/>
  <c r="AC8" i="80"/>
  <c r="F23" i="80"/>
  <c r="S23" i="80" s="1"/>
  <c r="F46" i="80"/>
  <c r="AA46" i="80" s="1"/>
  <c r="U10" i="80"/>
  <c r="H23" i="80"/>
  <c r="U23" i="80" s="1"/>
  <c r="J31" i="80"/>
  <c r="AC31" i="80" s="1"/>
  <c r="W34" i="80"/>
  <c r="AC41" i="80"/>
  <c r="H46" i="80"/>
  <c r="AB46" i="80" s="1"/>
  <c r="H12" i="81"/>
  <c r="U12" i="81" s="1"/>
  <c r="F28" i="81"/>
  <c r="AA28" i="81" s="1"/>
  <c r="F35" i="80"/>
  <c r="S35" i="80" s="1"/>
  <c r="J28" i="81"/>
  <c r="AC28" i="81" s="1"/>
  <c r="AB11" i="80"/>
  <c r="AA37" i="80"/>
  <c r="F32" i="81"/>
  <c r="AA32" i="81" s="1"/>
  <c r="F39" i="81"/>
  <c r="AA39" i="81" s="1"/>
  <c r="F44" i="81"/>
  <c r="AA44" i="81" s="1"/>
  <c r="AC47" i="81"/>
  <c r="S11" i="80"/>
  <c r="W13" i="80"/>
  <c r="AB29" i="80"/>
  <c r="U29" i="80"/>
  <c r="AB34" i="80"/>
  <c r="AC35" i="80"/>
  <c r="AB37" i="80"/>
  <c r="U37" i="80"/>
  <c r="E81" i="80"/>
  <c r="F81" i="80" s="1"/>
  <c r="G81" i="80" s="1"/>
  <c r="J19" i="80"/>
  <c r="F19" i="80"/>
  <c r="S19" i="80" s="1"/>
  <c r="E87" i="80"/>
  <c r="F87" i="80" s="1"/>
  <c r="G87" i="80" s="1"/>
  <c r="H87" i="80" s="1"/>
  <c r="I87" i="80" s="1"/>
  <c r="J87" i="80" s="1"/>
  <c r="K87" i="80" s="1"/>
  <c r="L87" i="80" s="1"/>
  <c r="M87" i="80" s="1"/>
  <c r="J25" i="80"/>
  <c r="F25" i="80"/>
  <c r="J28" i="80"/>
  <c r="F28" i="80"/>
  <c r="E125" i="80"/>
  <c r="F125" i="80" s="1"/>
  <c r="G125" i="80" s="1"/>
  <c r="J43" i="80"/>
  <c r="AC43" i="80" s="1"/>
  <c r="F43" i="80"/>
  <c r="AA43" i="80" s="1"/>
  <c r="J45" i="80"/>
  <c r="AC45" i="80" s="1"/>
  <c r="F45" i="80"/>
  <c r="AA45" i="80" s="1"/>
  <c r="W12" i="81"/>
  <c r="AC12" i="81"/>
  <c r="U30" i="81"/>
  <c r="AB30" i="81"/>
  <c r="G47" i="80"/>
  <c r="T47" i="80" s="1"/>
  <c r="U8" i="80"/>
  <c r="S9" i="80"/>
  <c r="W11" i="80"/>
  <c r="AC12" i="80"/>
  <c r="AB19" i="80"/>
  <c r="AB21" i="80"/>
  <c r="W30" i="80"/>
  <c r="AB32" i="80"/>
  <c r="AB38" i="80"/>
  <c r="AC39" i="80"/>
  <c r="F108" i="80"/>
  <c r="G108" i="80" s="1"/>
  <c r="H108" i="80" s="1"/>
  <c r="I108" i="80" s="1"/>
  <c r="J108" i="80" s="1"/>
  <c r="K108" i="80" s="1"/>
  <c r="L108" i="80" s="1"/>
  <c r="M108" i="80" s="1"/>
  <c r="H35" i="80"/>
  <c r="F123" i="80"/>
  <c r="G123" i="80" s="1"/>
  <c r="H123" i="80" s="1"/>
  <c r="I123" i="80" s="1"/>
  <c r="J123" i="80" s="1"/>
  <c r="K123" i="80" s="1"/>
  <c r="L123" i="80" s="1"/>
  <c r="M123" i="80" s="1"/>
  <c r="J42" i="80"/>
  <c r="F42" i="80"/>
  <c r="AA42" i="80" s="1"/>
  <c r="AC21" i="80"/>
  <c r="S34" i="80"/>
  <c r="H36" i="80"/>
  <c r="U36" i="80" s="1"/>
  <c r="W38" i="80"/>
  <c r="AA38" i="80"/>
  <c r="AB39" i="80"/>
  <c r="AC40" i="80"/>
  <c r="AB41" i="80"/>
  <c r="S8" i="81"/>
  <c r="AA11" i="81"/>
  <c r="AC11" i="81"/>
  <c r="AC14" i="81"/>
  <c r="AC17" i="81"/>
  <c r="AC19" i="81"/>
  <c r="AC21" i="81"/>
  <c r="AC23" i="81"/>
  <c r="S28" i="81"/>
  <c r="S29" i="81"/>
  <c r="S30" i="81"/>
  <c r="W30" i="81"/>
  <c r="S31" i="81"/>
  <c r="W31" i="81"/>
  <c r="W10" i="81"/>
  <c r="AB11" i="81"/>
  <c r="F12" i="81"/>
  <c r="AC13" i="81"/>
  <c r="H17" i="81"/>
  <c r="U17" i="81" s="1"/>
  <c r="H19" i="81"/>
  <c r="U19" i="81" s="1"/>
  <c r="F27" i="81"/>
  <c r="AA27" i="81" s="1"/>
  <c r="U29" i="81"/>
  <c r="H39" i="81"/>
  <c r="U39" i="81" s="1"/>
  <c r="F41" i="81"/>
  <c r="AA41" i="81" s="1"/>
  <c r="H44" i="81"/>
  <c r="AB44" i="81" s="1"/>
  <c r="F46" i="81"/>
  <c r="AA46" i="81" s="1"/>
  <c r="S47" i="81"/>
  <c r="F88" i="81"/>
  <c r="G88" i="81" s="1"/>
  <c r="H88" i="81" s="1"/>
  <c r="I88" i="81" s="1"/>
  <c r="J88" i="81" s="1"/>
  <c r="K88" i="81" s="1"/>
  <c r="L88" i="81" s="1"/>
  <c r="M88" i="81" s="1"/>
  <c r="F25" i="81"/>
  <c r="AA25" i="81" s="1"/>
  <c r="W33" i="81"/>
  <c r="AA33" i="81"/>
  <c r="AC44" i="81"/>
  <c r="F124" i="81"/>
  <c r="G124" i="81" s="1"/>
  <c r="H124" i="81" s="1"/>
  <c r="I124" i="81" s="1"/>
  <c r="J124" i="81" s="1"/>
  <c r="K124" i="81" s="1"/>
  <c r="L124" i="81" s="1"/>
  <c r="M124" i="81" s="1"/>
  <c r="J43" i="81"/>
  <c r="H43" i="81"/>
  <c r="U43" i="81" s="1"/>
  <c r="F43" i="81"/>
  <c r="AA43" i="81" s="1"/>
  <c r="AC38" i="81"/>
  <c r="W36" i="81"/>
  <c r="AA36" i="81"/>
  <c r="AB36" i="81"/>
  <c r="U35" i="81"/>
  <c r="AA35" i="81"/>
  <c r="AC35" i="81"/>
  <c r="H45" i="81"/>
  <c r="AB45" i="81" s="1"/>
  <c r="O18" i="82"/>
  <c r="P16" i="82" s="1"/>
  <c r="G55" i="81"/>
  <c r="H55" i="81" s="1"/>
  <c r="E55" i="81"/>
  <c r="F55" i="81" s="1"/>
  <c r="I55" i="81"/>
  <c r="J55" i="81" s="1"/>
  <c r="AC9" i="81"/>
  <c r="W9" i="81"/>
  <c r="AC32" i="81"/>
  <c r="W32" i="81"/>
  <c r="F78" i="81"/>
  <c r="G78" i="81" s="1"/>
  <c r="J15" i="81"/>
  <c r="F15" i="81"/>
  <c r="H15" i="81"/>
  <c r="F120" i="81"/>
  <c r="H41" i="81" s="1"/>
  <c r="H37" i="81"/>
  <c r="F37" i="81"/>
  <c r="G112" i="81"/>
  <c r="H112" i="81" s="1"/>
  <c r="I112" i="81" s="1"/>
  <c r="J112" i="81" s="1"/>
  <c r="K112" i="81" s="1"/>
  <c r="L112" i="81" s="1"/>
  <c r="M112" i="81" s="1"/>
  <c r="S14" i="81"/>
  <c r="S19" i="81"/>
  <c r="S21" i="81"/>
  <c r="S23" i="81"/>
  <c r="U25" i="81"/>
  <c r="W27" i="81"/>
  <c r="S10" i="81"/>
  <c r="AA38" i="81"/>
  <c r="AC40" i="81"/>
  <c r="U10" i="81"/>
  <c r="AA13" i="81"/>
  <c r="AB14" i="81"/>
  <c r="AB21" i="81"/>
  <c r="AB23" i="81"/>
  <c r="AC25" i="81"/>
  <c r="S32" i="81"/>
  <c r="U33" i="81"/>
  <c r="AB38" i="81"/>
  <c r="AC39" i="81"/>
  <c r="R48" i="81"/>
  <c r="U47" i="81"/>
  <c r="V48" i="81"/>
  <c r="U46" i="81"/>
  <c r="S40" i="81"/>
  <c r="W46" i="81"/>
  <c r="W8" i="81"/>
  <c r="U28" i="81"/>
  <c r="U27" i="81"/>
  <c r="W28" i="81"/>
  <c r="U40" i="81"/>
  <c r="W45" i="81"/>
  <c r="H9" i="81"/>
  <c r="H32" i="81"/>
  <c r="AB12" i="80"/>
  <c r="U12" i="80"/>
  <c r="F36" i="80"/>
  <c r="G111" i="80"/>
  <c r="H111" i="80" s="1"/>
  <c r="I111" i="80" s="1"/>
  <c r="J111" i="80" s="1"/>
  <c r="K111" i="80" s="1"/>
  <c r="L111" i="80" s="1"/>
  <c r="M111" i="80" s="1"/>
  <c r="AB31" i="80"/>
  <c r="U31" i="80"/>
  <c r="S10" i="80"/>
  <c r="AA14" i="80"/>
  <c r="AA15" i="80"/>
  <c r="AA17" i="80"/>
  <c r="AA19" i="80"/>
  <c r="AA21" i="80"/>
  <c r="AB25" i="80"/>
  <c r="AC26" i="80"/>
  <c r="S32" i="80"/>
  <c r="AA39" i="80"/>
  <c r="AB40" i="80"/>
  <c r="S46" i="80"/>
  <c r="AA13" i="80"/>
  <c r="AB14" i="80"/>
  <c r="AB15" i="80"/>
  <c r="AB17" i="80"/>
  <c r="U9" i="80"/>
  <c r="W10" i="80"/>
  <c r="AB13" i="80"/>
  <c r="AC14" i="80"/>
  <c r="AC15" i="80"/>
  <c r="AC17" i="80"/>
  <c r="S30" i="80"/>
  <c r="W32" i="80"/>
  <c r="AA35" i="80"/>
  <c r="U46" i="80"/>
  <c r="W9" i="80"/>
  <c r="S29" i="80"/>
  <c r="U30" i="80"/>
  <c r="S44" i="80"/>
  <c r="U45" i="80"/>
  <c r="W46" i="80"/>
  <c r="S43" i="80"/>
  <c r="U44" i="80"/>
  <c r="S27" i="80"/>
  <c r="U28" i="80"/>
  <c r="W29" i="80"/>
  <c r="S42" i="80"/>
  <c r="U43" i="80"/>
  <c r="W44" i="80"/>
  <c r="S26" i="80"/>
  <c r="U27" i="80"/>
  <c r="S41" i="80"/>
  <c r="U42" i="80"/>
  <c r="W43" i="80"/>
  <c r="F12" i="80"/>
  <c r="F31" i="80"/>
  <c r="L19" i="79"/>
  <c r="D147" i="79"/>
  <c r="D146" i="79"/>
  <c r="D149" i="79"/>
  <c r="J37" i="81" l="1"/>
  <c r="W37" i="81" s="1"/>
  <c r="W45" i="80"/>
  <c r="S45" i="81"/>
  <c r="S9" i="81"/>
  <c r="W29" i="81"/>
  <c r="S27" i="81"/>
  <c r="S17" i="81"/>
  <c r="AB12" i="81"/>
  <c r="S41" i="81"/>
  <c r="AB19" i="81"/>
  <c r="S39" i="81"/>
  <c r="AB39" i="81"/>
  <c r="P48" i="82"/>
  <c r="P47" i="82"/>
  <c r="P17" i="82"/>
  <c r="P49" i="82"/>
  <c r="P14" i="82"/>
  <c r="S44" i="81"/>
  <c r="U44" i="81"/>
  <c r="AB23" i="80"/>
  <c r="AA23" i="80"/>
  <c r="AB36" i="80"/>
  <c r="W31" i="80"/>
  <c r="S46" i="81"/>
  <c r="S45" i="80"/>
  <c r="AB17" i="81"/>
  <c r="I5" i="80"/>
  <c r="J36" i="80"/>
  <c r="W36" i="80" s="1"/>
  <c r="P15" i="82"/>
  <c r="S12" i="81"/>
  <c r="AA12" i="81"/>
  <c r="AA28" i="80"/>
  <c r="S28" i="80"/>
  <c r="S25" i="80"/>
  <c r="AA25" i="80"/>
  <c r="W19" i="80"/>
  <c r="AC19" i="80"/>
  <c r="W42" i="80"/>
  <c r="AC42" i="80"/>
  <c r="AB35" i="80"/>
  <c r="U35" i="80"/>
  <c r="W28" i="80"/>
  <c r="AC28" i="80"/>
  <c r="W25" i="80"/>
  <c r="AC25" i="80"/>
  <c r="S25" i="81"/>
  <c r="AB43" i="81"/>
  <c r="S43" i="81"/>
  <c r="W43" i="81"/>
  <c r="AC43" i="81"/>
  <c r="U45" i="81"/>
  <c r="AB32" i="81"/>
  <c r="U32" i="81"/>
  <c r="AB41" i="81"/>
  <c r="U41" i="81"/>
  <c r="J41" i="81"/>
  <c r="G120" i="81"/>
  <c r="H120" i="81" s="1"/>
  <c r="I120" i="81" s="1"/>
  <c r="J120" i="81" s="1"/>
  <c r="K120" i="81" s="1"/>
  <c r="L120" i="81" s="1"/>
  <c r="M120" i="81" s="1"/>
  <c r="U15" i="81"/>
  <c r="AB15" i="81"/>
  <c r="AA15" i="81"/>
  <c r="S15" i="81"/>
  <c r="W15" i="81"/>
  <c r="AC15" i="81"/>
  <c r="S37" i="81"/>
  <c r="AA37" i="81"/>
  <c r="AB37" i="81"/>
  <c r="U37" i="81"/>
  <c r="AC37" i="81"/>
  <c r="U9" i="81"/>
  <c r="AB9" i="81"/>
  <c r="AA31" i="80"/>
  <c r="S31" i="80"/>
  <c r="AA36" i="80"/>
  <c r="S36" i="80"/>
  <c r="S12" i="80"/>
  <c r="AA12" i="80"/>
  <c r="AC36" i="80" l="1"/>
  <c r="AC41" i="81"/>
  <c r="W41" i="81"/>
  <c r="C42" i="34" l="1"/>
  <c r="Q17" i="79" l="1"/>
  <c r="P17" i="79"/>
  <c r="N17" i="79"/>
  <c r="E40" i="33" s="1"/>
  <c r="D118" i="33" s="1"/>
  <c r="L17" i="79"/>
  <c r="P6" i="79"/>
  <c r="Q16" i="79"/>
  <c r="P16" i="79"/>
  <c r="O16" i="79"/>
  <c r="N16" i="79"/>
  <c r="L16" i="79"/>
  <c r="Q8" i="79"/>
  <c r="P8" i="79"/>
  <c r="N8" i="79"/>
  <c r="E47" i="80" l="1"/>
  <c r="G5" i="80"/>
  <c r="I42" i="34"/>
  <c r="J42" i="81"/>
  <c r="E5" i="80"/>
  <c r="E42" i="34"/>
  <c r="F42" i="81"/>
  <c r="L8" i="79"/>
  <c r="Q7" i="79"/>
  <c r="P7" i="79"/>
  <c r="O7" i="79"/>
  <c r="N7" i="79"/>
  <c r="Q6" i="79"/>
  <c r="D99" i="79"/>
  <c r="O8" i="79" s="1"/>
  <c r="I48" i="34" s="1"/>
  <c r="G48" i="34"/>
  <c r="AC42" i="81" l="1"/>
  <c r="W42" i="81"/>
  <c r="E54" i="80"/>
  <c r="F54" i="80" s="1"/>
  <c r="R47" i="80"/>
  <c r="S42" i="81"/>
  <c r="AA42" i="81"/>
  <c r="G42" i="34"/>
  <c r="H42" i="81"/>
  <c r="D129" i="79"/>
  <c r="D128" i="79"/>
  <c r="K125" i="79"/>
  <c r="L124" i="79"/>
  <c r="C123" i="79"/>
  <c r="D123" i="79" s="1"/>
  <c r="C122" i="79"/>
  <c r="D122" i="79" s="1"/>
  <c r="C119" i="79"/>
  <c r="D119" i="79" s="1"/>
  <c r="L115" i="79"/>
  <c r="C114" i="79"/>
  <c r="D114" i="79" s="1"/>
  <c r="C113" i="79"/>
  <c r="D113" i="79" s="1"/>
  <c r="L109" i="79"/>
  <c r="C108" i="79"/>
  <c r="D108" i="79" s="1"/>
  <c r="C107" i="79"/>
  <c r="D107" i="79" s="1"/>
  <c r="D103" i="79"/>
  <c r="D101" i="79"/>
  <c r="D100" i="79"/>
  <c r="D98" i="79"/>
  <c r="D97" i="79"/>
  <c r="D96" i="79"/>
  <c r="D95" i="79"/>
  <c r="D94" i="79"/>
  <c r="D89" i="79"/>
  <c r="D91" i="79"/>
  <c r="D92" i="79"/>
  <c r="D71" i="79"/>
  <c r="D64" i="79"/>
  <c r="D43" i="79"/>
  <c r="D42" i="79"/>
  <c r="L108" i="79" l="1"/>
  <c r="H108" i="79"/>
  <c r="L113" i="79"/>
  <c r="H113" i="79"/>
  <c r="H116" i="79"/>
  <c r="L122" i="79"/>
  <c r="H122" i="79"/>
  <c r="L107" i="79"/>
  <c r="H107" i="79"/>
  <c r="L114" i="79"/>
  <c r="AA37" i="82" s="1"/>
  <c r="AA39" i="82" s="1"/>
  <c r="H114" i="79"/>
  <c r="H117" i="79"/>
  <c r="L119" i="79"/>
  <c r="I121" i="79" s="1"/>
  <c r="H119" i="79"/>
  <c r="L123" i="79"/>
  <c r="H123" i="79"/>
  <c r="I115" i="79"/>
  <c r="I124" i="79"/>
  <c r="I109" i="79"/>
  <c r="D130" i="79"/>
  <c r="O19" i="79" s="1"/>
  <c r="AB42" i="81"/>
  <c r="U42" i="81"/>
  <c r="L22" i="1"/>
  <c r="L20" i="1"/>
  <c r="I47" i="80" l="1"/>
  <c r="I20" i="78"/>
  <c r="I17" i="78"/>
  <c r="H15" i="78"/>
  <c r="H14" i="78"/>
  <c r="H12" i="78"/>
  <c r="I11" i="78"/>
  <c r="H10" i="78"/>
  <c r="H9" i="78"/>
  <c r="I8" i="78"/>
  <c r="I7" i="78"/>
  <c r="I6" i="78"/>
  <c r="I4" i="78"/>
  <c r="C36" i="78"/>
  <c r="D35" i="78"/>
  <c r="J8" i="78" s="1"/>
  <c r="E28" i="78"/>
  <c r="H25" i="78"/>
  <c r="E25" i="78" s="1"/>
  <c r="C22" i="78"/>
  <c r="F19" i="78"/>
  <c r="F16" i="78"/>
  <c r="E15" i="78"/>
  <c r="C15" i="78"/>
  <c r="M10" i="78"/>
  <c r="P9" i="78"/>
  <c r="O10" i="78" s="1"/>
  <c r="M4" i="78"/>
  <c r="I54" i="80" l="1"/>
  <c r="J54" i="80" s="1"/>
  <c r="V47" i="80"/>
  <c r="G54" i="80"/>
  <c r="H54" i="80" s="1"/>
  <c r="E24" i="78"/>
  <c r="C21" i="78"/>
  <c r="E19" i="78" s="1"/>
  <c r="F113" i="77" l="1"/>
  <c r="N99" i="77"/>
  <c r="N108" i="77" s="1"/>
  <c r="M99" i="77"/>
  <c r="L99" i="77"/>
  <c r="L108" i="77" s="1"/>
  <c r="K99" i="77"/>
  <c r="J99" i="77"/>
  <c r="J108" i="77" s="1"/>
  <c r="I99" i="77"/>
  <c r="H99" i="77"/>
  <c r="H108" i="77" s="1"/>
  <c r="G99" i="77"/>
  <c r="F99" i="77"/>
  <c r="F108" i="77" s="1"/>
  <c r="E99" i="77"/>
  <c r="D99" i="77"/>
  <c r="D108" i="77" s="1"/>
  <c r="C99" i="77"/>
  <c r="M88" i="77"/>
  <c r="N88" i="77" s="1"/>
  <c r="K88" i="77"/>
  <c r="J88" i="77" s="1"/>
  <c r="D88" i="77"/>
  <c r="M87" i="77"/>
  <c r="N87" i="77" s="1"/>
  <c r="K87" i="77"/>
  <c r="J87" i="77" s="1"/>
  <c r="D87" i="77"/>
  <c r="M86" i="77"/>
  <c r="N86" i="77" s="1"/>
  <c r="K86" i="77"/>
  <c r="J86" i="77" s="1"/>
  <c r="D86" i="77"/>
  <c r="M85" i="77"/>
  <c r="N85" i="77" s="1"/>
  <c r="K85" i="77"/>
  <c r="J85" i="77" s="1"/>
  <c r="D85" i="77"/>
  <c r="M84" i="77"/>
  <c r="N84" i="77" s="1"/>
  <c r="K84" i="77"/>
  <c r="J84" i="77" s="1"/>
  <c r="D84" i="77"/>
  <c r="B84" i="77"/>
  <c r="M83" i="77"/>
  <c r="N83" i="77" s="1"/>
  <c r="K83" i="77"/>
  <c r="J83" i="77" s="1"/>
  <c r="D83" i="77"/>
  <c r="B83" i="77"/>
  <c r="M82" i="77"/>
  <c r="N82" i="77" s="1"/>
  <c r="K82" i="77"/>
  <c r="J82" i="77" s="1"/>
  <c r="D82" i="77"/>
  <c r="M81" i="77"/>
  <c r="N81" i="77" s="1"/>
  <c r="K81" i="77"/>
  <c r="J81" i="77" s="1"/>
  <c r="F81" i="77"/>
  <c r="H87" i="77" s="1"/>
  <c r="D81" i="77"/>
  <c r="M78" i="77"/>
  <c r="N78" i="77" s="1"/>
  <c r="K78" i="77"/>
  <c r="J78" i="77" s="1"/>
  <c r="D78" i="77"/>
  <c r="M77" i="77"/>
  <c r="N77" i="77" s="1"/>
  <c r="K77" i="77"/>
  <c r="J77" i="77" s="1"/>
  <c r="D77" i="77"/>
  <c r="M76" i="77"/>
  <c r="N76" i="77" s="1"/>
  <c r="K76" i="77"/>
  <c r="J76" i="77" s="1"/>
  <c r="D76" i="77"/>
  <c r="M75" i="77"/>
  <c r="N75" i="77" s="1"/>
  <c r="K75" i="77"/>
  <c r="J75" i="77" s="1"/>
  <c r="D75" i="77"/>
  <c r="M74" i="77"/>
  <c r="N74" i="77" s="1"/>
  <c r="K74" i="77"/>
  <c r="J74" i="77" s="1"/>
  <c r="D74" i="77"/>
  <c r="M73" i="77"/>
  <c r="N73" i="77" s="1"/>
  <c r="K73" i="77"/>
  <c r="J73" i="77" s="1"/>
  <c r="D73" i="77"/>
  <c r="M72" i="77"/>
  <c r="N72" i="77" s="1"/>
  <c r="K72" i="77"/>
  <c r="J72" i="77" s="1"/>
  <c r="D72" i="77"/>
  <c r="B72" i="77"/>
  <c r="M71" i="77"/>
  <c r="N71" i="77" s="1"/>
  <c r="K71" i="77"/>
  <c r="J71" i="77" s="1"/>
  <c r="D71" i="77"/>
  <c r="M70" i="77"/>
  <c r="N70" i="77" s="1"/>
  <c r="K70" i="77"/>
  <c r="J70" i="77" s="1"/>
  <c r="F70" i="77"/>
  <c r="H76" i="77" s="1"/>
  <c r="D70" i="77"/>
  <c r="M67" i="77"/>
  <c r="N67" i="77" s="1"/>
  <c r="K67" i="77"/>
  <c r="J67" i="77" s="1"/>
  <c r="D67" i="77"/>
  <c r="M66" i="77"/>
  <c r="N66" i="77" s="1"/>
  <c r="K66" i="77"/>
  <c r="J66" i="77" s="1"/>
  <c r="D66" i="77"/>
  <c r="M65" i="77"/>
  <c r="N65" i="77" s="1"/>
  <c r="K65" i="77"/>
  <c r="J65" i="77" s="1"/>
  <c r="D65" i="77"/>
  <c r="M64" i="77"/>
  <c r="N64" i="77" s="1"/>
  <c r="K64" i="77"/>
  <c r="J64" i="77" s="1"/>
  <c r="D64" i="77"/>
  <c r="M63" i="77"/>
  <c r="N63" i="77" s="1"/>
  <c r="K63" i="77"/>
  <c r="J63" i="77" s="1"/>
  <c r="D63" i="77"/>
  <c r="M62" i="77"/>
  <c r="N62" i="77" s="1"/>
  <c r="K62" i="77"/>
  <c r="J62" i="77" s="1"/>
  <c r="D62" i="77"/>
  <c r="M61" i="77"/>
  <c r="N61" i="77" s="1"/>
  <c r="K61" i="77"/>
  <c r="J61" i="77" s="1"/>
  <c r="D61" i="77"/>
  <c r="B61" i="77"/>
  <c r="M60" i="77"/>
  <c r="N60" i="77" s="1"/>
  <c r="K60" i="77"/>
  <c r="J60" i="77" s="1"/>
  <c r="D60" i="77"/>
  <c r="M59" i="77"/>
  <c r="N59" i="77" s="1"/>
  <c r="K59" i="77"/>
  <c r="J59" i="77" s="1"/>
  <c r="F59" i="77"/>
  <c r="H66" i="77" s="1"/>
  <c r="D59" i="77"/>
  <c r="M56" i="77"/>
  <c r="N56" i="77" s="1"/>
  <c r="K56" i="77"/>
  <c r="J56" i="77" s="1"/>
  <c r="D56" i="77"/>
  <c r="M55" i="77"/>
  <c r="N55" i="77" s="1"/>
  <c r="K55" i="77"/>
  <c r="J55" i="77" s="1"/>
  <c r="D55" i="77"/>
  <c r="M54" i="77"/>
  <c r="N54" i="77" s="1"/>
  <c r="K54" i="77"/>
  <c r="J54" i="77" s="1"/>
  <c r="D54" i="77"/>
  <c r="M53" i="77"/>
  <c r="N53" i="77" s="1"/>
  <c r="K53" i="77"/>
  <c r="J53" i="77" s="1"/>
  <c r="D53" i="77"/>
  <c r="M52" i="77"/>
  <c r="N52" i="77" s="1"/>
  <c r="K52" i="77"/>
  <c r="J52" i="77" s="1"/>
  <c r="D52" i="77"/>
  <c r="M51" i="77"/>
  <c r="N51" i="77" s="1"/>
  <c r="K51" i="77"/>
  <c r="J51" i="77" s="1"/>
  <c r="D51" i="77"/>
  <c r="M50" i="77"/>
  <c r="N50" i="77" s="1"/>
  <c r="K50" i="77"/>
  <c r="J50" i="77" s="1"/>
  <c r="D50" i="77"/>
  <c r="B50" i="77"/>
  <c r="M49" i="77"/>
  <c r="N49" i="77" s="1"/>
  <c r="K49" i="77"/>
  <c r="J49" i="77" s="1"/>
  <c r="D49" i="77"/>
  <c r="M48" i="77"/>
  <c r="N48" i="77" s="1"/>
  <c r="K48" i="77"/>
  <c r="J48" i="77" s="1"/>
  <c r="D48" i="77"/>
  <c r="B48" i="77"/>
  <c r="H39" i="77"/>
  <c r="H38" i="77"/>
  <c r="H37" i="77"/>
  <c r="H36" i="77"/>
  <c r="H35" i="77"/>
  <c r="H34" i="77"/>
  <c r="H33" i="77"/>
  <c r="J20" i="77"/>
  <c r="E20" i="77"/>
  <c r="I19" i="77"/>
  <c r="C18" i="77"/>
  <c r="F15" i="77"/>
  <c r="E15" i="77"/>
  <c r="D15" i="77"/>
  <c r="C15" i="77"/>
  <c r="Y12" i="77"/>
  <c r="Y10" i="77"/>
  <c r="C10" i="77"/>
  <c r="C11" i="77" s="1"/>
  <c r="AJ9" i="77"/>
  <c r="AJ12" i="77" s="1"/>
  <c r="AI9" i="77"/>
  <c r="AI12" i="77" s="1"/>
  <c r="AH9" i="77"/>
  <c r="AH12" i="77" s="1"/>
  <c r="AG9" i="77"/>
  <c r="AG12" i="77" s="1"/>
  <c r="AF9" i="77"/>
  <c r="AF12" i="77" s="1"/>
  <c r="AE9" i="77"/>
  <c r="AE12" i="77" s="1"/>
  <c r="AD9" i="77"/>
  <c r="AD12" i="77" s="1"/>
  <c r="AC9" i="77"/>
  <c r="AC12" i="77" s="1"/>
  <c r="AB9" i="77"/>
  <c r="AB12" i="77" s="1"/>
  <c r="AA9" i="77"/>
  <c r="AA12" i="77" s="1"/>
  <c r="Z9" i="77"/>
  <c r="Z12" i="77" s="1"/>
  <c r="C9" i="77"/>
  <c r="A7" i="77"/>
  <c r="I2" i="77"/>
  <c r="M12" i="77" s="1"/>
  <c r="G2" i="77"/>
  <c r="K17" i="77" s="1"/>
  <c r="D1" i="77"/>
  <c r="F23" i="6"/>
  <c r="U6" i="77" s="1"/>
  <c r="F22" i="6"/>
  <c r="F21" i="6"/>
  <c r="U3" i="77" s="1"/>
  <c r="F20" i="6"/>
  <c r="U2" i="77" s="1"/>
  <c r="N8" i="1"/>
  <c r="N7" i="1"/>
  <c r="E81" i="77" l="1"/>
  <c r="B79" i="77" s="1"/>
  <c r="E48" i="77"/>
  <c r="B46" i="77" s="1"/>
  <c r="C24" i="77" s="1"/>
  <c r="C12" i="77"/>
  <c r="E70" i="77"/>
  <c r="B68" i="77" s="1"/>
  <c r="E59" i="77"/>
  <c r="B57" i="77" s="1"/>
  <c r="U4" i="77"/>
  <c r="U5" i="77" s="1"/>
  <c r="M1" i="77"/>
  <c r="O17" i="77"/>
  <c r="X7" i="77"/>
  <c r="H70" i="77"/>
  <c r="H81" i="77"/>
  <c r="E11" i="77"/>
  <c r="E10" i="77"/>
  <c r="E9" i="77"/>
  <c r="E8" i="77"/>
  <c r="N2" i="77"/>
  <c r="M3" i="77"/>
  <c r="N4" i="77"/>
  <c r="M5" i="77"/>
  <c r="M6" i="77"/>
  <c r="N7" i="77"/>
  <c r="N8" i="77"/>
  <c r="N9" i="77"/>
  <c r="M10" i="77"/>
  <c r="AA10" i="77"/>
  <c r="AC10" i="77"/>
  <c r="AE10" i="77"/>
  <c r="AG10" i="77"/>
  <c r="AI10" i="77"/>
  <c r="M11" i="77"/>
  <c r="N12" i="77"/>
  <c r="N1" i="77"/>
  <c r="F48" i="77" s="1"/>
  <c r="H55" i="77" s="1"/>
  <c r="H113" i="77"/>
  <c r="F39" i="77"/>
  <c r="F38" i="77"/>
  <c r="F37" i="77"/>
  <c r="F36" i="77"/>
  <c r="F35" i="77"/>
  <c r="F34" i="77"/>
  <c r="F33" i="77"/>
  <c r="N17" i="77"/>
  <c r="L17" i="77"/>
  <c r="J17" i="77"/>
  <c r="H17" i="77"/>
  <c r="C17" i="77"/>
  <c r="M2" i="77"/>
  <c r="N3" i="77"/>
  <c r="M4" i="77"/>
  <c r="N5" i="77"/>
  <c r="C6" i="77"/>
  <c r="N6" i="77"/>
  <c r="M7" i="77"/>
  <c r="M8" i="77"/>
  <c r="M9" i="77"/>
  <c r="N10" i="77"/>
  <c r="Z10" i="77"/>
  <c r="AB10" i="77"/>
  <c r="AD10" i="77"/>
  <c r="AF10" i="77"/>
  <c r="AH10" i="77"/>
  <c r="AJ10" i="77"/>
  <c r="N11" i="77"/>
  <c r="D17" i="77"/>
  <c r="I17" i="77"/>
  <c r="M17" i="77"/>
  <c r="O28" i="77"/>
  <c r="M28" i="77"/>
  <c r="G20" i="77" s="1"/>
  <c r="E41" i="77" s="1"/>
  <c r="C41" i="77" s="1"/>
  <c r="P28" i="77"/>
  <c r="N28" i="77"/>
  <c r="H48" i="77"/>
  <c r="H54" i="77"/>
  <c r="H59" i="77"/>
  <c r="H61" i="77"/>
  <c r="H62" i="77"/>
  <c r="H65" i="77"/>
  <c r="H67" i="77"/>
  <c r="H72" i="77"/>
  <c r="H74" i="77"/>
  <c r="H77" i="77"/>
  <c r="H78" i="77"/>
  <c r="H83" i="77"/>
  <c r="H85" i="77"/>
  <c r="H88" i="77"/>
  <c r="F100" i="77"/>
  <c r="J100" i="77"/>
  <c r="N100" i="77"/>
  <c r="H60" i="77"/>
  <c r="H63" i="77"/>
  <c r="H64" i="77"/>
  <c r="H71" i="77"/>
  <c r="H73" i="77"/>
  <c r="H75" i="77"/>
  <c r="H82" i="77"/>
  <c r="H84" i="77"/>
  <c r="H86" i="77"/>
  <c r="C108" i="77"/>
  <c r="C100" i="77"/>
  <c r="E108" i="77"/>
  <c r="E100" i="77"/>
  <c r="G108" i="77"/>
  <c r="G100" i="77"/>
  <c r="I108" i="77"/>
  <c r="I100" i="77"/>
  <c r="K108" i="77"/>
  <c r="K100" i="77"/>
  <c r="M108" i="77"/>
  <c r="M100" i="77"/>
  <c r="D100" i="77"/>
  <c r="H100" i="77"/>
  <c r="L100" i="77"/>
  <c r="AH5" i="71"/>
  <c r="AG5" i="71"/>
  <c r="AE5" i="71"/>
  <c r="AF5" i="71" s="1"/>
  <c r="AD5" i="71"/>
  <c r="Q5" i="71"/>
  <c r="P5" i="71"/>
  <c r="O5" i="71"/>
  <c r="N5" i="71"/>
  <c r="H52" i="77" l="1"/>
  <c r="H49" i="77"/>
  <c r="H53" i="77"/>
  <c r="H51" i="77"/>
  <c r="H50" i="77"/>
  <c r="E7" i="76"/>
  <c r="H56" i="77"/>
  <c r="C7" i="77"/>
  <c r="G17" i="77"/>
  <c r="C16" i="77" s="1"/>
  <c r="D5" i="77" s="1"/>
  <c r="C5" i="77" l="1"/>
  <c r="E20" i="43"/>
  <c r="AH6" i="71" l="1"/>
  <c r="AG6" i="71"/>
  <c r="AE6" i="71"/>
  <c r="AF6" i="71" s="1"/>
  <c r="AD6" i="71"/>
  <c r="Q6" i="71"/>
  <c r="P6" i="71"/>
  <c r="O6" i="71"/>
  <c r="N6" i="71"/>
  <c r="AH7" i="71" l="1"/>
  <c r="AG7" i="71"/>
  <c r="AE7" i="71"/>
  <c r="AF7" i="71" s="1"/>
  <c r="AD7" i="71"/>
  <c r="Q7" i="71"/>
  <c r="P7" i="71"/>
  <c r="O7" i="71"/>
  <c r="N7" i="71"/>
  <c r="AH8" i="71" l="1"/>
  <c r="AG8" i="71"/>
  <c r="AE8" i="71"/>
  <c r="AF8" i="71" s="1"/>
  <c r="AD8" i="71"/>
  <c r="Q8" i="71"/>
  <c r="P8" i="71"/>
  <c r="O8" i="71"/>
  <c r="N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9" i="71" l="1"/>
  <c r="AG9" i="71"/>
  <c r="AE9" i="71"/>
  <c r="AF9" i="71" s="1"/>
  <c r="AD9" i="71"/>
  <c r="Q9" i="71"/>
  <c r="P9" i="71"/>
  <c r="O9" i="71"/>
  <c r="N9" i="71"/>
  <c r="AH10" i="71" l="1"/>
  <c r="AG10" i="71"/>
  <c r="AE10" i="71"/>
  <c r="AF10" i="71" s="1"/>
  <c r="AD10" i="71"/>
  <c r="Q10" i="71"/>
  <c r="P10" i="71"/>
  <c r="O10" i="71"/>
  <c r="N10" i="71"/>
  <c r="Q12" i="71" l="1"/>
  <c r="P12" i="71"/>
  <c r="O12" i="71"/>
  <c r="N12" i="71"/>
  <c r="AH11" i="71"/>
  <c r="AG11" i="71"/>
  <c r="AE11" i="71"/>
  <c r="AF11" i="71" s="1"/>
  <c r="AD11" i="71"/>
  <c r="Q11" i="71"/>
  <c r="P11" i="71"/>
  <c r="O11" i="71"/>
  <c r="N11" i="71"/>
  <c r="AH12" i="71"/>
  <c r="AG12" i="71"/>
  <c r="AE12" i="71"/>
  <c r="AF12" i="71" s="1"/>
  <c r="AD12" i="71"/>
  <c r="Q13" i="71"/>
  <c r="Q14" i="71"/>
  <c r="P13" i="71"/>
  <c r="P14" i="71"/>
  <c r="O13" i="71"/>
  <c r="O14" i="71"/>
  <c r="N13" i="71"/>
  <c r="N14" i="71"/>
  <c r="AH13" i="71"/>
  <c r="AG13" i="71"/>
  <c r="AE13" i="71"/>
  <c r="AF13" i="71" s="1"/>
  <c r="AD13" i="71"/>
  <c r="F24" i="12"/>
  <c r="F7" i="69"/>
  <c r="F7" i="68"/>
  <c r="M15" i="45"/>
  <c r="L15" i="45"/>
  <c r="K15" i="45"/>
  <c r="J15" i="45"/>
  <c r="I15" i="45"/>
  <c r="H15" i="45"/>
  <c r="G15" i="45"/>
  <c r="F15" i="45"/>
  <c r="E15" i="45"/>
  <c r="D15" i="45"/>
  <c r="C15" i="45"/>
  <c r="B15" i="45"/>
  <c r="AH14" i="71"/>
  <c r="AG14" i="71"/>
  <c r="AE14" i="71"/>
  <c r="AF14" i="71" s="1"/>
  <c r="AD14" i="71"/>
  <c r="AD15" i="71"/>
  <c r="AH15" i="71"/>
  <c r="AG15" i="71"/>
  <c r="AE15" i="71"/>
  <c r="AF15" i="71" s="1"/>
  <c r="Q15" i="71"/>
  <c r="P15" i="71"/>
  <c r="O15" i="71"/>
  <c r="N15" i="71"/>
  <c r="L3" i="71"/>
  <c r="AH3" i="71" s="1"/>
  <c r="K3" i="71"/>
  <c r="AG3" i="71" s="1"/>
  <c r="J3" i="71"/>
  <c r="AE3" i="71" s="1"/>
  <c r="I3" i="71"/>
  <c r="AH16" i="71"/>
  <c r="AG16" i="71"/>
  <c r="AE16" i="71"/>
  <c r="AF16" i="71" s="1"/>
  <c r="AD16" i="71"/>
  <c r="Q16" i="71"/>
  <c r="Q17" i="71"/>
  <c r="P16" i="71"/>
  <c r="P17" i="71"/>
  <c r="O16" i="71"/>
  <c r="O17" i="71"/>
  <c r="N16" i="71"/>
  <c r="N17" i="71"/>
  <c r="N18" i="71"/>
  <c r="AH17" i="71"/>
  <c r="AG17" i="71"/>
  <c r="AE17" i="71"/>
  <c r="AF17" i="71" s="1"/>
  <c r="AD17" i="71"/>
  <c r="Q18" i="71"/>
  <c r="P18" i="71"/>
  <c r="O18" i="71"/>
  <c r="D20" i="71"/>
  <c r="AH18" i="71"/>
  <c r="AG18" i="71"/>
  <c r="AE18" i="71"/>
  <c r="AF18" i="71" s="1"/>
  <c r="AD18" i="71"/>
  <c r="AD19" i="71"/>
  <c r="AG19" i="71"/>
  <c r="AH19" i="71"/>
  <c r="AE19" i="71"/>
  <c r="AF19" i="71" s="1"/>
  <c r="N19" i="71"/>
  <c r="Q19" i="71"/>
  <c r="F19" i="71" s="1"/>
  <c r="F18" i="71" s="1"/>
  <c r="F17" i="71" s="1"/>
  <c r="P19" i="71"/>
  <c r="E19" i="71" s="1"/>
  <c r="O19" i="71"/>
  <c r="Q20" i="71"/>
  <c r="P20" i="71"/>
  <c r="O20" i="71"/>
  <c r="N20" i="71"/>
  <c r="A2" i="53"/>
  <c r="K59" i="67"/>
  <c r="P74" i="67" s="1"/>
  <c r="K59" i="15"/>
  <c r="P74" i="15" s="1"/>
  <c r="D116" i="39"/>
  <c r="E116" i="39"/>
  <c r="F116" i="39"/>
  <c r="G116" i="39"/>
  <c r="H116" i="39"/>
  <c r="I116" i="39"/>
  <c r="J116" i="39"/>
  <c r="K116" i="39"/>
  <c r="L116" i="39"/>
  <c r="M116" i="39"/>
  <c r="C116" i="39"/>
  <c r="A21" i="62"/>
  <c r="A20" i="62"/>
  <c r="A22" i="51"/>
  <c r="A21" i="51"/>
  <c r="A20" i="51"/>
  <c r="A15" i="62"/>
  <c r="A14" i="62"/>
  <c r="B60" i="72" s="1"/>
  <c r="A13" i="62"/>
  <c r="B59" i="72" s="1"/>
  <c r="A19" i="62"/>
  <c r="A12" i="62"/>
  <c r="B58" i="72" s="1"/>
  <c r="A120" i="9"/>
  <c r="H2" i="52"/>
  <c r="A1" i="52"/>
  <c r="A3" i="53"/>
  <c r="Q21" i="71"/>
  <c r="P21" i="71"/>
  <c r="O21" i="71"/>
  <c r="N21" i="71"/>
  <c r="A15" i="51"/>
  <c r="B12" i="72" s="1"/>
  <c r="C76" i="9"/>
  <c r="I107" i="40"/>
  <c r="K6" i="4"/>
  <c r="N56" i="9" s="1"/>
  <c r="B22" i="31"/>
  <c r="E15" i="74"/>
  <c r="F15" i="74"/>
  <c r="E16" i="74"/>
  <c r="F16" i="74"/>
  <c r="E17" i="74"/>
  <c r="F17" i="74"/>
  <c r="E18" i="74"/>
  <c r="F18" i="74"/>
  <c r="E19" i="74"/>
  <c r="F19" i="74"/>
  <c r="E20" i="74"/>
  <c r="F20" i="74"/>
  <c r="E21" i="74"/>
  <c r="F21" i="74"/>
  <c r="E22" i="74"/>
  <c r="F22" i="74"/>
  <c r="E23" i="74"/>
  <c r="F23" i="74"/>
  <c r="B3" i="74"/>
  <c r="C91" i="9"/>
  <c r="B8" i="72"/>
  <c r="O22" i="71"/>
  <c r="P22" i="71"/>
  <c r="Q22" i="71"/>
  <c r="N22" i="71"/>
  <c r="AD20" i="71"/>
  <c r="AE20" i="71"/>
  <c r="AF20" i="71" s="1"/>
  <c r="AG20" i="71"/>
  <c r="AH20" i="71"/>
  <c r="AD21" i="71"/>
  <c r="AE21" i="71"/>
  <c r="AF21" i="71"/>
  <c r="AG21" i="71"/>
  <c r="AH21"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H34" i="71"/>
  <c r="AG34" i="71"/>
  <c r="AE34" i="71"/>
  <c r="AF34" i="71" s="1"/>
  <c r="AD34" i="71"/>
  <c r="AD35" i="71"/>
  <c r="AE35" i="71"/>
  <c r="AF35" i="71" s="1"/>
  <c r="AG35" i="71"/>
  <c r="AH35" i="71"/>
  <c r="S2" i="31"/>
  <c r="M2" i="31"/>
  <c r="N2" i="31"/>
  <c r="O2" i="31"/>
  <c r="P2" i="31"/>
  <c r="Q2" i="31"/>
  <c r="R2" i="31"/>
  <c r="C1" i="73"/>
  <c r="L1" i="73" s="1"/>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K49" i="9"/>
  <c r="E107" i="9"/>
  <c r="A122" i="9" s="1"/>
  <c r="A8" i="52" s="1"/>
  <c r="E111" i="9"/>
  <c r="A126" i="9" s="1"/>
  <c r="E109" i="9"/>
  <c r="A124" i="9" s="1"/>
  <c r="B44" i="72"/>
  <c r="B42" i="72"/>
  <c r="B69" i="72"/>
  <c r="B68" i="72"/>
  <c r="B63" i="72"/>
  <c r="B62" i="72"/>
  <c r="B16" i="72"/>
  <c r="B65" i="72"/>
  <c r="B67" i="72"/>
  <c r="B66" i="72"/>
  <c r="B10" i="72"/>
  <c r="C53" i="10"/>
  <c r="B51" i="10"/>
  <c r="B19" i="72"/>
  <c r="A18" i="51"/>
  <c r="B13" i="72" s="1"/>
  <c r="C8" i="68"/>
  <c r="B49" i="48"/>
  <c r="B5" i="72" s="1"/>
  <c r="I19" i="43"/>
  <c r="D84" i="71"/>
  <c r="F83" i="71"/>
  <c r="F82" i="71" s="1"/>
  <c r="F81" i="71" s="1"/>
  <c r="E83" i="71"/>
  <c r="E82" i="71" s="1"/>
  <c r="E81" i="71" s="1"/>
  <c r="C83" i="71"/>
  <c r="D83" i="71" s="1"/>
  <c r="B83" i="71"/>
  <c r="B82" i="71" s="1"/>
  <c r="B81" i="71" s="1"/>
  <c r="D80" i="71"/>
  <c r="F79" i="71"/>
  <c r="F78" i="71" s="1"/>
  <c r="F77" i="71" s="1"/>
  <c r="E79" i="71"/>
  <c r="E78" i="71" s="1"/>
  <c r="E77" i="71" s="1"/>
  <c r="C79" i="71"/>
  <c r="D79" i="71" s="1"/>
  <c r="B79" i="71"/>
  <c r="B78" i="71" s="1"/>
  <c r="B77" i="71" s="1"/>
  <c r="D76" i="71"/>
  <c r="Q75" i="71"/>
  <c r="P75" i="71"/>
  <c r="O75" i="71"/>
  <c r="N75" i="71"/>
  <c r="F75" i="71"/>
  <c r="V75" i="71" s="1"/>
  <c r="E75" i="71"/>
  <c r="U75" i="71" s="1"/>
  <c r="C75" i="71"/>
  <c r="T75" i="71" s="1"/>
  <c r="B75" i="71"/>
  <c r="S75" i="71" s="1"/>
  <c r="Q74" i="71"/>
  <c r="P74" i="71"/>
  <c r="O74" i="71"/>
  <c r="N74" i="71"/>
  <c r="Q73" i="71"/>
  <c r="P73" i="71"/>
  <c r="O73" i="71"/>
  <c r="N73" i="71"/>
  <c r="Q72" i="71"/>
  <c r="P72" i="71"/>
  <c r="O72" i="71"/>
  <c r="N72" i="71"/>
  <c r="D72" i="71"/>
  <c r="Q71" i="71"/>
  <c r="P71" i="71"/>
  <c r="O71" i="71"/>
  <c r="N71" i="71"/>
  <c r="F71" i="71"/>
  <c r="V71" i="71" s="1"/>
  <c r="E71" i="71"/>
  <c r="U71" i="71" s="1"/>
  <c r="C71" i="71"/>
  <c r="D71" i="71" s="1"/>
  <c r="B71" i="71"/>
  <c r="S71" i="71" s="1"/>
  <c r="Q70" i="71"/>
  <c r="P70" i="71"/>
  <c r="O70" i="71"/>
  <c r="N70" i="71"/>
  <c r="F70" i="71"/>
  <c r="F69" i="71" s="1"/>
  <c r="Q69" i="71"/>
  <c r="P69" i="71"/>
  <c r="O69" i="71"/>
  <c r="N69" i="71"/>
  <c r="Q68" i="71"/>
  <c r="P68" i="71"/>
  <c r="O68" i="71"/>
  <c r="N68" i="71"/>
  <c r="D68" i="71"/>
  <c r="Q67" i="71"/>
  <c r="P67" i="71"/>
  <c r="O67" i="71"/>
  <c r="N67" i="71"/>
  <c r="F67" i="71"/>
  <c r="V67" i="71" s="1"/>
  <c r="E67" i="71"/>
  <c r="U67" i="71" s="1"/>
  <c r="C67" i="71"/>
  <c r="T67" i="71" s="1"/>
  <c r="B67" i="71"/>
  <c r="S67" i="71" s="1"/>
  <c r="Q66" i="71"/>
  <c r="P66" i="71"/>
  <c r="O66" i="71"/>
  <c r="N66" i="71"/>
  <c r="Q65" i="71"/>
  <c r="P65" i="71"/>
  <c r="O65" i="71"/>
  <c r="N65" i="71"/>
  <c r="Q64" i="71"/>
  <c r="P64" i="71"/>
  <c r="O64" i="71"/>
  <c r="N64" i="71"/>
  <c r="D64" i="71"/>
  <c r="F63" i="71"/>
  <c r="Q63" i="71" s="1"/>
  <c r="E63" i="71"/>
  <c r="E62" i="71" s="1"/>
  <c r="C63" i="71"/>
  <c r="T63" i="71" s="1"/>
  <c r="B63" i="71"/>
  <c r="D60" i="71"/>
  <c r="Q59" i="71"/>
  <c r="P59" i="71"/>
  <c r="O59" i="71"/>
  <c r="N59" i="71"/>
  <c r="Q58" i="71"/>
  <c r="P58" i="71"/>
  <c r="O58" i="71"/>
  <c r="N58" i="71"/>
  <c r="Q57" i="71"/>
  <c r="P57" i="71"/>
  <c r="O57" i="71"/>
  <c r="N57" i="71"/>
  <c r="Q56" i="71"/>
  <c r="F57" i="71" s="1"/>
  <c r="F58" i="71" s="1"/>
  <c r="F59" i="71" s="1"/>
  <c r="V59" i="71" s="1"/>
  <c r="P56" i="71"/>
  <c r="E57" i="71" s="1"/>
  <c r="E58" i="71" s="1"/>
  <c r="E59" i="71" s="1"/>
  <c r="U59" i="71" s="1"/>
  <c r="O56" i="71"/>
  <c r="C57" i="71" s="1"/>
  <c r="D57" i="71" s="1"/>
  <c r="N56" i="71"/>
  <c r="B57" i="71" s="1"/>
  <c r="B58" i="71" s="1"/>
  <c r="D56" i="71"/>
  <c r="Q55" i="71"/>
  <c r="P55" i="71"/>
  <c r="O55" i="71"/>
  <c r="N55" i="71"/>
  <c r="Q54" i="71"/>
  <c r="P54" i="71"/>
  <c r="O54" i="71"/>
  <c r="N54" i="71"/>
  <c r="Q53" i="71"/>
  <c r="P53" i="71"/>
  <c r="O53" i="71"/>
  <c r="N53" i="71"/>
  <c r="Q52" i="71"/>
  <c r="F53" i="71" s="1"/>
  <c r="P52" i="71"/>
  <c r="E53" i="71" s="1"/>
  <c r="O52" i="71"/>
  <c r="C53" i="71" s="1"/>
  <c r="N52" i="71"/>
  <c r="B53" i="71" s="1"/>
  <c r="D52" i="71"/>
  <c r="Q51" i="71"/>
  <c r="P51" i="71"/>
  <c r="O51" i="71"/>
  <c r="N51" i="71"/>
  <c r="Q50" i="71"/>
  <c r="P50" i="71"/>
  <c r="O50" i="71"/>
  <c r="N50" i="71"/>
  <c r="Q49" i="71"/>
  <c r="P49" i="71"/>
  <c r="O49" i="71"/>
  <c r="N49" i="71"/>
  <c r="Q48" i="71"/>
  <c r="F49" i="71" s="1"/>
  <c r="P48" i="71"/>
  <c r="E49" i="71" s="1"/>
  <c r="E50" i="71" s="1"/>
  <c r="E51" i="71" s="1"/>
  <c r="U51" i="71" s="1"/>
  <c r="O48" i="71"/>
  <c r="C49" i="71" s="1"/>
  <c r="C50" i="71" s="1"/>
  <c r="N48" i="71"/>
  <c r="B49" i="71" s="1"/>
  <c r="D48" i="71"/>
  <c r="Q47" i="71"/>
  <c r="P47" i="71"/>
  <c r="O47" i="71"/>
  <c r="N47" i="71"/>
  <c r="Q46" i="71"/>
  <c r="P46" i="71"/>
  <c r="O46" i="71"/>
  <c r="N46" i="71"/>
  <c r="Q45" i="71"/>
  <c r="P45" i="71"/>
  <c r="O45" i="71"/>
  <c r="N45" i="71"/>
  <c r="Q44" i="71"/>
  <c r="F45" i="71" s="1"/>
  <c r="P44" i="71"/>
  <c r="E45" i="71" s="1"/>
  <c r="O44" i="71"/>
  <c r="C45" i="71" s="1"/>
  <c r="N44" i="71"/>
  <c r="B45" i="71" s="1"/>
  <c r="B46" i="71" s="1"/>
  <c r="B47" i="71" s="1"/>
  <c r="S47" i="71" s="1"/>
  <c r="D44" i="71"/>
  <c r="T43" i="71"/>
  <c r="Q43" i="71"/>
  <c r="P43" i="71"/>
  <c r="O43" i="71"/>
  <c r="N43" i="71"/>
  <c r="D43" i="71"/>
  <c r="Q42" i="71"/>
  <c r="P42" i="71"/>
  <c r="O42" i="71"/>
  <c r="N42" i="71"/>
  <c r="Q41" i="71"/>
  <c r="P41" i="71"/>
  <c r="O41" i="71"/>
  <c r="N41" i="71"/>
  <c r="Q40" i="71"/>
  <c r="F41" i="71" s="1"/>
  <c r="P40" i="71"/>
  <c r="E41" i="71" s="1"/>
  <c r="E42" i="71" s="1"/>
  <c r="E43" i="71" s="1"/>
  <c r="U43" i="71" s="1"/>
  <c r="O40" i="71"/>
  <c r="C41" i="71" s="1"/>
  <c r="D41" i="71" s="1"/>
  <c r="N40" i="71"/>
  <c r="B41" i="71" s="1"/>
  <c r="B42" i="71" s="1"/>
  <c r="B43" i="71" s="1"/>
  <c r="S43" i="71" s="1"/>
  <c r="D40" i="71"/>
  <c r="Q39" i="71"/>
  <c r="P39" i="71"/>
  <c r="O39" i="71"/>
  <c r="N39" i="71"/>
  <c r="Q38" i="71"/>
  <c r="P38" i="71"/>
  <c r="O38" i="71"/>
  <c r="N38" i="71"/>
  <c r="Q37" i="71"/>
  <c r="P37" i="71"/>
  <c r="O37" i="71"/>
  <c r="N37" i="71"/>
  <c r="Q36" i="71"/>
  <c r="F37" i="71" s="1"/>
  <c r="P36" i="71"/>
  <c r="E37" i="71" s="1"/>
  <c r="O36" i="71"/>
  <c r="C37" i="71" s="1"/>
  <c r="N36" i="71"/>
  <c r="B37" i="71" s="1"/>
  <c r="B38" i="71" s="1"/>
  <c r="B39" i="71" s="1"/>
  <c r="S39" i="71" s="1"/>
  <c r="D36" i="71"/>
  <c r="Q35" i="71"/>
  <c r="P35" i="71"/>
  <c r="O35" i="71"/>
  <c r="N35" i="71"/>
  <c r="Q34" i="71"/>
  <c r="P34" i="71"/>
  <c r="AA34" i="71" s="1"/>
  <c r="O34" i="71"/>
  <c r="Y34" i="71" s="1"/>
  <c r="Z34" i="71" s="1"/>
  <c r="N34" i="71"/>
  <c r="Q33" i="71"/>
  <c r="P33" i="71"/>
  <c r="O33" i="71"/>
  <c r="Y33" i="71" s="1"/>
  <c r="Z33" i="71" s="1"/>
  <c r="N33" i="71"/>
  <c r="Q32" i="71"/>
  <c r="F33" i="71" s="1"/>
  <c r="F34" i="71" s="1"/>
  <c r="P32" i="71"/>
  <c r="E33" i="71" s="1"/>
  <c r="E34" i="71" s="1"/>
  <c r="O32" i="71"/>
  <c r="C33" i="71" s="1"/>
  <c r="N32" i="71"/>
  <c r="D32" i="71"/>
  <c r="Q31" i="71"/>
  <c r="P31" i="71"/>
  <c r="O31" i="71"/>
  <c r="N31" i="71"/>
  <c r="Q30" i="71"/>
  <c r="P30" i="71"/>
  <c r="O30" i="71"/>
  <c r="N30" i="71"/>
  <c r="Q29" i="71"/>
  <c r="P29" i="71"/>
  <c r="O29" i="71"/>
  <c r="N29" i="71"/>
  <c r="Q28" i="71"/>
  <c r="F29" i="71" s="1"/>
  <c r="P28" i="71"/>
  <c r="E29" i="71" s="1"/>
  <c r="O28" i="71"/>
  <c r="C29" i="71" s="1"/>
  <c r="N28" i="71"/>
  <c r="B29" i="71" s="1"/>
  <c r="B30" i="71" s="1"/>
  <c r="D28" i="71"/>
  <c r="Q27" i="71"/>
  <c r="P27" i="71"/>
  <c r="O27" i="71"/>
  <c r="N27" i="71"/>
  <c r="Q26" i="71"/>
  <c r="P26" i="71"/>
  <c r="O26" i="71"/>
  <c r="N26" i="71"/>
  <c r="Q25" i="71"/>
  <c r="P25" i="71"/>
  <c r="O25" i="71"/>
  <c r="N25" i="71"/>
  <c r="Q24" i="71"/>
  <c r="F25" i="71" s="1"/>
  <c r="P24" i="71"/>
  <c r="O24" i="71"/>
  <c r="C25" i="71" s="1"/>
  <c r="N24" i="71"/>
  <c r="D24" i="71"/>
  <c r="O23" i="71"/>
  <c r="C23" i="71" s="1"/>
  <c r="N23" i="71"/>
  <c r="B23" i="71" s="1"/>
  <c r="B22" i="71" s="1"/>
  <c r="B21" i="71" s="1"/>
  <c r="F46" i="71"/>
  <c r="F47" i="71" s="1"/>
  <c r="V47" i="71" s="1"/>
  <c r="P23" i="71"/>
  <c r="Q23" i="71"/>
  <c r="F23" i="71" s="1"/>
  <c r="F22" i="71" s="1"/>
  <c r="F21" i="71" s="1"/>
  <c r="D63" i="71"/>
  <c r="E66" i="71"/>
  <c r="E65" i="71" s="1"/>
  <c r="C74" i="71"/>
  <c r="C73" i="71" s="1"/>
  <c r="D73" i="71" s="1"/>
  <c r="D75" i="71"/>
  <c r="C82" i="71"/>
  <c r="D82" i="71" s="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Q29" i="39"/>
  <c r="Z29" i="39" s="1"/>
  <c r="D103" i="39"/>
  <c r="E103" i="39" s="1"/>
  <c r="F103" i="39" s="1"/>
  <c r="G103"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S21" i="21" s="1"/>
  <c r="D81" i="21"/>
  <c r="G20" i="20"/>
  <c r="B86" i="77" s="1"/>
  <c r="C22" i="20"/>
  <c r="B75" i="43" s="1"/>
  <c r="H25" i="40"/>
  <c r="AB25" i="40" s="1"/>
  <c r="J25" i="40"/>
  <c r="AC25" i="40" s="1"/>
  <c r="H29" i="39"/>
  <c r="J29" i="39"/>
  <c r="AC29" i="39" s="1"/>
  <c r="J18" i="36"/>
  <c r="AC18" i="36" s="1"/>
  <c r="H18" i="35"/>
  <c r="AB18" i="35" s="1"/>
  <c r="J18" i="35"/>
  <c r="AC18" i="35" s="1"/>
  <c r="H21" i="37"/>
  <c r="U21" i="37" s="1"/>
  <c r="F21" i="37"/>
  <c r="AA21" i="37" s="1"/>
  <c r="H21" i="34"/>
  <c r="AB21" i="34" s="1"/>
  <c r="H21" i="33"/>
  <c r="U21" i="33" s="1"/>
  <c r="F21" i="33"/>
  <c r="H1" i="69"/>
  <c r="W29" i="39"/>
  <c r="J21" i="37"/>
  <c r="W21" i="37" s="1"/>
  <c r="J21" i="34"/>
  <c r="W21" i="34" s="1"/>
  <c r="J21" i="33"/>
  <c r="W21" i="33" s="1"/>
  <c r="H21" i="21"/>
  <c r="F38" i="69"/>
  <c r="E37" i="69"/>
  <c r="F36" i="69"/>
  <c r="F35" i="69"/>
  <c r="F21" i="69"/>
  <c r="F40" i="69" s="1"/>
  <c r="F20" i="69"/>
  <c r="F39" i="69" s="1"/>
  <c r="E10" i="69"/>
  <c r="E9" i="69"/>
  <c r="C7" i="69"/>
  <c r="J21" i="21"/>
  <c r="W21" i="21" s="1"/>
  <c r="C40" i="69"/>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B1" i="4"/>
  <c r="C27" i="66"/>
  <c r="C31" i="66" s="1"/>
  <c r="I23" i="66"/>
  <c r="D20" i="66"/>
  <c r="I19" i="66"/>
  <c r="I18" i="66"/>
  <c r="I17" i="66"/>
  <c r="E15" i="66"/>
  <c r="I14" i="66"/>
  <c r="I13" i="66"/>
  <c r="I12" i="66"/>
  <c r="I9" i="66"/>
  <c r="I8" i="66"/>
  <c r="I7" i="66"/>
  <c r="I6" i="66"/>
  <c r="I5" i="66"/>
  <c r="I4" i="66"/>
  <c r="I3" i="66"/>
  <c r="F113" i="43"/>
  <c r="N99" i="43"/>
  <c r="N108" i="43" s="1"/>
  <c r="D99" i="43"/>
  <c r="D108" i="43" s="1"/>
  <c r="E99" i="43"/>
  <c r="E100" i="43" s="1"/>
  <c r="F99" i="43"/>
  <c r="F108" i="43" s="1"/>
  <c r="G99" i="43"/>
  <c r="G100" i="43" s="1"/>
  <c r="H99" i="43"/>
  <c r="H108" i="43" s="1"/>
  <c r="I99" i="43"/>
  <c r="I100" i="43" s="1"/>
  <c r="J99" i="43"/>
  <c r="J108" i="43" s="1"/>
  <c r="K99" i="43"/>
  <c r="K100" i="43" s="1"/>
  <c r="L99" i="43"/>
  <c r="L108" i="43" s="1"/>
  <c r="M99" i="43"/>
  <c r="M100" i="43" s="1"/>
  <c r="C99" i="43"/>
  <c r="C108" i="43" s="1"/>
  <c r="B48" i="43"/>
  <c r="B84" i="43"/>
  <c r="B83" i="43"/>
  <c r="B72" i="43"/>
  <c r="B61" i="43"/>
  <c r="B50" i="43"/>
  <c r="D82" i="43"/>
  <c r="D83" i="43"/>
  <c r="D84" i="43"/>
  <c r="D85" i="43"/>
  <c r="D86" i="43"/>
  <c r="D87" i="43"/>
  <c r="D88" i="43"/>
  <c r="D81"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D67" i="43" s="1"/>
  <c r="M66" i="43"/>
  <c r="N66" i="43" s="1"/>
  <c r="K66" i="43"/>
  <c r="J66" i="43" s="1"/>
  <c r="D66" i="43" s="1"/>
  <c r="M65" i="43"/>
  <c r="N65" i="43" s="1"/>
  <c r="K65" i="43"/>
  <c r="D65" i="43" s="1"/>
  <c r="M64" i="43"/>
  <c r="N64" i="43" s="1"/>
  <c r="K64" i="43"/>
  <c r="D64" i="43" s="1"/>
  <c r="M63" i="43"/>
  <c r="N63" i="43" s="1"/>
  <c r="K63" i="43"/>
  <c r="D63" i="43" s="1"/>
  <c r="M62" i="43"/>
  <c r="N62" i="43" s="1"/>
  <c r="K62" i="43"/>
  <c r="D62" i="43" s="1"/>
  <c r="M61" i="43"/>
  <c r="N61" i="43" s="1"/>
  <c r="K61" i="43"/>
  <c r="D61" i="43" s="1"/>
  <c r="M60" i="43"/>
  <c r="N60" i="43" s="1"/>
  <c r="K60" i="43"/>
  <c r="D60" i="43" s="1"/>
  <c r="M59" i="43"/>
  <c r="N59" i="43" s="1"/>
  <c r="K59" i="43"/>
  <c r="D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5" s="1"/>
  <c r="C58" i="85" s="1"/>
  <c r="F15" i="4"/>
  <c r="F9" i="1"/>
  <c r="F10" i="1"/>
  <c r="F11" i="1"/>
  <c r="F12" i="1"/>
  <c r="F13" i="1"/>
  <c r="D6" i="1"/>
  <c r="D9" i="1"/>
  <c r="D10" i="1"/>
  <c r="D11" i="1"/>
  <c r="D12" i="1"/>
  <c r="D13" i="1"/>
  <c r="D7" i="1"/>
  <c r="D8" i="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L422" i="3" s="1"/>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40" i="48"/>
  <c r="B3" i="72" s="1"/>
  <c r="I2" i="43"/>
  <c r="N1" i="43" s="1"/>
  <c r="F35" i="4"/>
  <c r="J55" i="39" s="1"/>
  <c r="H34" i="43"/>
  <c r="H35" i="43"/>
  <c r="H36" i="43"/>
  <c r="H38"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s="1"/>
  <c r="M8" i="1" s="1"/>
  <c r="F23" i="15"/>
  <c r="D24" i="15" s="1"/>
  <c r="E22" i="6"/>
  <c r="E23" i="6"/>
  <c r="K10" i="1" s="1"/>
  <c r="M10" i="1" s="1"/>
  <c r="O10" i="1" s="1"/>
  <c r="P10" i="1" s="1"/>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A505" i="3" s="1"/>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A508" i="3" s="1"/>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L518" i="3" s="1"/>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A522" i="3" s="1"/>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A529" i="3" s="1"/>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A540" i="3" s="1"/>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A543" i="3" s="1"/>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G554" i="3" s="1"/>
  <c r="AC554" i="3"/>
  <c r="BB554" i="3"/>
  <c r="BA554" i="3" s="1"/>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L566" i="3" s="1"/>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L572" i="3" s="1"/>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A583" i="3" s="1"/>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B112" i="39"/>
  <c r="J30" i="36"/>
  <c r="W30" i="36" s="1"/>
  <c r="H30" i="36"/>
  <c r="AB30" i="36" s="1"/>
  <c r="F30" i="36"/>
  <c r="AA30" i="36" s="1"/>
  <c r="C26" i="35"/>
  <c r="C79" i="35" s="1"/>
  <c r="H26" i="35" s="1"/>
  <c r="AB26" i="35" s="1"/>
  <c r="J31" i="35"/>
  <c r="W31" i="35" s="1"/>
  <c r="H31" i="35"/>
  <c r="AB31" i="35" s="1"/>
  <c r="F31" i="35"/>
  <c r="D87" i="35"/>
  <c r="E87" i="35" s="1"/>
  <c r="F87" i="35" s="1"/>
  <c r="G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U42" i="34" s="1"/>
  <c r="J42" i="34"/>
  <c r="W42" i="34" s="1"/>
  <c r="F42" i="34"/>
  <c r="AA42" i="34" s="1"/>
  <c r="J38" i="34"/>
  <c r="W38" i="34" s="1"/>
  <c r="D114" i="34"/>
  <c r="F38" i="34"/>
  <c r="S38" i="34" s="1"/>
  <c r="D112" i="34"/>
  <c r="E112" i="34" s="1"/>
  <c r="F112" i="34" s="1"/>
  <c r="G112" i="34" s="1"/>
  <c r="H112" i="34" s="1"/>
  <c r="I112" i="34" s="1"/>
  <c r="J112" i="34" s="1"/>
  <c r="K112" i="34" s="1"/>
  <c r="L112" i="34" s="1"/>
  <c r="M112" i="34" s="1"/>
  <c r="F40" i="33"/>
  <c r="AA40" i="33" s="1"/>
  <c r="J41" i="33"/>
  <c r="W41" i="33" s="1"/>
  <c r="D113" i="33"/>
  <c r="E113" i="33" s="1"/>
  <c r="F113" i="33" s="1"/>
  <c r="G113" i="33" s="1"/>
  <c r="H113" i="33" s="1"/>
  <c r="I113" i="33" s="1"/>
  <c r="J113" i="33" s="1"/>
  <c r="K113" i="33" s="1"/>
  <c r="L113" i="33" s="1"/>
  <c r="M113" i="33" s="1"/>
  <c r="F37" i="33"/>
  <c r="S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H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B103" i="40"/>
  <c r="J32" i="40" s="1"/>
  <c r="B101" i="40"/>
  <c r="F31" i="40" s="1"/>
  <c r="AA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J13" i="40" s="1"/>
  <c r="W13" i="40" s="1"/>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F9" i="40"/>
  <c r="S9" i="40" s="1"/>
  <c r="J8" i="40"/>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E109" i="39" s="1"/>
  <c r="F109" i="39" s="1"/>
  <c r="G109" i="39" s="1"/>
  <c r="H109" i="39" s="1"/>
  <c r="I109" i="39" s="1"/>
  <c r="J109" i="39" s="1"/>
  <c r="K109" i="39" s="1"/>
  <c r="L109" i="39" s="1"/>
  <c r="M109" i="39" s="1"/>
  <c r="F34" i="39"/>
  <c r="AA34" i="39" s="1"/>
  <c r="D107" i="39"/>
  <c r="E107" i="39" s="1"/>
  <c r="D105" i="39"/>
  <c r="E105" i="39" s="1"/>
  <c r="F105" i="39" s="1"/>
  <c r="G105" i="39" s="1"/>
  <c r="H105" i="39" s="1"/>
  <c r="I105" i="39" s="1"/>
  <c r="J105" i="39" s="1"/>
  <c r="K105" i="39" s="1"/>
  <c r="L105" i="39" s="1"/>
  <c r="M105" i="39" s="1"/>
  <c r="D101" i="39"/>
  <c r="E101" i="39" s="1"/>
  <c r="F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AB44" i="39" s="1"/>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F31" i="39" s="1"/>
  <c r="AA31" i="39" s="1"/>
  <c r="D97" i="39"/>
  <c r="J23" i="39"/>
  <c r="D95" i="39"/>
  <c r="E95" i="39" s="1"/>
  <c r="F95" i="39" s="1"/>
  <c r="G95" i="39" s="1"/>
  <c r="D93" i="39"/>
  <c r="E93" i="39" s="1"/>
  <c r="F93" i="39" s="1"/>
  <c r="G93" i="39" s="1"/>
  <c r="D91" i="39"/>
  <c r="E91" i="39" s="1"/>
  <c r="F91" i="39" s="1"/>
  <c r="G91" i="39" s="1"/>
  <c r="D89" i="39"/>
  <c r="E89" i="39" s="1"/>
  <c r="F89" i="39" s="1"/>
  <c r="G89" i="39" s="1"/>
  <c r="B86" i="39"/>
  <c r="F14" i="39" s="1"/>
  <c r="B84" i="39"/>
  <c r="F13" i="39" s="1"/>
  <c r="S13" i="39" s="1"/>
  <c r="B82" i="39"/>
  <c r="J12" i="39" s="1"/>
  <c r="AC12" i="39" s="1"/>
  <c r="M79" i="39"/>
  <c r="L79" i="39"/>
  <c r="K79" i="39"/>
  <c r="J79" i="39"/>
  <c r="I79" i="39"/>
  <c r="H79" i="39"/>
  <c r="G79" i="39"/>
  <c r="F79" i="39"/>
  <c r="E79" i="39"/>
  <c r="D79" i="39"/>
  <c r="C79"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AC26" i="37" s="1"/>
  <c r="D79" i="37"/>
  <c r="E79" i="37" s="1"/>
  <c r="D75" i="37"/>
  <c r="E75" i="37" s="1"/>
  <c r="D73" i="37"/>
  <c r="E73" i="37" s="1"/>
  <c r="F73" i="37" s="1"/>
  <c r="G73" i="37" s="1"/>
  <c r="D71" i="37"/>
  <c r="E71" i="37" s="1"/>
  <c r="F71" i="37" s="1"/>
  <c r="G71" i="37" s="1"/>
  <c r="H15" i="37"/>
  <c r="AB15" i="37" s="1"/>
  <c r="B68" i="37"/>
  <c r="F14" i="37" s="1"/>
  <c r="S14" i="37" s="1"/>
  <c r="B66" i="37"/>
  <c r="B64" i="37"/>
  <c r="H12" i="37" s="1"/>
  <c r="AB12" i="37" s="1"/>
  <c r="D63" i="37"/>
  <c r="E63" i="37" s="1"/>
  <c r="F63" i="37" s="1"/>
  <c r="M61" i="37"/>
  <c r="L61" i="37"/>
  <c r="K61" i="37"/>
  <c r="J61" i="37"/>
  <c r="I61" i="37"/>
  <c r="H61" i="37"/>
  <c r="G61" i="37"/>
  <c r="F61" i="37"/>
  <c r="E61" i="37"/>
  <c r="D61" i="37"/>
  <c r="C61" i="37"/>
  <c r="F60" i="37"/>
  <c r="G60" i="37" s="1"/>
  <c r="C57" i="37"/>
  <c r="J9" i="37" s="1"/>
  <c r="W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31" i="36"/>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J33" i="36" s="1"/>
  <c r="W33" i="36" s="1"/>
  <c r="B91" i="36"/>
  <c r="H32" i="36" s="1"/>
  <c r="AB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F24" i="36" s="1"/>
  <c r="AA24" i="36" s="1"/>
  <c r="B71" i="36"/>
  <c r="D70" i="36"/>
  <c r="H22" i="36"/>
  <c r="AB22" i="36" s="1"/>
  <c r="D68" i="36"/>
  <c r="E68" i="36" s="1"/>
  <c r="F68" i="36" s="1"/>
  <c r="G68" i="36" s="1"/>
  <c r="D64" i="36"/>
  <c r="E64" i="36" s="1"/>
  <c r="F64" i="36" s="1"/>
  <c r="G64" i="36" s="1"/>
  <c r="J16" i="36"/>
  <c r="D62" i="36"/>
  <c r="E62" i="36" s="1"/>
  <c r="F62" i="36" s="1"/>
  <c r="G62" i="36" s="1"/>
  <c r="B59" i="36"/>
  <c r="B57" i="36"/>
  <c r="B55" i="36"/>
  <c r="H11" i="36" s="1"/>
  <c r="U11" i="36" s="1"/>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Q9" i="36"/>
  <c r="Z9" i="36" s="1"/>
  <c r="J8" i="36"/>
  <c r="AC8" i="36" s="1"/>
  <c r="H8" i="36"/>
  <c r="U8" i="36" s="1"/>
  <c r="F8" i="36"/>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F27" i="35"/>
  <c r="AA27" i="35" s="1"/>
  <c r="J22" i="35"/>
  <c r="B101" i="35"/>
  <c r="H36" i="35" s="1"/>
  <c r="AB36" i="35" s="1"/>
  <c r="B99" i="35"/>
  <c r="B97" i="35"/>
  <c r="J34" i="35" s="1"/>
  <c r="B77" i="35"/>
  <c r="F25" i="35" s="1"/>
  <c r="S25" i="35" s="1"/>
  <c r="B75" i="35"/>
  <c r="J24" i="35" s="1"/>
  <c r="AC24" i="35" s="1"/>
  <c r="B73" i="35"/>
  <c r="B57" i="35"/>
  <c r="B61" i="35"/>
  <c r="B59" i="35"/>
  <c r="B131" i="34"/>
  <c r="F47" i="34" s="1"/>
  <c r="S47" i="34" s="1"/>
  <c r="B129" i="34"/>
  <c r="H46" i="34" s="1"/>
  <c r="U46" i="34" s="1"/>
  <c r="B127" i="34"/>
  <c r="B99" i="34"/>
  <c r="F32" i="34" s="1"/>
  <c r="B97" i="34"/>
  <c r="H31" i="34" s="1"/>
  <c r="AB31" i="34" s="1"/>
  <c r="B95" i="34"/>
  <c r="F30" i="34" s="1"/>
  <c r="S30" i="34" s="1"/>
  <c r="B93" i="34"/>
  <c r="F29" i="34" s="1"/>
  <c r="S29" i="34" s="1"/>
  <c r="B75" i="34"/>
  <c r="F14" i="34" s="1"/>
  <c r="S14" i="34" s="1"/>
  <c r="B73" i="34"/>
  <c r="J13" i="34" s="1"/>
  <c r="W13" i="34" s="1"/>
  <c r="B71" i="34"/>
  <c r="F12" i="34" s="1"/>
  <c r="B130" i="33"/>
  <c r="B128" i="33"/>
  <c r="B126" i="33"/>
  <c r="H44" i="33" s="1"/>
  <c r="U44" i="33" s="1"/>
  <c r="B98" i="33"/>
  <c r="H31" i="33" s="1"/>
  <c r="U31" i="33" s="1"/>
  <c r="B96" i="33"/>
  <c r="J30" i="33" s="1"/>
  <c r="AC30" i="33" s="1"/>
  <c r="B94" i="33"/>
  <c r="H29" i="33" s="1"/>
  <c r="U29" i="33" s="1"/>
  <c r="B74" i="33"/>
  <c r="J14" i="33" s="1"/>
  <c r="B72" i="33"/>
  <c r="H13" i="33" s="1"/>
  <c r="AB13" i="33" s="1"/>
  <c r="B70" i="33"/>
  <c r="D96" i="35"/>
  <c r="E96" i="35" s="1"/>
  <c r="F96" i="35" s="1"/>
  <c r="G96" i="35" s="1"/>
  <c r="D94" i="35"/>
  <c r="E94" i="35" s="1"/>
  <c r="F94" i="35" s="1"/>
  <c r="G94" i="35" s="1"/>
  <c r="H94" i="35" s="1"/>
  <c r="I94" i="35" s="1"/>
  <c r="J94" i="35" s="1"/>
  <c r="K94" i="35" s="1"/>
  <c r="L94" i="35" s="1"/>
  <c r="M94" i="35" s="1"/>
  <c r="D84" i="35"/>
  <c r="F28" i="35" s="1"/>
  <c r="D80" i="35"/>
  <c r="E80" i="35" s="1"/>
  <c r="F80" i="35" s="1"/>
  <c r="G80" i="35" s="1"/>
  <c r="H80" i="35" s="1"/>
  <c r="I80" i="35" s="1"/>
  <c r="J80" i="35" s="1"/>
  <c r="K80" i="35" s="1"/>
  <c r="L80" i="35" s="1"/>
  <c r="M80" i="35" s="1"/>
  <c r="D72" i="35"/>
  <c r="E72" i="35" s="1"/>
  <c r="F72" i="35" s="1"/>
  <c r="G72" i="35" s="1"/>
  <c r="D70" i="35"/>
  <c r="F20" i="35" s="1"/>
  <c r="AA20" i="35" s="1"/>
  <c r="D66" i="35"/>
  <c r="F16" i="35" s="1"/>
  <c r="S16" i="35" s="1"/>
  <c r="D64" i="35"/>
  <c r="E64" i="35" s="1"/>
  <c r="F64" i="35" s="1"/>
  <c r="G6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Q30" i="35"/>
  <c r="Z30" i="35" s="1"/>
  <c r="Q29" i="35"/>
  <c r="Z29" i="35" s="1"/>
  <c r="Q28" i="35"/>
  <c r="Z28" i="35" s="1"/>
  <c r="J28" i="35"/>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D124" i="34"/>
  <c r="E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J36" i="34" s="1"/>
  <c r="W36"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W28" i="34" s="1"/>
  <c r="B89" i="34"/>
  <c r="D88" i="34"/>
  <c r="E88" i="34" s="1"/>
  <c r="F88" i="34" s="1"/>
  <c r="G88" i="34" s="1"/>
  <c r="H88" i="34" s="1"/>
  <c r="I88" i="34" s="1"/>
  <c r="J88" i="34" s="1"/>
  <c r="K88" i="34" s="1"/>
  <c r="L88" i="34" s="1"/>
  <c r="M88" i="34" s="1"/>
  <c r="D86" i="34"/>
  <c r="D82" i="34"/>
  <c r="D80" i="34"/>
  <c r="D78" i="34"/>
  <c r="E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H26" i="33" s="1"/>
  <c r="U26" i="33" s="1"/>
  <c r="C23" i="33"/>
  <c r="C19" i="33"/>
  <c r="C17" i="33"/>
  <c r="C15" i="33"/>
  <c r="C15" i="21"/>
  <c r="D125" i="33"/>
  <c r="J43" i="33" s="1"/>
  <c r="AC43"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B92" i="33"/>
  <c r="J28" i="33" s="1"/>
  <c r="W28" i="33" s="1"/>
  <c r="B90" i="33"/>
  <c r="D87" i="33"/>
  <c r="E87" i="33" s="1"/>
  <c r="F87" i="33" s="1"/>
  <c r="G87" i="33" s="1"/>
  <c r="H87" i="33" s="1"/>
  <c r="I87" i="33" s="1"/>
  <c r="J87" i="33" s="1"/>
  <c r="K87" i="33" s="1"/>
  <c r="L87" i="33" s="1"/>
  <c r="M87" i="33" s="1"/>
  <c r="D85" i="33"/>
  <c r="E85" i="33" s="1"/>
  <c r="D81" i="33"/>
  <c r="E81" i="33" s="1"/>
  <c r="D79" i="33"/>
  <c r="E79" i="33" s="1"/>
  <c r="D77" i="33"/>
  <c r="F15" i="33" s="1"/>
  <c r="AA15"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9" i="33" s="1"/>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Q39" i="33"/>
  <c r="Z39" i="33" s="1"/>
  <c r="J39" i="33"/>
  <c r="Q38" i="33"/>
  <c r="Z38" i="33" s="1"/>
  <c r="J38" i="33"/>
  <c r="AC38" i="33" s="1"/>
  <c r="H38" i="33"/>
  <c r="AB38" i="33" s="1"/>
  <c r="F38" i="33"/>
  <c r="Q37" i="33"/>
  <c r="Z37" i="33" s="1"/>
  <c r="Q36" i="33"/>
  <c r="Z36" i="33" s="1"/>
  <c r="Q35" i="33"/>
  <c r="Z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77" s="1"/>
  <c r="G19" i="20"/>
  <c r="B85" i="77" s="1"/>
  <c r="G16" i="20"/>
  <c r="B82" i="77" s="1"/>
  <c r="G15" i="20"/>
  <c r="B81" i="77" s="1"/>
  <c r="C24" i="20"/>
  <c r="B73" i="43" s="1"/>
  <c r="C21" i="20"/>
  <c r="B74" i="43" s="1"/>
  <c r="C20" i="20"/>
  <c r="C18" i="20"/>
  <c r="C17" i="20"/>
  <c r="B59" i="77" s="1"/>
  <c r="C16" i="20"/>
  <c r="C17" i="39" s="1"/>
  <c r="C15" i="20"/>
  <c r="B70" i="77"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J46" i="21" s="1"/>
  <c r="W46" i="21" s="1"/>
  <c r="B128" i="21"/>
  <c r="J45" i="21" s="1"/>
  <c r="W45" i="21" s="1"/>
  <c r="B126" i="21"/>
  <c r="B98" i="21"/>
  <c r="B96" i="21"/>
  <c r="F30" i="21" s="1"/>
  <c r="S30" i="21" s="1"/>
  <c r="B94" i="21"/>
  <c r="B92" i="21"/>
  <c r="B90" i="21"/>
  <c r="B74" i="21"/>
  <c r="F14" i="21" s="1"/>
  <c r="S14" i="21" s="1"/>
  <c r="B72" i="21"/>
  <c r="H13" i="21" s="1"/>
  <c r="B70" i="2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G7" i="12"/>
  <c r="K5" i="3"/>
  <c r="G24" i="6" s="1"/>
  <c r="D39" i="43" s="1"/>
  <c r="H39" i="43" s="1"/>
  <c r="J5" i="3"/>
  <c r="BE10" i="3"/>
  <c r="BB585" i="3"/>
  <c r="BC585" i="3"/>
  <c r="BD585" i="3"/>
  <c r="BE585" i="3"/>
  <c r="BF585" i="3"/>
  <c r="BG585" i="3"/>
  <c r="BG5" i="3" s="1"/>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I4" i="6" s="1"/>
  <c r="N5" i="3"/>
  <c r="O5" i="3"/>
  <c r="G25" i="6" s="1"/>
  <c r="D37" i="43" s="1"/>
  <c r="H37" i="43" s="1"/>
  <c r="P5" i="3"/>
  <c r="Q5" i="3"/>
  <c r="R5" i="3"/>
  <c r="S5" i="3"/>
  <c r="T5" i="3"/>
  <c r="U5" i="3"/>
  <c r="V5" i="3"/>
  <c r="W5" i="3"/>
  <c r="X5" i="3"/>
  <c r="Y5" i="3"/>
  <c r="Z5" i="3"/>
  <c r="AA5" i="3"/>
  <c r="AB5" i="3"/>
  <c r="H585" i="3"/>
  <c r="H586" i="3"/>
  <c r="H587" i="3"/>
  <c r="F5" i="3"/>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F39" i="37"/>
  <c r="F29" i="36"/>
  <c r="AA29" i="36" s="1"/>
  <c r="F16" i="36"/>
  <c r="AA16" i="36" s="1"/>
  <c r="S30" i="36"/>
  <c r="H22" i="35"/>
  <c r="AB22" i="35" s="1"/>
  <c r="J35" i="34"/>
  <c r="AC35" i="34" s="1"/>
  <c r="H39" i="33"/>
  <c r="AB39" i="33" s="1"/>
  <c r="H39" i="37"/>
  <c r="AB39" i="37" s="1"/>
  <c r="F11" i="40"/>
  <c r="AA11" i="40" s="1"/>
  <c r="H11" i="40"/>
  <c r="AB11" i="40" s="1"/>
  <c r="AA9" i="40"/>
  <c r="F42" i="39"/>
  <c r="AA42" i="39" s="1"/>
  <c r="F41" i="39"/>
  <c r="S41" i="39" s="1"/>
  <c r="H40" i="39"/>
  <c r="H39" i="39"/>
  <c r="U39" i="39" s="1"/>
  <c r="H34" i="39"/>
  <c r="U34" i="39" s="1"/>
  <c r="H19" i="39"/>
  <c r="AB19" i="39" s="1"/>
  <c r="F19" i="39"/>
  <c r="AA19" i="39" s="1"/>
  <c r="H17" i="39"/>
  <c r="AB17" i="39" s="1"/>
  <c r="F17" i="39"/>
  <c r="AA17" i="39" s="1"/>
  <c r="J23" i="40"/>
  <c r="AC23" i="40" s="1"/>
  <c r="F21" i="40"/>
  <c r="AA21" i="40" s="1"/>
  <c r="J21" i="40"/>
  <c r="W21" i="40" s="1"/>
  <c r="H42" i="39"/>
  <c r="AB42" i="39" s="1"/>
  <c r="J34" i="39"/>
  <c r="AC34" i="39" s="1"/>
  <c r="H27" i="39"/>
  <c r="U27" i="39" s="1"/>
  <c r="J19" i="39"/>
  <c r="AC19" i="39" s="1"/>
  <c r="J17" i="39"/>
  <c r="AC17" i="39" s="1"/>
  <c r="J27" i="39"/>
  <c r="AC27" i="39" s="1"/>
  <c r="F27" i="39"/>
  <c r="S27" i="39" s="1"/>
  <c r="F11" i="21"/>
  <c r="S11" i="21" s="1"/>
  <c r="S34" i="21"/>
  <c r="H11" i="39"/>
  <c r="H11" i="21"/>
  <c r="U11" i="21" s="1"/>
  <c r="J11" i="21"/>
  <c r="W11" i="21" s="1"/>
  <c r="H37" i="40"/>
  <c r="U37" i="40" s="1"/>
  <c r="H36" i="40"/>
  <c r="AB36" i="40" s="1"/>
  <c r="F35" i="40"/>
  <c r="AA35" i="40" s="1"/>
  <c r="H23" i="40"/>
  <c r="H17" i="40"/>
  <c r="U17" i="40" s="1"/>
  <c r="J15" i="40"/>
  <c r="W15" i="40" s="1"/>
  <c r="J11" i="40"/>
  <c r="W11" i="40" s="1"/>
  <c r="J30" i="35"/>
  <c r="W30" i="35" s="1"/>
  <c r="H30" i="35"/>
  <c r="F22" i="35"/>
  <c r="AA22" i="35" s="1"/>
  <c r="H10" i="35"/>
  <c r="U10" i="35" s="1"/>
  <c r="H16" i="36"/>
  <c r="AB16" i="36" s="1"/>
  <c r="J29" i="36"/>
  <c r="AC29" i="36" s="1"/>
  <c r="F14" i="35"/>
  <c r="AA14" i="35" s="1"/>
  <c r="J32" i="35"/>
  <c r="AC32" i="35" s="1"/>
  <c r="J16" i="35"/>
  <c r="AC16" i="35" s="1"/>
  <c r="H33" i="35"/>
  <c r="AB33" i="35" s="1"/>
  <c r="F35" i="37"/>
  <c r="S35" i="37" s="1"/>
  <c r="J34" i="37"/>
  <c r="W34" i="37" s="1"/>
  <c r="AB34" i="37"/>
  <c r="J33" i="37"/>
  <c r="H40" i="34"/>
  <c r="U40" i="34" s="1"/>
  <c r="E114" i="34"/>
  <c r="F114" i="34" s="1"/>
  <c r="G114" i="34" s="1"/>
  <c r="H114" i="34" s="1"/>
  <c r="I114" i="34" s="1"/>
  <c r="J114" i="34" s="1"/>
  <c r="K114" i="34" s="1"/>
  <c r="L114" i="34" s="1"/>
  <c r="M114" i="34" s="1"/>
  <c r="F19" i="34"/>
  <c r="AA19" i="34" s="1"/>
  <c r="F41" i="33"/>
  <c r="S41" i="33" s="1"/>
  <c r="F11" i="33"/>
  <c r="AA11" i="33" s="1"/>
  <c r="F37" i="40"/>
  <c r="AA37" i="40" s="1"/>
  <c r="F36" i="40"/>
  <c r="AA36" i="40" s="1"/>
  <c r="H28" i="40"/>
  <c r="U28" i="40" s="1"/>
  <c r="F23" i="40"/>
  <c r="AA23" i="40" s="1"/>
  <c r="F17" i="40"/>
  <c r="AA17" i="40" s="1"/>
  <c r="J17" i="40"/>
  <c r="W17" i="40" s="1"/>
  <c r="F15" i="40"/>
  <c r="S15" i="40" s="1"/>
  <c r="H15" i="40"/>
  <c r="AB15" i="40" s="1"/>
  <c r="H33" i="37"/>
  <c r="AB33" i="37" s="1"/>
  <c r="F33" i="37"/>
  <c r="AA33" i="37" s="1"/>
  <c r="U34" i="37"/>
  <c r="J40" i="34"/>
  <c r="W40" i="34" s="1"/>
  <c r="H38" i="34"/>
  <c r="AB38" i="34" s="1"/>
  <c r="H25" i="34"/>
  <c r="AB25" i="34" s="1"/>
  <c r="H37" i="33"/>
  <c r="U37" i="33" s="1"/>
  <c r="H11" i="33"/>
  <c r="AB11" i="33" s="1"/>
  <c r="F28" i="40"/>
  <c r="AA28" i="40" s="1"/>
  <c r="J37" i="34"/>
  <c r="AC37" i="34" s="1"/>
  <c r="J11" i="33"/>
  <c r="W11" i="33" s="1"/>
  <c r="J42" i="21"/>
  <c r="AC42" i="21" s="1"/>
  <c r="H42" i="21"/>
  <c r="U42" i="21" s="1"/>
  <c r="J44" i="34"/>
  <c r="W44" i="34" s="1"/>
  <c r="J10" i="35"/>
  <c r="W10" i="35" s="1"/>
  <c r="H44" i="21"/>
  <c r="U44" i="21" s="1"/>
  <c r="F33" i="35"/>
  <c r="J33" i="35"/>
  <c r="AC33" i="35" s="1"/>
  <c r="F30" i="35"/>
  <c r="S30" i="35" s="1"/>
  <c r="H10" i="36"/>
  <c r="AB10" i="36" s="1"/>
  <c r="J14" i="36"/>
  <c r="AC14" i="36" s="1"/>
  <c r="H14" i="36"/>
  <c r="U14" i="36" s="1"/>
  <c r="F28" i="36"/>
  <c r="AA28" i="36" s="1"/>
  <c r="F27" i="21"/>
  <c r="AA27" i="21" s="1"/>
  <c r="F27" i="33"/>
  <c r="S27" i="33" s="1"/>
  <c r="J13" i="33"/>
  <c r="W13" i="33" s="1"/>
  <c r="J14" i="34"/>
  <c r="W14" i="34" s="1"/>
  <c r="J32" i="34"/>
  <c r="W32" i="34" s="1"/>
  <c r="J26" i="36"/>
  <c r="W26" i="36" s="1"/>
  <c r="H28" i="36"/>
  <c r="U28" i="36" s="1"/>
  <c r="J11" i="36"/>
  <c r="F11" i="36"/>
  <c r="AA11" i="36" s="1"/>
  <c r="J13" i="36"/>
  <c r="W13" i="36" s="1"/>
  <c r="E89" i="37"/>
  <c r="F89" i="37" s="1"/>
  <c r="G89" i="37" s="1"/>
  <c r="H89" i="37" s="1"/>
  <c r="I89" i="37" s="1"/>
  <c r="J89" i="37" s="1"/>
  <c r="K89" i="37" s="1"/>
  <c r="L89" i="37" s="1"/>
  <c r="M89" i="37" s="1"/>
  <c r="J29" i="37"/>
  <c r="W29" i="37" s="1"/>
  <c r="F29" i="37"/>
  <c r="S29" i="37" s="1"/>
  <c r="H36" i="37"/>
  <c r="AB36" i="37" s="1"/>
  <c r="J37" i="37"/>
  <c r="H37" i="37"/>
  <c r="U37" i="37" s="1"/>
  <c r="H40" i="37"/>
  <c r="U40" i="37" s="1"/>
  <c r="J40" i="37"/>
  <c r="AC40" i="37" s="1"/>
  <c r="F40" i="37"/>
  <c r="AA40" i="37" s="1"/>
  <c r="AC12" i="40"/>
  <c r="J46" i="33"/>
  <c r="AC46" i="33" s="1"/>
  <c r="F13" i="34"/>
  <c r="AA13" i="34" s="1"/>
  <c r="J31" i="34"/>
  <c r="F45" i="34"/>
  <c r="J25" i="35"/>
  <c r="W25" i="35" s="1"/>
  <c r="F35" i="35"/>
  <c r="AA35" i="35" s="1"/>
  <c r="J38" i="37"/>
  <c r="F43" i="39"/>
  <c r="AA43" i="39" s="1"/>
  <c r="J14" i="39"/>
  <c r="AC14" i="39" s="1"/>
  <c r="F12" i="40"/>
  <c r="H12" i="40"/>
  <c r="AB12" i="40" s="1"/>
  <c r="H30" i="40"/>
  <c r="AB30" i="40" s="1"/>
  <c r="F33" i="40"/>
  <c r="AA33" i="40" s="1"/>
  <c r="J35" i="40"/>
  <c r="J37" i="40"/>
  <c r="AC37" i="40" s="1"/>
  <c r="F27" i="37"/>
  <c r="AA27" i="37" s="1"/>
  <c r="H14" i="40"/>
  <c r="AB14" i="40" s="1"/>
  <c r="J27" i="37"/>
  <c r="AC27" i="37" s="1"/>
  <c r="J36" i="37"/>
  <c r="AC36" i="37" s="1"/>
  <c r="J10" i="36"/>
  <c r="AC13" i="36"/>
  <c r="F17" i="21"/>
  <c r="AA17" i="21" s="1"/>
  <c r="H17" i="21"/>
  <c r="AB17" i="21" s="1"/>
  <c r="F15" i="21"/>
  <c r="S15" i="21" s="1"/>
  <c r="J41" i="39"/>
  <c r="W41" i="39" s="1"/>
  <c r="G527" i="3"/>
  <c r="G572" i="3"/>
  <c r="BL530" i="3"/>
  <c r="G529" i="3"/>
  <c r="BL500" i="3"/>
  <c r="BA548" i="3"/>
  <c r="BA530" i="3"/>
  <c r="BA518" i="3"/>
  <c r="BA498" i="3"/>
  <c r="BA555" i="3"/>
  <c r="BA537" i="3"/>
  <c r="BA519" i="3"/>
  <c r="BA501" i="3"/>
  <c r="BA497" i="3"/>
  <c r="G577" i="3"/>
  <c r="BA557" i="3"/>
  <c r="AC557" i="3"/>
  <c r="BQ557" i="3"/>
  <c r="BQ583" i="3"/>
  <c r="BQ581" i="3"/>
  <c r="BQ579" i="3"/>
  <c r="BQ577" i="3"/>
  <c r="BQ575" i="3"/>
  <c r="BQ573" i="3"/>
  <c r="BQ571" i="3"/>
  <c r="BQ569" i="3"/>
  <c r="BL569" i="3" s="1"/>
  <c r="BQ567" i="3"/>
  <c r="BQ565" i="3"/>
  <c r="BL565" i="3" s="1"/>
  <c r="BQ563" i="3"/>
  <c r="BL563" i="3"/>
  <c r="BQ561" i="3"/>
  <c r="BQ559" i="3"/>
  <c r="BL559" i="3" s="1"/>
  <c r="G545" i="3"/>
  <c r="G537" i="3"/>
  <c r="BQ555" i="3"/>
  <c r="BQ553" i="3"/>
  <c r="BQ551" i="3"/>
  <c r="BQ549" i="3"/>
  <c r="BQ547" i="3"/>
  <c r="BQ545" i="3"/>
  <c r="BQ543" i="3"/>
  <c r="BQ541" i="3"/>
  <c r="BL541" i="3" s="1"/>
  <c r="BQ539" i="3"/>
  <c r="BQ537" i="3"/>
  <c r="BL537" i="3" s="1"/>
  <c r="BQ535" i="3"/>
  <c r="BQ533" i="3"/>
  <c r="BL533" i="3" s="1"/>
  <c r="BQ531" i="3"/>
  <c r="BQ529" i="3"/>
  <c r="BL529" i="3" s="1"/>
  <c r="BQ527" i="3"/>
  <c r="BQ525" i="3"/>
  <c r="BQ523" i="3"/>
  <c r="BA521" i="3"/>
  <c r="AC521" i="3"/>
  <c r="BQ521" i="3"/>
  <c r="BL521" i="3" s="1"/>
  <c r="AZ521" i="3" s="1"/>
  <c r="G513" i="3"/>
  <c r="BQ519" i="3"/>
  <c r="BQ517" i="3"/>
  <c r="BQ515" i="3"/>
  <c r="BQ513" i="3"/>
  <c r="BQ511" i="3"/>
  <c r="AC509" i="3"/>
  <c r="BQ509" i="3"/>
  <c r="G507" i="3"/>
  <c r="G497" i="3"/>
  <c r="BQ507" i="3"/>
  <c r="BQ505" i="3"/>
  <c r="BQ503" i="3"/>
  <c r="BQ501" i="3"/>
  <c r="BQ499" i="3"/>
  <c r="BQ497" i="3"/>
  <c r="BQ495" i="3"/>
  <c r="BL495" i="3" s="1"/>
  <c r="BQ493" i="3"/>
  <c r="BL493" i="3" s="1"/>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H17" i="37"/>
  <c r="U17" i="37" s="1"/>
  <c r="F39" i="33"/>
  <c r="AA39" i="33" s="1"/>
  <c r="E123" i="33"/>
  <c r="F123" i="33" s="1"/>
  <c r="G123" i="33" s="1"/>
  <c r="H123" i="33" s="1"/>
  <c r="I123" i="33" s="1"/>
  <c r="J123" i="33" s="1"/>
  <c r="K123" i="33" s="1"/>
  <c r="L123" i="33" s="1"/>
  <c r="M123" i="33" s="1"/>
  <c r="H28" i="34"/>
  <c r="AB28" i="34" s="1"/>
  <c r="F14" i="36"/>
  <c r="F22" i="36"/>
  <c r="S22" i="36" s="1"/>
  <c r="F26" i="36"/>
  <c r="S26" i="36" s="1"/>
  <c r="H27" i="34"/>
  <c r="H35" i="34"/>
  <c r="F41" i="34"/>
  <c r="S41" i="34" s="1"/>
  <c r="H41" i="34"/>
  <c r="U41" i="34" s="1"/>
  <c r="J41" i="34"/>
  <c r="F10" i="35"/>
  <c r="S10" i="35" s="1"/>
  <c r="H24" i="35"/>
  <c r="AB24" i="35" s="1"/>
  <c r="H23" i="37"/>
  <c r="AB23" i="37" s="1"/>
  <c r="J32" i="37"/>
  <c r="AC32" i="37" s="1"/>
  <c r="F36" i="37"/>
  <c r="F37" i="37"/>
  <c r="H32" i="40"/>
  <c r="AB32" i="40" s="1"/>
  <c r="J36" i="40"/>
  <c r="H19" i="37"/>
  <c r="AB19" i="37" s="1"/>
  <c r="S28" i="31"/>
  <c r="S27" i="31"/>
  <c r="S26" i="31"/>
  <c r="U14" i="40"/>
  <c r="U39" i="37"/>
  <c r="AC8" i="37"/>
  <c r="U19" i="21"/>
  <c r="W40" i="37"/>
  <c r="H37" i="21"/>
  <c r="U37" i="21" s="1"/>
  <c r="H19" i="34"/>
  <c r="AB19" i="34" s="1"/>
  <c r="H9" i="37"/>
  <c r="AB9" i="37" s="1"/>
  <c r="J12" i="37"/>
  <c r="W12" i="37" s="1"/>
  <c r="F12" i="37"/>
  <c r="F15" i="37"/>
  <c r="E94" i="37"/>
  <c r="F94" i="37" s="1"/>
  <c r="G94" i="37" s="1"/>
  <c r="H94" i="37" s="1"/>
  <c r="I94" i="37" s="1"/>
  <c r="J94" i="37" s="1"/>
  <c r="K94" i="37" s="1"/>
  <c r="L94" i="37" s="1"/>
  <c r="M94" i="37" s="1"/>
  <c r="F31" i="37"/>
  <c r="S31" i="37" s="1"/>
  <c r="J42" i="39"/>
  <c r="AC42" i="39" s="1"/>
  <c r="H21" i="40"/>
  <c r="AB21" i="40" s="1"/>
  <c r="H31" i="37"/>
  <c r="U31" i="37" s="1"/>
  <c r="J15" i="37"/>
  <c r="W15" i="37" s="1"/>
  <c r="AT6" i="3"/>
  <c r="C12" i="43"/>
  <c r="H19" i="40"/>
  <c r="U19" i="40" s="1"/>
  <c r="F19" i="40"/>
  <c r="S19" i="40" s="1"/>
  <c r="U45" i="39"/>
  <c r="AB45" i="39"/>
  <c r="U44" i="39"/>
  <c r="G101" i="39"/>
  <c r="H25" i="39"/>
  <c r="AB25" i="39" s="1"/>
  <c r="J25" i="39"/>
  <c r="AC25" i="39" s="1"/>
  <c r="F25" i="39"/>
  <c r="AA25" i="39" s="1"/>
  <c r="F15" i="39"/>
  <c r="AA15" i="39" s="1"/>
  <c r="H15" i="39"/>
  <c r="U15" i="39" s="1"/>
  <c r="J15" i="39"/>
  <c r="W15" i="39" s="1"/>
  <c r="H41" i="39"/>
  <c r="AB41" i="39" s="1"/>
  <c r="W27" i="39"/>
  <c r="S42" i="39"/>
  <c r="W8" i="39"/>
  <c r="J19" i="40"/>
  <c r="AC19" i="40" s="1"/>
  <c r="J50" i="40"/>
  <c r="B54" i="72"/>
  <c r="H103" i="9"/>
  <c r="D8" i="53" s="1"/>
  <c r="B16" i="53"/>
  <c r="B33" i="72" s="1"/>
  <c r="C7" i="37"/>
  <c r="C52" i="37" s="1"/>
  <c r="D52" i="37" s="1"/>
  <c r="C7" i="34"/>
  <c r="C59" i="34" s="1"/>
  <c r="D59" i="34" s="1"/>
  <c r="E59" i="34" s="1"/>
  <c r="F59" i="34" s="1"/>
  <c r="G59" i="34" s="1"/>
  <c r="H59" i="34" s="1"/>
  <c r="I59" i="34" s="1"/>
  <c r="J59" i="34" s="1"/>
  <c r="C7" i="36"/>
  <c r="C46" i="36" s="1"/>
  <c r="D46" i="36" s="1"/>
  <c r="E46" i="36" s="1"/>
  <c r="F46" i="36" s="1"/>
  <c r="G46" i="36" s="1"/>
  <c r="H46" i="36" s="1"/>
  <c r="I46" i="36" s="1"/>
  <c r="A118" i="9"/>
  <c r="A4" i="52"/>
  <c r="B41" i="72" s="1"/>
  <c r="J11" i="39"/>
  <c r="W11" i="39" s="1"/>
  <c r="F11" i="39"/>
  <c r="AA11" i="39" s="1"/>
  <c r="A12" i="52"/>
  <c r="B56" i="72" s="1"/>
  <c r="S11" i="39"/>
  <c r="G4" i="4"/>
  <c r="I4" i="4"/>
  <c r="A2" i="9"/>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12" i="3"/>
  <c r="G506" i="3"/>
  <c r="G498" i="3"/>
  <c r="G494"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AZ371" i="3" s="1"/>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BL319" i="3"/>
  <c r="G320" i="3"/>
  <c r="BA322" i="3"/>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AZ361" i="3" s="1"/>
  <c r="BL362" i="3"/>
  <c r="G363" i="3"/>
  <c r="BA365" i="3"/>
  <c r="BL366" i="3"/>
  <c r="G367" i="3"/>
  <c r="BA369" i="3"/>
  <c r="BL370" i="3"/>
  <c r="G371" i="3"/>
  <c r="BA373" i="3"/>
  <c r="BL374" i="3"/>
  <c r="G375" i="3"/>
  <c r="BA377" i="3"/>
  <c r="BA379" i="3"/>
  <c r="BL380" i="3"/>
  <c r="G381" i="3"/>
  <c r="BA383" i="3"/>
  <c r="BL384" i="3"/>
  <c r="G385" i="3"/>
  <c r="BA387" i="3"/>
  <c r="BL388" i="3"/>
  <c r="G389" i="3"/>
  <c r="BA391" i="3"/>
  <c r="BL392" i="3"/>
  <c r="G393" i="3"/>
  <c r="BJ5" i="3"/>
  <c r="G548" i="3"/>
  <c r="G538" i="3"/>
  <c r="G520" i="3"/>
  <c r="G502" i="3"/>
  <c r="G17" i="3"/>
  <c r="BA17" i="3"/>
  <c r="BA15" i="3"/>
  <c r="U36" i="40"/>
  <c r="F36" i="43"/>
  <c r="F81" i="43"/>
  <c r="H87" i="43" s="1"/>
  <c r="H113" i="43"/>
  <c r="F48" i="43"/>
  <c r="H52" i="43" s="1"/>
  <c r="F70" i="43"/>
  <c r="H71" i="43" s="1"/>
  <c r="M11" i="43"/>
  <c r="D17" i="43"/>
  <c r="F39" i="43"/>
  <c r="I17" i="43"/>
  <c r="F35" i="43"/>
  <c r="J17" i="43"/>
  <c r="F6" i="1"/>
  <c r="U35" i="21"/>
  <c r="AC35" i="21"/>
  <c r="G9" i="1"/>
  <c r="G10" i="1"/>
  <c r="U12" i="40"/>
  <c r="J37" i="33"/>
  <c r="W37" i="33" s="1"/>
  <c r="F106" i="33"/>
  <c r="G106" i="33" s="1"/>
  <c r="H106" i="33" s="1"/>
  <c r="I106" i="33" s="1"/>
  <c r="J106" i="33" s="1"/>
  <c r="K106" i="33" s="1"/>
  <c r="L106" i="33" s="1"/>
  <c r="M106" i="33" s="1"/>
  <c r="J34" i="33"/>
  <c r="AC34" i="33" s="1"/>
  <c r="F33" i="34"/>
  <c r="AA33" i="34" s="1"/>
  <c r="H20" i="36"/>
  <c r="U20" i="36" s="1"/>
  <c r="J20" i="36"/>
  <c r="W20" i="36" s="1"/>
  <c r="J27" i="36"/>
  <c r="AB25" i="37"/>
  <c r="H35" i="40"/>
  <c r="AB35" i="40" s="1"/>
  <c r="H35" i="37"/>
  <c r="U35" i="37" s="1"/>
  <c r="H20" i="35"/>
  <c r="U20" i="35" s="1"/>
  <c r="AB29" i="36"/>
  <c r="U29" i="36"/>
  <c r="H32" i="37"/>
  <c r="AB32" i="37" s="1"/>
  <c r="F96" i="37"/>
  <c r="G96" i="37" s="1"/>
  <c r="H96" i="37" s="1"/>
  <c r="I96" i="37" s="1"/>
  <c r="J96" i="37" s="1"/>
  <c r="K96" i="37" s="1"/>
  <c r="L96" i="37" s="1"/>
  <c r="M96" i="37" s="1"/>
  <c r="H27" i="40"/>
  <c r="U27" i="40" s="1"/>
  <c r="J27" i="40"/>
  <c r="AC27" i="40" s="1"/>
  <c r="F27" i="40"/>
  <c r="J30" i="40"/>
  <c r="AC30" i="40" s="1"/>
  <c r="F30" i="40"/>
  <c r="S30" i="40" s="1"/>
  <c r="AC21" i="40"/>
  <c r="S31" i="39"/>
  <c r="S11" i="40"/>
  <c r="E98" i="40"/>
  <c r="F98" i="40" s="1"/>
  <c r="G98" i="40" s="1"/>
  <c r="H98" i="40" s="1"/>
  <c r="I98" i="40" s="1"/>
  <c r="J98" i="40" s="1"/>
  <c r="K98" i="40" s="1"/>
  <c r="L98" i="40" s="1"/>
  <c r="M98" i="40" s="1"/>
  <c r="F10" i="33"/>
  <c r="AA10" i="33" s="1"/>
  <c r="F34" i="33"/>
  <c r="S34" i="33" s="1"/>
  <c r="H34" i="33"/>
  <c r="U34" i="33" s="1"/>
  <c r="F40" i="34"/>
  <c r="S40" i="34" s="1"/>
  <c r="H44" i="34"/>
  <c r="AB44" i="34" s="1"/>
  <c r="AC38" i="39"/>
  <c r="F39" i="39"/>
  <c r="S39" i="39" s="1"/>
  <c r="J39" i="39"/>
  <c r="E97" i="39"/>
  <c r="F97" i="39" s="1"/>
  <c r="G97" i="39" s="1"/>
  <c r="C40" i="11"/>
  <c r="I20" i="43"/>
  <c r="F23" i="39"/>
  <c r="AA23" i="39" s="1"/>
  <c r="H27" i="36"/>
  <c r="U27" i="36" s="1"/>
  <c r="F27" i="36"/>
  <c r="H33" i="34"/>
  <c r="U33" i="34" s="1"/>
  <c r="F32" i="37"/>
  <c r="F20" i="36"/>
  <c r="AA20" i="36" s="1"/>
  <c r="J33" i="34"/>
  <c r="AC33" i="34" s="1"/>
  <c r="H23" i="39"/>
  <c r="U23" i="39" s="1"/>
  <c r="D48" i="9"/>
  <c r="M52" i="9" s="1"/>
  <c r="K9" i="1"/>
  <c r="M9" i="1" s="1"/>
  <c r="AE9" i="1"/>
  <c r="D93" i="9"/>
  <c r="W12" i="39"/>
  <c r="BL14" i="3"/>
  <c r="S19" i="39"/>
  <c r="F12" i="33"/>
  <c r="S12" i="33" s="1"/>
  <c r="H12" i="39"/>
  <c r="AB12" i="39" s="1"/>
  <c r="F39" i="40"/>
  <c r="S39" i="40" s="1"/>
  <c r="BA14" i="3"/>
  <c r="B12" i="1"/>
  <c r="E12" i="1" s="1"/>
  <c r="B10" i="1"/>
  <c r="E10" i="1" s="1"/>
  <c r="S13" i="1"/>
  <c r="AR13" i="1" s="1"/>
  <c r="R13" i="1"/>
  <c r="J51" i="67"/>
  <c r="C42" i="1"/>
  <c r="C13" i="12" s="1"/>
  <c r="H100" i="43"/>
  <c r="C30" i="66"/>
  <c r="B41" i="1"/>
  <c r="F48" i="9" s="1"/>
  <c r="O52" i="9" s="1"/>
  <c r="J100" i="43"/>
  <c r="S35" i="40"/>
  <c r="W38" i="40"/>
  <c r="S23" i="40"/>
  <c r="AC15" i="40"/>
  <c r="S28" i="40"/>
  <c r="U21" i="40"/>
  <c r="W42" i="39"/>
  <c r="F32" i="39"/>
  <c r="AA32" i="39" s="1"/>
  <c r="F107" i="39"/>
  <c r="G107" i="39" s="1"/>
  <c r="H107" i="39" s="1"/>
  <c r="I107" i="39" s="1"/>
  <c r="J107" i="39" s="1"/>
  <c r="K107" i="39" s="1"/>
  <c r="L107" i="39" s="1"/>
  <c r="M107" i="39" s="1"/>
  <c r="AB27" i="39"/>
  <c r="J21" i="39"/>
  <c r="W21" i="39" s="1"/>
  <c r="F21" i="39"/>
  <c r="AA21" i="39" s="1"/>
  <c r="H21" i="39"/>
  <c r="AB21" i="39" s="1"/>
  <c r="W19" i="39"/>
  <c r="U19" i="39"/>
  <c r="S17" i="39"/>
  <c r="AB15" i="39"/>
  <c r="S9" i="39"/>
  <c r="U26" i="36"/>
  <c r="AC26" i="36"/>
  <c r="AA22" i="36"/>
  <c r="W14" i="36"/>
  <c r="U22" i="36"/>
  <c r="S16" i="36"/>
  <c r="S24" i="36"/>
  <c r="U23" i="36"/>
  <c r="W24" i="35"/>
  <c r="U36" i="35"/>
  <c r="S22" i="35"/>
  <c r="AC10" i="35"/>
  <c r="AB10" i="35"/>
  <c r="S8" i="35"/>
  <c r="AC9" i="35"/>
  <c r="W9" i="35"/>
  <c r="F9" i="35"/>
  <c r="S9" i="35" s="1"/>
  <c r="H9" i="35"/>
  <c r="U9" i="35" s="1"/>
  <c r="F26" i="35"/>
  <c r="AA26" i="35" s="1"/>
  <c r="W27" i="37"/>
  <c r="AC29" i="37"/>
  <c r="U29" i="37"/>
  <c r="AB31" i="37"/>
  <c r="W30" i="37"/>
  <c r="AC35" i="37"/>
  <c r="W39" i="37"/>
  <c r="S30" i="37"/>
  <c r="J17" i="37"/>
  <c r="W17" i="37" s="1"/>
  <c r="F17" i="37"/>
  <c r="AA17" i="37" s="1"/>
  <c r="F75" i="37"/>
  <c r="F19" i="37"/>
  <c r="S19" i="37" s="1"/>
  <c r="F79" i="37"/>
  <c r="G79" i="37" s="1"/>
  <c r="F23" i="37"/>
  <c r="S23" i="37" s="1"/>
  <c r="U15" i="37"/>
  <c r="U9" i="37"/>
  <c r="H10" i="37"/>
  <c r="AB10" i="37" s="1"/>
  <c r="H60" i="37"/>
  <c r="I60" i="37" s="1"/>
  <c r="F11" i="37"/>
  <c r="S11" i="37" s="1"/>
  <c r="H67" i="34"/>
  <c r="H10" i="34"/>
  <c r="AB10" i="34" s="1"/>
  <c r="F11" i="34"/>
  <c r="S11" i="34" s="1"/>
  <c r="F70" i="34"/>
  <c r="G70" i="34" s="1"/>
  <c r="H70" i="34" s="1"/>
  <c r="I70" i="34" s="1"/>
  <c r="J70" i="34" s="1"/>
  <c r="K70" i="34" s="1"/>
  <c r="L70" i="34" s="1"/>
  <c r="M70" i="34" s="1"/>
  <c r="W38" i="33"/>
  <c r="H41" i="33"/>
  <c r="AB41" i="33" s="1"/>
  <c r="H27" i="33"/>
  <c r="U27" i="33" s="1"/>
  <c r="H25" i="33"/>
  <c r="AB25" i="33" s="1"/>
  <c r="J23" i="33"/>
  <c r="AC23" i="33" s="1"/>
  <c r="F85" i="33"/>
  <c r="G85" i="33" s="1"/>
  <c r="H23" i="33"/>
  <c r="AB23" i="33" s="1"/>
  <c r="F81" i="33"/>
  <c r="G81" i="33" s="1"/>
  <c r="F19" i="33"/>
  <c r="S19" i="33" s="1"/>
  <c r="J17" i="33"/>
  <c r="W17" i="33" s="1"/>
  <c r="F79" i="33"/>
  <c r="G79" i="33" s="1"/>
  <c r="I66" i="33"/>
  <c r="J10" i="33"/>
  <c r="W10" i="33" s="1"/>
  <c r="H10" i="33"/>
  <c r="AB10" i="33" s="1"/>
  <c r="W43" i="21"/>
  <c r="W36" i="21"/>
  <c r="S39" i="21"/>
  <c r="AA36" i="21"/>
  <c r="AC40" i="21"/>
  <c r="J15" i="21"/>
  <c r="W15" i="21" s="1"/>
  <c r="F77" i="21"/>
  <c r="G77" i="21" s="1"/>
  <c r="F23" i="21"/>
  <c r="S23" i="21" s="1"/>
  <c r="E85" i="21"/>
  <c r="AA14" i="21"/>
  <c r="S8" i="21"/>
  <c r="M3" i="43"/>
  <c r="M1" i="43"/>
  <c r="C6" i="43" s="1"/>
  <c r="N8" i="43"/>
  <c r="D120" i="9"/>
  <c r="D121" i="9" s="1"/>
  <c r="D7" i="52" s="1"/>
  <c r="C18" i="9"/>
  <c r="D18" i="9" s="1"/>
  <c r="F34" i="67"/>
  <c r="F62" i="67" s="1"/>
  <c r="M20" i="67"/>
  <c r="F34" i="15"/>
  <c r="F62" i="15" s="1"/>
  <c r="G13" i="3"/>
  <c r="BA13" i="3"/>
  <c r="BL17" i="3"/>
  <c r="BL13" i="3"/>
  <c r="J56" i="9"/>
  <c r="J57" i="9" s="1"/>
  <c r="J59" i="9" s="1"/>
  <c r="J61" i="9" s="1"/>
  <c r="A24" i="51"/>
  <c r="B18" i="72" s="1"/>
  <c r="E5" i="6"/>
  <c r="D9" i="11" s="1"/>
  <c r="C9" i="11" s="1"/>
  <c r="E32" i="6"/>
  <c r="L19" i="6"/>
  <c r="G1" i="68"/>
  <c r="K1" i="12"/>
  <c r="E19" i="69"/>
  <c r="E19" i="68"/>
  <c r="E19" i="11"/>
  <c r="E1" i="73"/>
  <c r="G22" i="69"/>
  <c r="G22" i="68"/>
  <c r="G26" i="12"/>
  <c r="G22" i="11"/>
  <c r="C100" i="43"/>
  <c r="E11" i="43"/>
  <c r="E10" i="43"/>
  <c r="E9" i="43"/>
  <c r="E8" i="43"/>
  <c r="E81" i="43"/>
  <c r="B79" i="43" s="1"/>
  <c r="E48" i="43"/>
  <c r="B46" i="43" s="1"/>
  <c r="E70" i="43"/>
  <c r="B68" i="43" s="1"/>
  <c r="F100" i="43"/>
  <c r="H17" i="43"/>
  <c r="G6" i="1"/>
  <c r="H88" i="43"/>
  <c r="C17" i="43"/>
  <c r="F33" i="43"/>
  <c r="K17" i="43"/>
  <c r="F34" i="43"/>
  <c r="N6" i="43"/>
  <c r="N3" i="43"/>
  <c r="F38" i="43"/>
  <c r="F37" i="43"/>
  <c r="M9" i="43"/>
  <c r="N5" i="43"/>
  <c r="M12" i="43"/>
  <c r="B19" i="53"/>
  <c r="B37" i="72" s="1"/>
  <c r="C7" i="39"/>
  <c r="C68" i="39" s="1"/>
  <c r="C7" i="35"/>
  <c r="C48" i="35" s="1"/>
  <c r="D48" i="35" s="1"/>
  <c r="C7" i="33"/>
  <c r="C58" i="33" s="1"/>
  <c r="C7" i="21"/>
  <c r="C58" i="21" s="1"/>
  <c r="C7" i="40"/>
  <c r="C63" i="40" s="1"/>
  <c r="M47" i="9"/>
  <c r="G19" i="43"/>
  <c r="O19" i="43" s="1"/>
  <c r="T35" i="4"/>
  <c r="A19" i="51" s="1"/>
  <c r="B14" i="72" s="1"/>
  <c r="A4" i="51"/>
  <c r="B6" i="72" s="1"/>
  <c r="C4" i="12"/>
  <c r="H72" i="43"/>
  <c r="L20" i="6"/>
  <c r="B6" i="1"/>
  <c r="E6" i="1" s="1"/>
  <c r="AP6" i="1"/>
  <c r="B9" i="1"/>
  <c r="E9" i="1" s="1"/>
  <c r="K7" i="1"/>
  <c r="M7" i="1" s="1"/>
  <c r="O7" i="1" s="1"/>
  <c r="G1" i="15"/>
  <c r="G1" i="69"/>
  <c r="G1" i="67"/>
  <c r="U32" i="40"/>
  <c r="AB28" i="40"/>
  <c r="W28" i="40"/>
  <c r="W34" i="40"/>
  <c r="W19" i="40"/>
  <c r="S36" i="40"/>
  <c r="W37" i="40"/>
  <c r="S33" i="40"/>
  <c r="U11" i="40"/>
  <c r="U15" i="40"/>
  <c r="U8" i="40"/>
  <c r="S8" i="40"/>
  <c r="AC41" i="39"/>
  <c r="U42" i="39"/>
  <c r="AB23" i="39"/>
  <c r="U41" i="39"/>
  <c r="W25" i="39"/>
  <c r="AA13" i="39"/>
  <c r="S14" i="39"/>
  <c r="AA14" i="39"/>
  <c r="AB11" i="39"/>
  <c r="U11" i="39"/>
  <c r="AA27" i="39"/>
  <c r="W17" i="39"/>
  <c r="S23" i="39"/>
  <c r="W34" i="39"/>
  <c r="U38" i="39"/>
  <c r="S8" i="39"/>
  <c r="S28" i="36"/>
  <c r="W29" i="36"/>
  <c r="AB28" i="36"/>
  <c r="W9" i="36"/>
  <c r="W22" i="36"/>
  <c r="AC25" i="35"/>
  <c r="W33" i="35"/>
  <c r="U24" i="35"/>
  <c r="S35" i="35"/>
  <c r="AA35" i="37"/>
  <c r="W36" i="37"/>
  <c r="S27" i="37"/>
  <c r="W32" i="37"/>
  <c r="U36" i="37"/>
  <c r="S40" i="37"/>
  <c r="AB37" i="37"/>
  <c r="S33" i="37"/>
  <c r="AB35" i="37"/>
  <c r="AA31" i="37"/>
  <c r="U19" i="37"/>
  <c r="AA29" i="37"/>
  <c r="AA8" i="37"/>
  <c r="U8" i="37"/>
  <c r="AA30" i="34"/>
  <c r="AC32" i="34"/>
  <c r="S32" i="34"/>
  <c r="AA32" i="34"/>
  <c r="S19" i="34"/>
  <c r="AA8" i="34"/>
  <c r="S8" i="34"/>
  <c r="W46" i="33"/>
  <c r="U38" i="33"/>
  <c r="W30" i="33"/>
  <c r="AB42" i="21"/>
  <c r="AA11" i="21"/>
  <c r="I101" i="21"/>
  <c r="J101" i="21" s="1"/>
  <c r="K101" i="21" s="1"/>
  <c r="L101" i="21" s="1"/>
  <c r="M101" i="21" s="1"/>
  <c r="F33" i="21"/>
  <c r="S33" i="21" s="1"/>
  <c r="J33" i="21"/>
  <c r="W33" i="21" s="1"/>
  <c r="H33" i="21"/>
  <c r="U33" i="21" s="1"/>
  <c r="F37" i="21"/>
  <c r="AA37" i="21" s="1"/>
  <c r="AA26" i="21"/>
  <c r="U40" i="21"/>
  <c r="U13" i="21"/>
  <c r="AB13" i="21"/>
  <c r="W8" i="21"/>
  <c r="S35" i="21"/>
  <c r="AB37" i="21"/>
  <c r="J37" i="21"/>
  <c r="AC37" i="21" s="1"/>
  <c r="H15" i="21"/>
  <c r="AB15" i="21" s="1"/>
  <c r="J17" i="21"/>
  <c r="W17" i="21" s="1"/>
  <c r="AC19" i="21"/>
  <c r="W39" i="21"/>
  <c r="H45" i="21"/>
  <c r="U45" i="21" s="1"/>
  <c r="F29" i="21"/>
  <c r="S29" i="21" s="1"/>
  <c r="F13" i="21"/>
  <c r="AA13" i="21" s="1"/>
  <c r="AC38" i="21"/>
  <c r="H32" i="21"/>
  <c r="U32" i="21" s="1"/>
  <c r="H9" i="21"/>
  <c r="U9" i="21" s="1"/>
  <c r="J9" i="21"/>
  <c r="W9" i="21" s="1"/>
  <c r="J32" i="21"/>
  <c r="AC32" i="21" s="1"/>
  <c r="F32" i="21"/>
  <c r="AA32" i="21" s="1"/>
  <c r="U17" i="21"/>
  <c r="S19" i="21"/>
  <c r="S9" i="21"/>
  <c r="AA9" i="21"/>
  <c r="K141" i="21"/>
  <c r="K144" i="21"/>
  <c r="K143" i="21"/>
  <c r="AB25" i="21"/>
  <c r="AB44" i="21"/>
  <c r="AA30" i="21"/>
  <c r="AC45" i="21"/>
  <c r="F10" i="21"/>
  <c r="S10" i="21" s="1"/>
  <c r="K145" i="21"/>
  <c r="W25" i="21"/>
  <c r="S27" i="21"/>
  <c r="AA15" i="21"/>
  <c r="AC34" i="21"/>
  <c r="W10" i="21"/>
  <c r="AB36" i="21"/>
  <c r="W30" i="40"/>
  <c r="C19" i="39"/>
  <c r="C15" i="40"/>
  <c r="C17" i="40"/>
  <c r="C23" i="40"/>
  <c r="C21" i="40"/>
  <c r="B54" i="43"/>
  <c r="B65" i="43"/>
  <c r="B49" i="43"/>
  <c r="B52" i="43"/>
  <c r="B56" i="43"/>
  <c r="B60" i="43"/>
  <c r="B63" i="43"/>
  <c r="B67" i="43"/>
  <c r="D23" i="15"/>
  <c r="D22" i="15"/>
  <c r="E4" i="4"/>
  <c r="B5" i="62" s="1"/>
  <c r="B73" i="72" s="1"/>
  <c r="C4" i="4"/>
  <c r="AZ13" i="3"/>
  <c r="E7" i="70"/>
  <c r="AA39" i="40"/>
  <c r="J32" i="39"/>
  <c r="W32" i="39" s="1"/>
  <c r="H32" i="39"/>
  <c r="U32" i="39" s="1"/>
  <c r="U21" i="39"/>
  <c r="S21" i="39"/>
  <c r="AC21" i="39"/>
  <c r="AC17" i="37"/>
  <c r="J19" i="37"/>
  <c r="W19" i="37" s="1"/>
  <c r="G75" i="37"/>
  <c r="J23" i="37"/>
  <c r="AC23" i="37" s="1"/>
  <c r="J10" i="37"/>
  <c r="W10" i="37" s="1"/>
  <c r="G63" i="37"/>
  <c r="H63" i="37" s="1"/>
  <c r="I63" i="37" s="1"/>
  <c r="J63" i="37" s="1"/>
  <c r="K63" i="37" s="1"/>
  <c r="L63" i="37" s="1"/>
  <c r="M63" i="37" s="1"/>
  <c r="H11" i="37"/>
  <c r="AB11" i="37" s="1"/>
  <c r="H11" i="34"/>
  <c r="U11" i="34" s="1"/>
  <c r="J10" i="34"/>
  <c r="AC10" i="34" s="1"/>
  <c r="I67" i="34"/>
  <c r="H36" i="33"/>
  <c r="AB36" i="33" s="1"/>
  <c r="J27" i="33"/>
  <c r="W27" i="33" s="1"/>
  <c r="F23" i="33"/>
  <c r="S23" i="33" s="1"/>
  <c r="H19" i="33"/>
  <c r="AB19" i="33" s="1"/>
  <c r="H17" i="33"/>
  <c r="AB17" i="33" s="1"/>
  <c r="F17" i="33"/>
  <c r="S17" i="33" s="1"/>
  <c r="J23" i="21"/>
  <c r="W23" i="21" s="1"/>
  <c r="F85" i="21"/>
  <c r="G85" i="21" s="1"/>
  <c r="H23" i="21"/>
  <c r="AB23" i="21" s="1"/>
  <c r="AP7" i="1"/>
  <c r="AB32" i="21"/>
  <c r="E6" i="70"/>
  <c r="A18" i="62"/>
  <c r="B64" i="72" s="1"/>
  <c r="J11" i="37"/>
  <c r="W11" i="37" s="1"/>
  <c r="AB11" i="34"/>
  <c r="J11" i="34"/>
  <c r="AC11" i="34" s="1"/>
  <c r="AC23" i="21"/>
  <c r="F34" i="11"/>
  <c r="F11" i="12"/>
  <c r="F34" i="68"/>
  <c r="AE7" i="1"/>
  <c r="AE8" i="1"/>
  <c r="AE6" i="1"/>
  <c r="AG6" i="1"/>
  <c r="H109" i="9"/>
  <c r="M49" i="9" s="1"/>
  <c r="L68" i="9" s="1"/>
  <c r="M68" i="9" s="1"/>
  <c r="D16" i="53"/>
  <c r="B34" i="72" s="1"/>
  <c r="H112" i="9"/>
  <c r="D21" i="53" s="1"/>
  <c r="B39" i="72" s="1"/>
  <c r="H111" i="9"/>
  <c r="D19" i="53" s="1"/>
  <c r="AD3" i="71"/>
  <c r="J1" i="73"/>
  <c r="C77" i="9"/>
  <c r="C74" i="9" s="1"/>
  <c r="H77" i="43"/>
  <c r="H76" i="43"/>
  <c r="M4" i="43"/>
  <c r="M5" i="43"/>
  <c r="N12" i="43"/>
  <c r="N11" i="43"/>
  <c r="M10" i="43"/>
  <c r="M2" i="43"/>
  <c r="M7" i="43"/>
  <c r="H70" i="43"/>
  <c r="N9" i="43"/>
  <c r="M8" i="43"/>
  <c r="N10" i="43"/>
  <c r="H74" i="43"/>
  <c r="M6" i="43"/>
  <c r="N7" i="43"/>
  <c r="N4" i="43"/>
  <c r="N2" i="43"/>
  <c r="N17" i="43"/>
  <c r="L17" i="43"/>
  <c r="O17" i="43"/>
  <c r="M17" i="43"/>
  <c r="E17" i="43"/>
  <c r="AB17" i="71"/>
  <c r="X15" i="71"/>
  <c r="X14" i="71"/>
  <c r="AA15" i="71"/>
  <c r="AA14" i="71"/>
  <c r="X18" i="71"/>
  <c r="Y14" i="71"/>
  <c r="Z14" i="71" s="1"/>
  <c r="AB15" i="71"/>
  <c r="AB14" i="71"/>
  <c r="F16" i="71"/>
  <c r="F15" i="71" s="1"/>
  <c r="F14" i="71" s="1"/>
  <c r="F13" i="71" s="1"/>
  <c r="F12" i="71" s="1"/>
  <c r="Y15" i="71"/>
  <c r="Z15" i="71" s="1"/>
  <c r="X3" i="71"/>
  <c r="E13" i="76"/>
  <c r="B11" i="76"/>
  <c r="B10" i="76"/>
  <c r="D2" i="33"/>
  <c r="D34" i="9"/>
  <c r="F13" i="15"/>
  <c r="B8" i="76"/>
  <c r="AO13" i="1"/>
  <c r="F6" i="73"/>
  <c r="F37" i="15"/>
  <c r="D35" i="9"/>
  <c r="F8" i="15"/>
  <c r="AO9" i="1"/>
  <c r="AO6" i="1"/>
  <c r="D2" i="21"/>
  <c r="E8" i="76"/>
  <c r="D2" i="34"/>
  <c r="M23" i="15"/>
  <c r="E10" i="76"/>
  <c r="E12" i="76"/>
  <c r="D2" i="35"/>
  <c r="D2" i="37"/>
  <c r="C76" i="15"/>
  <c r="D4" i="73"/>
  <c r="AO8" i="1"/>
  <c r="F3" i="73"/>
  <c r="AO12" i="1"/>
  <c r="F20" i="31"/>
  <c r="F5" i="73"/>
  <c r="F42" i="15"/>
  <c r="AO11" i="1"/>
  <c r="M8" i="15"/>
  <c r="AO10" i="1"/>
  <c r="B9" i="76"/>
  <c r="F16" i="67"/>
  <c r="M26" i="15"/>
  <c r="E2" i="68"/>
  <c r="E11" i="76"/>
  <c r="E2" i="69"/>
  <c r="F7" i="73"/>
  <c r="D2" i="36"/>
  <c r="M21" i="67"/>
  <c r="F36" i="15"/>
  <c r="E9" i="76"/>
  <c r="AO7" i="1"/>
  <c r="B12" i="76"/>
  <c r="F4" i="73"/>
  <c r="B13" i="76"/>
  <c r="W25" i="36" l="1"/>
  <c r="AC25" i="36"/>
  <c r="W14" i="33"/>
  <c r="AC14" i="33"/>
  <c r="H110" i="9"/>
  <c r="D18" i="53" s="1"/>
  <c r="B35" i="72" s="1"/>
  <c r="AB8" i="21"/>
  <c r="AA38" i="21"/>
  <c r="AB39" i="21"/>
  <c r="J39" i="34"/>
  <c r="W39" i="34" s="1"/>
  <c r="AZ372" i="3"/>
  <c r="AC12" i="37"/>
  <c r="F9" i="37"/>
  <c r="S9" i="37" s="1"/>
  <c r="BL507" i="3"/>
  <c r="BL511" i="3"/>
  <c r="BL519" i="3"/>
  <c r="H25" i="35"/>
  <c r="F31" i="34"/>
  <c r="H13" i="34"/>
  <c r="U13" i="34" s="1"/>
  <c r="H14" i="35"/>
  <c r="AB14" i="35" s="1"/>
  <c r="U30" i="36"/>
  <c r="J31" i="39"/>
  <c r="H31" i="39"/>
  <c r="S34" i="39"/>
  <c r="W8" i="36"/>
  <c r="J27" i="34"/>
  <c r="W27" i="34" s="1"/>
  <c r="F27" i="34"/>
  <c r="E70" i="35"/>
  <c r="F70" i="35" s="1"/>
  <c r="G70" i="35" s="1"/>
  <c r="J20" i="35"/>
  <c r="W20" i="35" s="1"/>
  <c r="F14" i="33"/>
  <c r="H14" i="33"/>
  <c r="F46" i="33"/>
  <c r="H46" i="33"/>
  <c r="U46" i="33" s="1"/>
  <c r="J29" i="34"/>
  <c r="AC29" i="34" s="1"/>
  <c r="H29" i="34"/>
  <c r="AB29" i="34" s="1"/>
  <c r="J45" i="34"/>
  <c r="W45" i="34" s="1"/>
  <c r="H45" i="34"/>
  <c r="U45" i="34" s="1"/>
  <c r="J47" i="34"/>
  <c r="H47" i="34"/>
  <c r="U47" i="34" s="1"/>
  <c r="F13" i="35"/>
  <c r="J13" i="35"/>
  <c r="H23" i="35"/>
  <c r="F23" i="35"/>
  <c r="AA23" i="35" s="1"/>
  <c r="J35" i="35"/>
  <c r="H35" i="35"/>
  <c r="AA8" i="36"/>
  <c r="S8" i="36"/>
  <c r="F25" i="36"/>
  <c r="H25" i="36"/>
  <c r="AB30" i="37"/>
  <c r="U30" i="37"/>
  <c r="AC8" i="40"/>
  <c r="W8" i="40"/>
  <c r="AB9" i="40"/>
  <c r="U9" i="40"/>
  <c r="H87" i="35"/>
  <c r="J29" i="35"/>
  <c r="H29" i="35"/>
  <c r="AB29" i="35" s="1"/>
  <c r="BA567" i="3"/>
  <c r="BA566" i="3"/>
  <c r="BL554" i="3"/>
  <c r="AZ554" i="3" s="1"/>
  <c r="BA552" i="3"/>
  <c r="BA549" i="3"/>
  <c r="BA546" i="3"/>
  <c r="BA539" i="3"/>
  <c r="BL536" i="3"/>
  <c r="BA536" i="3"/>
  <c r="BA533" i="3"/>
  <c r="BA525" i="3"/>
  <c r="BL524" i="3"/>
  <c r="BA524" i="3"/>
  <c r="BL520" i="3"/>
  <c r="BA520" i="3"/>
  <c r="BL514" i="3"/>
  <c r="BA512" i="3"/>
  <c r="BA511" i="3"/>
  <c r="BA509" i="3"/>
  <c r="BA504" i="3"/>
  <c r="BA503" i="3"/>
  <c r="BL502" i="3"/>
  <c r="BA499" i="3"/>
  <c r="BA496" i="3"/>
  <c r="BA493" i="3"/>
  <c r="AZ493" i="3" s="1"/>
  <c r="BL497" i="3"/>
  <c r="BL501" i="3"/>
  <c r="BL505" i="3"/>
  <c r="BL509" i="3"/>
  <c r="BL513" i="3"/>
  <c r="BL517" i="3"/>
  <c r="G521" i="3"/>
  <c r="BL527" i="3"/>
  <c r="BL535" i="3"/>
  <c r="BL539" i="3"/>
  <c r="BL543" i="3"/>
  <c r="BL547" i="3"/>
  <c r="BL551" i="3"/>
  <c r="BL555" i="3"/>
  <c r="S14" i="35"/>
  <c r="AA28" i="35"/>
  <c r="S28" i="35"/>
  <c r="F59" i="43"/>
  <c r="G104" i="3"/>
  <c r="AB21" i="37"/>
  <c r="W25" i="40"/>
  <c r="C66" i="71"/>
  <c r="D66" i="71" s="1"/>
  <c r="D124" i="9"/>
  <c r="S17" i="21"/>
  <c r="W42" i="21"/>
  <c r="AA30" i="35"/>
  <c r="AC20" i="36"/>
  <c r="U32" i="36"/>
  <c r="AB39" i="39"/>
  <c r="AB17" i="40"/>
  <c r="S31" i="40"/>
  <c r="AA15" i="40"/>
  <c r="S37" i="40"/>
  <c r="W23" i="40"/>
  <c r="H81" i="43"/>
  <c r="AC9" i="37"/>
  <c r="AB40" i="37"/>
  <c r="U22" i="35"/>
  <c r="AC30" i="35"/>
  <c r="U29" i="35"/>
  <c r="U16" i="36"/>
  <c r="S29" i="36"/>
  <c r="S43" i="39"/>
  <c r="AB37" i="40"/>
  <c r="U10" i="21"/>
  <c r="U17" i="39"/>
  <c r="AA41" i="39"/>
  <c r="AB34" i="39"/>
  <c r="AB11" i="21"/>
  <c r="AC8" i="34"/>
  <c r="W8" i="34"/>
  <c r="E82" i="34"/>
  <c r="F82" i="34" s="1"/>
  <c r="G82" i="34" s="1"/>
  <c r="J19" i="34"/>
  <c r="E126" i="34"/>
  <c r="F126" i="34" s="1"/>
  <c r="G126" i="34" s="1"/>
  <c r="F44" i="34"/>
  <c r="J12" i="33"/>
  <c r="AC12" i="33" s="1"/>
  <c r="H12" i="33"/>
  <c r="F30" i="33"/>
  <c r="H30" i="33"/>
  <c r="AA23" i="21"/>
  <c r="S17" i="37"/>
  <c r="AA9" i="35"/>
  <c r="AC17" i="21"/>
  <c r="U15" i="21"/>
  <c r="AC15" i="21"/>
  <c r="W27" i="40"/>
  <c r="AC15" i="39"/>
  <c r="AA30" i="40"/>
  <c r="AZ360" i="3"/>
  <c r="AB23" i="40"/>
  <c r="U23" i="40"/>
  <c r="H14" i="21"/>
  <c r="J14" i="21"/>
  <c r="F46" i="21"/>
  <c r="H46" i="21"/>
  <c r="B77" i="43"/>
  <c r="C25" i="39"/>
  <c r="E84" i="35"/>
  <c r="F84" i="35" s="1"/>
  <c r="G84" i="35" s="1"/>
  <c r="H84" i="35" s="1"/>
  <c r="I84" i="35" s="1"/>
  <c r="J84" i="35" s="1"/>
  <c r="K84" i="35" s="1"/>
  <c r="L84" i="35" s="1"/>
  <c r="M84" i="35" s="1"/>
  <c r="H28" i="35"/>
  <c r="AB28" i="35" s="1"/>
  <c r="AB23" i="71"/>
  <c r="U63" i="71"/>
  <c r="X24" i="71"/>
  <c r="AB30" i="71"/>
  <c r="AA33" i="71"/>
  <c r="U31" i="35"/>
  <c r="W31" i="37"/>
  <c r="W40" i="39"/>
  <c r="G584" i="3"/>
  <c r="G580" i="3"/>
  <c r="G579" i="3"/>
  <c r="G576" i="3"/>
  <c r="G570" i="3"/>
  <c r="G568" i="3"/>
  <c r="G565" i="3"/>
  <c r="G564" i="3"/>
  <c r="G560" i="3"/>
  <c r="G550" i="3"/>
  <c r="G549" i="3"/>
  <c r="G544" i="3"/>
  <c r="BL540" i="3"/>
  <c r="AZ540" i="3" s="1"/>
  <c r="G536" i="3"/>
  <c r="G533" i="3"/>
  <c r="G532" i="3"/>
  <c r="G528" i="3"/>
  <c r="G525" i="3"/>
  <c r="G523" i="3"/>
  <c r="BA517" i="3"/>
  <c r="BL516" i="3"/>
  <c r="G514" i="3"/>
  <c r="G508" i="3"/>
  <c r="G504" i="3"/>
  <c r="G496" i="3"/>
  <c r="G448" i="3"/>
  <c r="G349" i="3"/>
  <c r="BA354" i="3"/>
  <c r="G358" i="3"/>
  <c r="G387" i="3"/>
  <c r="G211" i="3"/>
  <c r="G213" i="3"/>
  <c r="G215" i="3"/>
  <c r="BA218" i="3"/>
  <c r="BL228" i="3"/>
  <c r="G229" i="3"/>
  <c r="G233" i="3"/>
  <c r="G259" i="3"/>
  <c r="G265" i="3"/>
  <c r="G159" i="3"/>
  <c r="G162" i="3"/>
  <c r="G164" i="3"/>
  <c r="G167" i="3"/>
  <c r="G171" i="3"/>
  <c r="BL189" i="3"/>
  <c r="G68" i="3"/>
  <c r="G74" i="3"/>
  <c r="G82" i="3"/>
  <c r="G86" i="3"/>
  <c r="G94" i="3"/>
  <c r="BL95" i="3"/>
  <c r="G100" i="3"/>
  <c r="G105" i="3"/>
  <c r="G107" i="3"/>
  <c r="N100" i="43"/>
  <c r="I108" i="43"/>
  <c r="W32" i="35"/>
  <c r="U32" i="35"/>
  <c r="AC27" i="34"/>
  <c r="S30" i="33"/>
  <c r="AA30" i="33"/>
  <c r="AC11" i="37"/>
  <c r="AA10" i="21"/>
  <c r="AB9" i="21"/>
  <c r="S37" i="21"/>
  <c r="AZ17" i="3"/>
  <c r="BL587" i="3"/>
  <c r="J27" i="21"/>
  <c r="H27" i="21"/>
  <c r="J29" i="21"/>
  <c r="H29" i="21"/>
  <c r="AB27" i="36"/>
  <c r="AZ306" i="3"/>
  <c r="AZ344" i="3"/>
  <c r="AZ337" i="3"/>
  <c r="AZ321" i="3"/>
  <c r="AZ362" i="3"/>
  <c r="AZ320" i="3"/>
  <c r="AB38" i="21"/>
  <c r="U26" i="21"/>
  <c r="U33" i="37"/>
  <c r="AZ519" i="3"/>
  <c r="AZ537" i="3"/>
  <c r="F45" i="21"/>
  <c r="H12" i="21"/>
  <c r="J12" i="21"/>
  <c r="E66" i="35"/>
  <c r="F66" i="35" s="1"/>
  <c r="G66" i="35" s="1"/>
  <c r="H16" i="35"/>
  <c r="J11" i="35"/>
  <c r="AC11" i="35" s="1"/>
  <c r="F11" i="35"/>
  <c r="S11" i="35" s="1"/>
  <c r="J23" i="36"/>
  <c r="F23" i="36"/>
  <c r="AC31" i="36"/>
  <c r="W31" i="36"/>
  <c r="H14" i="37"/>
  <c r="J14" i="37"/>
  <c r="J28" i="37"/>
  <c r="F28" i="37"/>
  <c r="J13" i="39"/>
  <c r="H13" i="39"/>
  <c r="U13" i="39" s="1"/>
  <c r="AB34" i="40"/>
  <c r="U34" i="40"/>
  <c r="S31" i="35"/>
  <c r="AA31" i="35"/>
  <c r="BL584" i="3"/>
  <c r="BA584" i="3"/>
  <c r="BA582" i="3"/>
  <c r="BL578" i="3"/>
  <c r="BL570" i="3"/>
  <c r="BL564" i="3"/>
  <c r="BL562" i="3"/>
  <c r="BA560" i="3"/>
  <c r="BA553" i="3"/>
  <c r="BL552" i="3"/>
  <c r="BA547" i="3"/>
  <c r="BL538" i="3"/>
  <c r="BA534" i="3"/>
  <c r="BL532" i="3"/>
  <c r="BA528" i="3"/>
  <c r="BL526" i="3"/>
  <c r="BA523" i="3"/>
  <c r="BL522" i="3"/>
  <c r="BA506" i="3"/>
  <c r="BA502" i="3"/>
  <c r="AZ502" i="3" s="1"/>
  <c r="BL498" i="3"/>
  <c r="AZ498" i="3" s="1"/>
  <c r="BL496" i="3"/>
  <c r="AZ496" i="3" s="1"/>
  <c r="BA455" i="3"/>
  <c r="G587" i="3"/>
  <c r="BA587" i="3"/>
  <c r="BA585" i="3"/>
  <c r="BA578" i="3"/>
  <c r="BA562" i="3"/>
  <c r="BL556" i="3"/>
  <c r="G556" i="3"/>
  <c r="G552" i="3"/>
  <c r="G526" i="3"/>
  <c r="G515" i="3"/>
  <c r="G493" i="3"/>
  <c r="G399" i="3"/>
  <c r="G403" i="3"/>
  <c r="G405" i="3"/>
  <c r="BL408" i="3"/>
  <c r="G415" i="3"/>
  <c r="BA418" i="3"/>
  <c r="G426" i="3"/>
  <c r="G428" i="3"/>
  <c r="BL433" i="3"/>
  <c r="G434" i="3"/>
  <c r="G436" i="3"/>
  <c r="BL448" i="3"/>
  <c r="G449" i="3"/>
  <c r="BA454" i="3"/>
  <c r="BL459" i="3"/>
  <c r="BL463" i="3"/>
  <c r="G466" i="3"/>
  <c r="G468" i="3"/>
  <c r="G470" i="3"/>
  <c r="G474" i="3"/>
  <c r="BA479" i="3"/>
  <c r="BA481" i="3"/>
  <c r="BL485" i="3"/>
  <c r="G489" i="3"/>
  <c r="BL489" i="3"/>
  <c r="G307" i="3"/>
  <c r="G315" i="3"/>
  <c r="G327" i="3"/>
  <c r="G329" i="3"/>
  <c r="G331" i="3"/>
  <c r="G339" i="3"/>
  <c r="BL346" i="3"/>
  <c r="AZ346" i="3" s="1"/>
  <c r="G364" i="3"/>
  <c r="BA367" i="3"/>
  <c r="G374" i="3"/>
  <c r="BL375" i="3"/>
  <c r="AZ375" i="3" s="1"/>
  <c r="G214" i="3"/>
  <c r="G216" i="3"/>
  <c r="BL227" i="3"/>
  <c r="G228" i="3"/>
  <c r="BL229" i="3"/>
  <c r="G236" i="3"/>
  <c r="G238" i="3"/>
  <c r="G240" i="3"/>
  <c r="BL255" i="3"/>
  <c r="BA263" i="3"/>
  <c r="BL267" i="3"/>
  <c r="BL268" i="3"/>
  <c r="G269" i="3"/>
  <c r="G270" i="3"/>
  <c r="BL270" i="3"/>
  <c r="G273" i="3"/>
  <c r="BL274" i="3"/>
  <c r="G277" i="3"/>
  <c r="G281" i="3"/>
  <c r="G285" i="3"/>
  <c r="G287" i="3"/>
  <c r="G289" i="3"/>
  <c r="G297" i="3"/>
  <c r="BA124" i="3"/>
  <c r="AZ124" i="3" s="1"/>
  <c r="BA130" i="3"/>
  <c r="G139" i="3"/>
  <c r="G160" i="3"/>
  <c r="G170" i="3"/>
  <c r="G176" i="3"/>
  <c r="G178" i="3"/>
  <c r="G180" i="3"/>
  <c r="G182" i="3"/>
  <c r="BL190" i="3"/>
  <c r="G198" i="3"/>
  <c r="G18" i="3"/>
  <c r="G20" i="3"/>
  <c r="G22" i="3"/>
  <c r="BL36" i="3"/>
  <c r="G37" i="3"/>
  <c r="BA50" i="3"/>
  <c r="G60" i="3"/>
  <c r="BL63" i="3"/>
  <c r="G64" i="3"/>
  <c r="G69" i="3"/>
  <c r="BA72" i="3"/>
  <c r="G77" i="3"/>
  <c r="G84" i="3"/>
  <c r="G85" i="3"/>
  <c r="G87" i="3"/>
  <c r="G97" i="3"/>
  <c r="BA107" i="3"/>
  <c r="G110" i="3"/>
  <c r="C32" i="66"/>
  <c r="E26" i="66" s="1"/>
  <c r="D74" i="71"/>
  <c r="B54" i="71"/>
  <c r="B55" i="71" s="1"/>
  <c r="S55" i="71" s="1"/>
  <c r="BA254" i="3"/>
  <c r="BL275" i="3"/>
  <c r="Y29" i="71"/>
  <c r="Z29" i="71" s="1"/>
  <c r="AC41" i="33"/>
  <c r="F43" i="33"/>
  <c r="AA43" i="33" s="1"/>
  <c r="H43" i="33"/>
  <c r="AB43" i="33" s="1"/>
  <c r="E125" i="33"/>
  <c r="F125" i="33" s="1"/>
  <c r="G125" i="33" s="1"/>
  <c r="AC10" i="33"/>
  <c r="U10" i="33"/>
  <c r="AB47" i="34"/>
  <c r="F25" i="34"/>
  <c r="S25" i="34" s="1"/>
  <c r="F36" i="34"/>
  <c r="AA36" i="34" s="1"/>
  <c r="W40" i="33"/>
  <c r="U40" i="33"/>
  <c r="S40" i="33"/>
  <c r="AB44" i="33"/>
  <c r="W12" i="33"/>
  <c r="U11" i="37"/>
  <c r="J42" i="33"/>
  <c r="AC42" i="33" s="1"/>
  <c r="F42" i="33"/>
  <c r="AA42" i="33" s="1"/>
  <c r="H31" i="21"/>
  <c r="J31" i="21"/>
  <c r="F31" i="21"/>
  <c r="F36" i="33"/>
  <c r="S36" i="33" s="1"/>
  <c r="G111" i="33"/>
  <c r="BN5" i="3"/>
  <c r="BS5" i="3"/>
  <c r="U10" i="37"/>
  <c r="AA11" i="37"/>
  <c r="U25" i="39"/>
  <c r="S17" i="40"/>
  <c r="J44" i="21"/>
  <c r="AC44" i="21" s="1"/>
  <c r="F44" i="21"/>
  <c r="AA42" i="21"/>
  <c r="S42" i="21"/>
  <c r="S41" i="21"/>
  <c r="AA41" i="21"/>
  <c r="F36" i="39"/>
  <c r="H36" i="39"/>
  <c r="J36" i="39"/>
  <c r="BL581" i="3"/>
  <c r="G581" i="3"/>
  <c r="BL579" i="3"/>
  <c r="BA579" i="3"/>
  <c r="BA558" i="3"/>
  <c r="BA545" i="3"/>
  <c r="BL542" i="3"/>
  <c r="BA542" i="3"/>
  <c r="BL534" i="3"/>
  <c r="BA531" i="3"/>
  <c r="BL528" i="3"/>
  <c r="BA527" i="3"/>
  <c r="BA526" i="3"/>
  <c r="AZ526" i="3" s="1"/>
  <c r="BA514" i="3"/>
  <c r="BA513" i="3"/>
  <c r="BL512" i="3"/>
  <c r="BL510" i="3"/>
  <c r="BA510" i="3"/>
  <c r="BL508" i="3"/>
  <c r="AZ508" i="3" s="1"/>
  <c r="BA500" i="3"/>
  <c r="AZ500" i="3" s="1"/>
  <c r="G499" i="3"/>
  <c r="BA495" i="3"/>
  <c r="AA15" i="37"/>
  <c r="S15" i="37"/>
  <c r="AZ505" i="3"/>
  <c r="AZ539" i="3"/>
  <c r="S11" i="36"/>
  <c r="J31" i="40"/>
  <c r="H31" i="40"/>
  <c r="BA561" i="3"/>
  <c r="BA538" i="3"/>
  <c r="H42" i="33"/>
  <c r="AB42" i="33" s="1"/>
  <c r="J14" i="40"/>
  <c r="F14" i="40"/>
  <c r="S12" i="37"/>
  <c r="AA12" i="37"/>
  <c r="AZ522" i="3"/>
  <c r="AB40" i="39"/>
  <c r="U40" i="39"/>
  <c r="AC23" i="39"/>
  <c r="W23" i="39"/>
  <c r="J37" i="39"/>
  <c r="H37" i="39"/>
  <c r="AB37" i="39" s="1"/>
  <c r="F37" i="39"/>
  <c r="U41" i="33"/>
  <c r="S20" i="36"/>
  <c r="AC35" i="40"/>
  <c r="W35" i="40"/>
  <c r="E101" i="33"/>
  <c r="H32" i="33" s="1"/>
  <c r="S27" i="40"/>
  <c r="AA27" i="40"/>
  <c r="AZ529" i="3"/>
  <c r="AA33" i="21"/>
  <c r="H73" i="43"/>
  <c r="H78" i="43"/>
  <c r="AZ394" i="3"/>
  <c r="AB13" i="34"/>
  <c r="AC14" i="37"/>
  <c r="W14" i="37"/>
  <c r="D50" i="71"/>
  <c r="C51" i="71"/>
  <c r="T51" i="71" s="1"/>
  <c r="AA39" i="39"/>
  <c r="AC33" i="21"/>
  <c r="AA23" i="37"/>
  <c r="U10" i="34"/>
  <c r="S32" i="39"/>
  <c r="H86" i="43"/>
  <c r="AZ325" i="3"/>
  <c r="J44" i="33"/>
  <c r="AC44" i="33" s="1"/>
  <c r="F44" i="33"/>
  <c r="S44" i="33" s="1"/>
  <c r="U27" i="35"/>
  <c r="AB27" i="35"/>
  <c r="D25" i="71"/>
  <c r="C26" i="71"/>
  <c r="W32" i="21"/>
  <c r="D6" i="52"/>
  <c r="W37" i="21"/>
  <c r="AB27" i="40"/>
  <c r="AA36" i="37"/>
  <c r="S36" i="37"/>
  <c r="S21" i="40"/>
  <c r="AZ497" i="3"/>
  <c r="AZ509" i="3"/>
  <c r="H12" i="35"/>
  <c r="J12" i="35"/>
  <c r="W12" i="35" s="1"/>
  <c r="BL568" i="3"/>
  <c r="BL560" i="3"/>
  <c r="BA353" i="3"/>
  <c r="BA212" i="3"/>
  <c r="BA228" i="3"/>
  <c r="BL252" i="3"/>
  <c r="BA255" i="3"/>
  <c r="BL266" i="3"/>
  <c r="G293" i="3"/>
  <c r="BA301" i="3"/>
  <c r="G130" i="3"/>
  <c r="BL21" i="3"/>
  <c r="BA23" i="3"/>
  <c r="BL34" i="3"/>
  <c r="BA36" i="3"/>
  <c r="AZ36" i="3" s="1"/>
  <c r="BA51" i="3"/>
  <c r="D49" i="71"/>
  <c r="BL515" i="3"/>
  <c r="BL523" i="3"/>
  <c r="BL573" i="3"/>
  <c r="G27" i="6"/>
  <c r="F12" i="21"/>
  <c r="BL405" i="3"/>
  <c r="BA447" i="3"/>
  <c r="G457" i="3"/>
  <c r="G472" i="3"/>
  <c r="BL490" i="3"/>
  <c r="BA492" i="3"/>
  <c r="BL350" i="3"/>
  <c r="BA352" i="3"/>
  <c r="BA227" i="3"/>
  <c r="AZ227" i="3" s="1"/>
  <c r="G235" i="3"/>
  <c r="BA267" i="3"/>
  <c r="G279" i="3"/>
  <c r="BL119" i="3"/>
  <c r="AZ119" i="3" s="1"/>
  <c r="G168" i="3"/>
  <c r="G44" i="3"/>
  <c r="G73" i="3"/>
  <c r="BA77" i="3"/>
  <c r="BL101" i="3"/>
  <c r="BA103" i="3"/>
  <c r="G112" i="3"/>
  <c r="AC21" i="21"/>
  <c r="C78" i="71"/>
  <c r="D78" i="71" s="1"/>
  <c r="AB32" i="71"/>
  <c r="F26" i="71"/>
  <c r="BL525" i="3"/>
  <c r="AZ525" i="3" s="1"/>
  <c r="BL545" i="3"/>
  <c r="AZ545" i="3" s="1"/>
  <c r="U9" i="39"/>
  <c r="H39" i="34"/>
  <c r="AB39" i="34" s="1"/>
  <c r="BD5" i="3"/>
  <c r="C5" i="11"/>
  <c r="G400" i="3"/>
  <c r="G413" i="3"/>
  <c r="BA433" i="3"/>
  <c r="AZ433" i="3" s="1"/>
  <c r="G441" i="3"/>
  <c r="BL461" i="3"/>
  <c r="BL348" i="3"/>
  <c r="BA388" i="3"/>
  <c r="G221" i="3"/>
  <c r="BL224" i="3"/>
  <c r="G234" i="3"/>
  <c r="BL237" i="3"/>
  <c r="G247" i="3"/>
  <c r="BA252" i="3"/>
  <c r="G260" i="3"/>
  <c r="BL264" i="3"/>
  <c r="BA266" i="3"/>
  <c r="AZ266" i="3" s="1"/>
  <c r="G290" i="3"/>
  <c r="G115" i="3"/>
  <c r="BL131" i="3"/>
  <c r="AZ131" i="3" s="1"/>
  <c r="BA134" i="3"/>
  <c r="BA145" i="3"/>
  <c r="G152" i="3"/>
  <c r="G206" i="3"/>
  <c r="G43" i="3"/>
  <c r="G56" i="3"/>
  <c r="G83" i="3"/>
  <c r="F62" i="71"/>
  <c r="AJ10" i="43"/>
  <c r="BA404" i="3"/>
  <c r="BA225" i="3"/>
  <c r="BL117" i="3"/>
  <c r="BA47" i="3"/>
  <c r="E74" i="71"/>
  <c r="E73" i="71" s="1"/>
  <c r="AA32" i="71"/>
  <c r="F74" i="71"/>
  <c r="F73" i="71" s="1"/>
  <c r="AF10" i="43"/>
  <c r="BL549" i="3"/>
  <c r="AZ549" i="3" s="1"/>
  <c r="U33" i="35"/>
  <c r="J14" i="35"/>
  <c r="J39" i="40"/>
  <c r="BL582" i="3"/>
  <c r="BA580" i="3"/>
  <c r="G569" i="3"/>
  <c r="BA564" i="3"/>
  <c r="AZ564" i="3" s="1"/>
  <c r="G561" i="3"/>
  <c r="BA556" i="3"/>
  <c r="AZ556" i="3" s="1"/>
  <c r="BL429" i="3"/>
  <c r="G439" i="3"/>
  <c r="G482" i="3"/>
  <c r="BA348" i="3"/>
  <c r="G219" i="3"/>
  <c r="BA224" i="3"/>
  <c r="AZ224" i="3" s="1"/>
  <c r="G245" i="3"/>
  <c r="BL249" i="3"/>
  <c r="G258" i="3"/>
  <c r="BA264" i="3"/>
  <c r="G138" i="3"/>
  <c r="G204" i="3"/>
  <c r="G41" i="3"/>
  <c r="G42" i="3"/>
  <c r="BA46" i="3"/>
  <c r="G54" i="3"/>
  <c r="G55" i="3"/>
  <c r="BL58" i="3"/>
  <c r="G93" i="3"/>
  <c r="D58" i="85"/>
  <c r="E58" i="85" s="1"/>
  <c r="F58" i="85" s="1"/>
  <c r="G58" i="85" s="1"/>
  <c r="H58" i="85" s="1"/>
  <c r="I58" i="85" s="1"/>
  <c r="J58" i="85" s="1"/>
  <c r="K58" i="85" s="1"/>
  <c r="L58" i="85" s="1"/>
  <c r="M58" i="85" s="1"/>
  <c r="N58" i="85" s="1"/>
  <c r="O58" i="85" s="1"/>
  <c r="B70" i="71"/>
  <c r="B69" i="71" s="1"/>
  <c r="G586" i="3"/>
  <c r="BL427" i="3"/>
  <c r="BL456" i="3"/>
  <c r="BA459" i="3"/>
  <c r="AZ459" i="3" s="1"/>
  <c r="BL486" i="3"/>
  <c r="BA154" i="3"/>
  <c r="BL70" i="3"/>
  <c r="C21" i="68"/>
  <c r="E54" i="71"/>
  <c r="E55" i="71" s="1"/>
  <c r="U55" i="71" s="1"/>
  <c r="B66" i="71"/>
  <c r="B65" i="71" s="1"/>
  <c r="F39" i="34"/>
  <c r="S39" i="34" s="1"/>
  <c r="AZ388" i="3"/>
  <c r="AZ342" i="3"/>
  <c r="AZ343" i="3"/>
  <c r="BL499" i="3"/>
  <c r="BL531" i="3"/>
  <c r="BL553" i="3"/>
  <c r="AZ553" i="3" s="1"/>
  <c r="U13" i="33"/>
  <c r="H13" i="35"/>
  <c r="F31" i="33"/>
  <c r="J13" i="21"/>
  <c r="J25" i="34"/>
  <c r="AC25" i="34" s="1"/>
  <c r="AC11" i="40"/>
  <c r="J19" i="33"/>
  <c r="AC19" i="33" s="1"/>
  <c r="U8" i="35"/>
  <c r="G585" i="3"/>
  <c r="BL580" i="3"/>
  <c r="AZ580" i="3" s="1"/>
  <c r="BA559" i="3"/>
  <c r="BM5" i="3"/>
  <c r="G422" i="3"/>
  <c r="BL440" i="3"/>
  <c r="G450" i="3"/>
  <c r="G467" i="3"/>
  <c r="G366" i="3"/>
  <c r="G217" i="3"/>
  <c r="G218" i="3"/>
  <c r="BA222" i="3"/>
  <c r="G256" i="3"/>
  <c r="BA261" i="3"/>
  <c r="BA128" i="3"/>
  <c r="AZ128" i="3" s="1"/>
  <c r="G136" i="3"/>
  <c r="G148" i="3"/>
  <c r="G175" i="3"/>
  <c r="G188" i="3"/>
  <c r="G202" i="3"/>
  <c r="G52" i="3"/>
  <c r="G91" i="3"/>
  <c r="BA112" i="3"/>
  <c r="E108" i="43"/>
  <c r="B25" i="71"/>
  <c r="B26" i="71" s="1"/>
  <c r="B27" i="71" s="1"/>
  <c r="S27" i="71" s="1"/>
  <c r="V63" i="71"/>
  <c r="F66" i="71"/>
  <c r="F65" i="71" s="1"/>
  <c r="H9" i="36"/>
  <c r="BA516" i="3"/>
  <c r="BL494" i="3"/>
  <c r="BA427" i="3"/>
  <c r="BL483" i="3"/>
  <c r="BL330" i="3"/>
  <c r="AZ330" i="3" s="1"/>
  <c r="BA332" i="3"/>
  <c r="BA152" i="3"/>
  <c r="AZ152" i="3" s="1"/>
  <c r="BA70" i="3"/>
  <c r="AZ70" i="3" s="1"/>
  <c r="C42" i="71"/>
  <c r="D42" i="71" s="1"/>
  <c r="E46" i="71"/>
  <c r="E47" i="71" s="1"/>
  <c r="U47" i="71" s="1"/>
  <c r="AZ352" i="3"/>
  <c r="AZ326" i="3"/>
  <c r="BL503" i="3"/>
  <c r="C15" i="39"/>
  <c r="G583" i="3"/>
  <c r="BA581" i="3"/>
  <c r="BL575" i="3"/>
  <c r="G575" i="3"/>
  <c r="BA573" i="3"/>
  <c r="BA570" i="3"/>
  <c r="AZ570" i="3" s="1"/>
  <c r="BA565" i="3"/>
  <c r="G559" i="3"/>
  <c r="G407" i="3"/>
  <c r="BL410" i="3"/>
  <c r="G420" i="3"/>
  <c r="G435" i="3"/>
  <c r="BA440" i="3"/>
  <c r="BL481" i="3"/>
  <c r="AZ481" i="3" s="1"/>
  <c r="BL368" i="3"/>
  <c r="BL219" i="3"/>
  <c r="BA220" i="3"/>
  <c r="BL245" i="3"/>
  <c r="BL257" i="3"/>
  <c r="BA259" i="3"/>
  <c r="G267" i="3"/>
  <c r="BA126" i="3"/>
  <c r="BL191" i="3"/>
  <c r="AZ191" i="3" s="1"/>
  <c r="G50" i="3"/>
  <c r="BL92" i="3"/>
  <c r="S29" i="39"/>
  <c r="C81" i="71"/>
  <c r="D81" i="71" s="1"/>
  <c r="F44" i="39"/>
  <c r="BA425" i="3"/>
  <c r="BL437" i="3"/>
  <c r="G446" i="3"/>
  <c r="BL450" i="3"/>
  <c r="BA482" i="3"/>
  <c r="G491" i="3"/>
  <c r="G313" i="3"/>
  <c r="BL328" i="3"/>
  <c r="AZ328" i="3" s="1"/>
  <c r="G351" i="3"/>
  <c r="G226" i="3"/>
  <c r="BL230" i="3"/>
  <c r="BL272" i="3"/>
  <c r="G283" i="3"/>
  <c r="G120" i="3"/>
  <c r="G199" i="3"/>
  <c r="G48" i="3"/>
  <c r="BA67" i="3"/>
  <c r="G76" i="3"/>
  <c r="G102" i="3"/>
  <c r="BA109" i="3"/>
  <c r="C25" i="40"/>
  <c r="B59" i="71"/>
  <c r="S59" i="71" s="1"/>
  <c r="S27" i="35"/>
  <c r="U26" i="35"/>
  <c r="S26" i="35"/>
  <c r="J26" i="35"/>
  <c r="AC20" i="35"/>
  <c r="AB20" i="35"/>
  <c r="AA16" i="35"/>
  <c r="W16" i="35"/>
  <c r="U14" i="35"/>
  <c r="J25" i="33"/>
  <c r="AC25" i="33" s="1"/>
  <c r="F25" i="33"/>
  <c r="AA25" i="33" s="1"/>
  <c r="AA12" i="33"/>
  <c r="AC28" i="34"/>
  <c r="F28" i="34"/>
  <c r="AA28" i="34" s="1"/>
  <c r="W29" i="34"/>
  <c r="AA29" i="34"/>
  <c r="U29" i="34"/>
  <c r="AB42" i="34"/>
  <c r="AC42" i="34"/>
  <c r="AZ560" i="3"/>
  <c r="D126" i="9"/>
  <c r="I14" i="74" s="1"/>
  <c r="B8" i="74" s="1"/>
  <c r="AC9" i="21"/>
  <c r="AZ559" i="3"/>
  <c r="AZ565" i="3"/>
  <c r="S14" i="33"/>
  <c r="AA14" i="33"/>
  <c r="AC11" i="36"/>
  <c r="W11" i="36"/>
  <c r="F124" i="34"/>
  <c r="G124" i="34" s="1"/>
  <c r="H124" i="34" s="1"/>
  <c r="I124" i="34" s="1"/>
  <c r="J124" i="34" s="1"/>
  <c r="K124" i="34" s="1"/>
  <c r="L124" i="34" s="1"/>
  <c r="M124" i="34" s="1"/>
  <c r="H43" i="34"/>
  <c r="J29" i="33"/>
  <c r="F29" i="33"/>
  <c r="H45" i="33"/>
  <c r="F45" i="33"/>
  <c r="H30" i="34"/>
  <c r="J30" i="34"/>
  <c r="H13" i="37"/>
  <c r="AB13" i="37" s="1"/>
  <c r="J13" i="37"/>
  <c r="H38" i="37"/>
  <c r="F38" i="37"/>
  <c r="AA40" i="39"/>
  <c r="S40" i="39"/>
  <c r="H13" i="40"/>
  <c r="F13" i="40"/>
  <c r="AC32" i="40"/>
  <c r="W32" i="40"/>
  <c r="H40" i="40"/>
  <c r="J40" i="40"/>
  <c r="AA34" i="37"/>
  <c r="S34" i="37"/>
  <c r="BA569" i="3"/>
  <c r="AZ569" i="3" s="1"/>
  <c r="BA568" i="3"/>
  <c r="BA563" i="3"/>
  <c r="H84" i="43"/>
  <c r="H85" i="43"/>
  <c r="AA43" i="21"/>
  <c r="W41" i="21"/>
  <c r="AC11" i="33"/>
  <c r="AB29" i="33"/>
  <c r="AB17" i="37"/>
  <c r="AC12" i="35"/>
  <c r="AA11" i="35"/>
  <c r="AA10" i="35"/>
  <c r="S32" i="35"/>
  <c r="U10" i="36"/>
  <c r="AB20" i="36"/>
  <c r="AB14" i="36"/>
  <c r="AA26" i="36"/>
  <c r="U12" i="39"/>
  <c r="S15" i="39"/>
  <c r="U37" i="39"/>
  <c r="AC17" i="40"/>
  <c r="AC13" i="34"/>
  <c r="F43" i="34"/>
  <c r="S43" i="34" s="1"/>
  <c r="AC11" i="39"/>
  <c r="U43" i="21"/>
  <c r="AZ387" i="3"/>
  <c r="AZ373" i="3"/>
  <c r="AZ310" i="3"/>
  <c r="AZ382" i="3"/>
  <c r="AZ356" i="3"/>
  <c r="AZ355" i="3"/>
  <c r="AZ334" i="3"/>
  <c r="AZ305" i="3"/>
  <c r="AZ389" i="3"/>
  <c r="AZ376" i="3"/>
  <c r="AZ309" i="3"/>
  <c r="W9" i="39"/>
  <c r="W14" i="39"/>
  <c r="U12" i="37"/>
  <c r="F12" i="39"/>
  <c r="F36" i="35"/>
  <c r="AC46" i="21"/>
  <c r="W44" i="21"/>
  <c r="W44" i="33"/>
  <c r="W26" i="37"/>
  <c r="AC33" i="36"/>
  <c r="F32" i="40"/>
  <c r="F24" i="35"/>
  <c r="AZ533" i="3"/>
  <c r="AZ555" i="3"/>
  <c r="BL561" i="3"/>
  <c r="BL567" i="3"/>
  <c r="BL583" i="3"/>
  <c r="AZ583" i="3" s="1"/>
  <c r="G557" i="3"/>
  <c r="AZ527" i="3"/>
  <c r="AZ543" i="3"/>
  <c r="AZ547" i="3"/>
  <c r="AZ538" i="3"/>
  <c r="AZ534" i="3"/>
  <c r="H14" i="39"/>
  <c r="H28" i="37"/>
  <c r="F13" i="37"/>
  <c r="H11" i="35"/>
  <c r="H32" i="34"/>
  <c r="H14" i="34"/>
  <c r="J45" i="33"/>
  <c r="J31" i="33"/>
  <c r="F13" i="33"/>
  <c r="S13" i="33" s="1"/>
  <c r="J43" i="34"/>
  <c r="AC43" i="34" s="1"/>
  <c r="AC8" i="35"/>
  <c r="AB8" i="36"/>
  <c r="AB30" i="35"/>
  <c r="U30" i="35"/>
  <c r="AB34" i="21"/>
  <c r="U34" i="21"/>
  <c r="BA586" i="3"/>
  <c r="H30" i="21"/>
  <c r="J30" i="21"/>
  <c r="AA38" i="33"/>
  <c r="S38" i="33"/>
  <c r="E77" i="33"/>
  <c r="F77" i="33" s="1"/>
  <c r="G77" i="33" s="1"/>
  <c r="J15" i="33"/>
  <c r="AC15" i="33" s="1"/>
  <c r="H15" i="33"/>
  <c r="AB15" i="33" s="1"/>
  <c r="F28" i="33"/>
  <c r="AA28" i="33" s="1"/>
  <c r="H28" i="33"/>
  <c r="U28" i="33" s="1"/>
  <c r="J26" i="33"/>
  <c r="W26" i="33" s="1"/>
  <c r="F26" i="33"/>
  <c r="AA26" i="33" s="1"/>
  <c r="H12" i="34"/>
  <c r="J9" i="34"/>
  <c r="F9" i="34"/>
  <c r="AA9" i="34" s="1"/>
  <c r="E80" i="34"/>
  <c r="H17" i="34"/>
  <c r="J17" i="34"/>
  <c r="W17" i="34" s="1"/>
  <c r="E86" i="34"/>
  <c r="F86" i="34" s="1"/>
  <c r="G86" i="34" s="1"/>
  <c r="H23" i="34"/>
  <c r="U23" i="34" s="1"/>
  <c r="F109" i="34"/>
  <c r="G109" i="34" s="1"/>
  <c r="H109" i="34" s="1"/>
  <c r="I109" i="34" s="1"/>
  <c r="J109" i="34" s="1"/>
  <c r="K109" i="34" s="1"/>
  <c r="L109" i="34" s="1"/>
  <c r="M109" i="34" s="1"/>
  <c r="H36" i="34"/>
  <c r="U36" i="34" s="1"/>
  <c r="AC30" i="36"/>
  <c r="H13" i="36"/>
  <c r="F13" i="36"/>
  <c r="J24" i="36"/>
  <c r="H24" i="36"/>
  <c r="H34" i="36"/>
  <c r="J34" i="36"/>
  <c r="W34" i="36" s="1"/>
  <c r="F34" i="36"/>
  <c r="H33" i="36"/>
  <c r="F33" i="36"/>
  <c r="AA10" i="37"/>
  <c r="S10" i="37"/>
  <c r="F25" i="37"/>
  <c r="J43" i="39"/>
  <c r="H43" i="39"/>
  <c r="W9" i="40"/>
  <c r="AC9" i="40"/>
  <c r="AA34" i="40"/>
  <c r="S34" i="40"/>
  <c r="F40" i="40"/>
  <c r="BA515" i="3"/>
  <c r="AZ515" i="3" s="1"/>
  <c r="BA507" i="3"/>
  <c r="BL506" i="3"/>
  <c r="AZ506" i="3" s="1"/>
  <c r="BL504" i="3"/>
  <c r="AZ504" i="3" s="1"/>
  <c r="BA494" i="3"/>
  <c r="BA399" i="3"/>
  <c r="G401" i="3"/>
  <c r="BA403" i="3"/>
  <c r="AZ403" i="3" s="1"/>
  <c r="BL403" i="3"/>
  <c r="G404" i="3"/>
  <c r="BL407" i="3"/>
  <c r="BA412" i="3"/>
  <c r="BL413" i="3"/>
  <c r="G416" i="3"/>
  <c r="BA416" i="3"/>
  <c r="G417" i="3"/>
  <c r="BA417" i="3"/>
  <c r="G418" i="3"/>
  <c r="BL418" i="3"/>
  <c r="G419" i="3"/>
  <c r="BL420" i="3"/>
  <c r="G421" i="3"/>
  <c r="G424" i="3"/>
  <c r="BL426" i="3"/>
  <c r="G427" i="3"/>
  <c r="BA428" i="3"/>
  <c r="BL430" i="3"/>
  <c r="G431" i="3"/>
  <c r="BA432" i="3"/>
  <c r="G433" i="3"/>
  <c r="BA434" i="3"/>
  <c r="AZ434" i="3" s="1"/>
  <c r="BL436" i="3"/>
  <c r="G437" i="3"/>
  <c r="BL439" i="3"/>
  <c r="G442" i="3"/>
  <c r="BL442" i="3"/>
  <c r="G444" i="3"/>
  <c r="BL446" i="3"/>
  <c r="G447" i="3"/>
  <c r="BL449" i="3"/>
  <c r="G582" i="3"/>
  <c r="G578" i="3"/>
  <c r="BT5" i="3"/>
  <c r="BA577" i="3"/>
  <c r="BO5" i="3"/>
  <c r="BB5" i="3"/>
  <c r="BI5" i="3"/>
  <c r="BR5" i="3"/>
  <c r="G28" i="6" s="1"/>
  <c r="BA574" i="3"/>
  <c r="H5" i="3"/>
  <c r="BA572" i="3"/>
  <c r="AZ572" i="3" s="1"/>
  <c r="BL571" i="3"/>
  <c r="BC5" i="3"/>
  <c r="BK5" i="3"/>
  <c r="BL558" i="3"/>
  <c r="BL546" i="3"/>
  <c r="AZ546" i="3" s="1"/>
  <c r="BL544" i="3"/>
  <c r="BA544" i="3"/>
  <c r="BA541" i="3"/>
  <c r="AZ541" i="3" s="1"/>
  <c r="BA535" i="3"/>
  <c r="BA532" i="3"/>
  <c r="AZ532" i="3" s="1"/>
  <c r="S22" i="31"/>
  <c r="R22" i="31" s="1"/>
  <c r="G14" i="3"/>
  <c r="BL16" i="3"/>
  <c r="AZ16" i="3" s="1"/>
  <c r="BA409" i="3"/>
  <c r="BA411" i="3"/>
  <c r="BA414" i="3"/>
  <c r="BL415" i="3"/>
  <c r="BL431" i="3"/>
  <c r="BA441" i="3"/>
  <c r="BA449" i="3"/>
  <c r="BL452" i="3"/>
  <c r="BL451" i="3"/>
  <c r="G452" i="3"/>
  <c r="G456" i="3"/>
  <c r="BL457" i="3"/>
  <c r="G458" i="3"/>
  <c r="BA460" i="3"/>
  <c r="BL462" i="3"/>
  <c r="G465" i="3"/>
  <c r="G469" i="3"/>
  <c r="G473" i="3"/>
  <c r="G476" i="3"/>
  <c r="G479" i="3"/>
  <c r="BA480" i="3"/>
  <c r="G481" i="3"/>
  <c r="BA484" i="3"/>
  <c r="BL484" i="3"/>
  <c r="G485" i="3"/>
  <c r="G490" i="3"/>
  <c r="G492" i="3"/>
  <c r="G318" i="3"/>
  <c r="BA323" i="3"/>
  <c r="AZ323" i="3" s="1"/>
  <c r="BA331" i="3"/>
  <c r="AZ331" i="3" s="1"/>
  <c r="G345" i="3"/>
  <c r="G347" i="3"/>
  <c r="G362" i="3"/>
  <c r="G369" i="3"/>
  <c r="BA374" i="3"/>
  <c r="AZ374" i="3" s="1"/>
  <c r="G378" i="3"/>
  <c r="G382" i="3"/>
  <c r="G384" i="3"/>
  <c r="G395" i="3"/>
  <c r="BL396" i="3"/>
  <c r="BL209" i="3"/>
  <c r="BL211" i="3"/>
  <c r="G212" i="3"/>
  <c r="BA215" i="3"/>
  <c r="BA221" i="3"/>
  <c r="BL221" i="3"/>
  <c r="BA223" i="3"/>
  <c r="BL223" i="3"/>
  <c r="BA226" i="3"/>
  <c r="BL226" i="3"/>
  <c r="G227" i="3"/>
  <c r="G230" i="3"/>
  <c r="BA232" i="3"/>
  <c r="BA235" i="3"/>
  <c r="BL236" i="3"/>
  <c r="G237" i="3"/>
  <c r="G239" i="3"/>
  <c r="BA239" i="3"/>
  <c r="BL240" i="3"/>
  <c r="BL242" i="3"/>
  <c r="BA251" i="3"/>
  <c r="BA253" i="3"/>
  <c r="AZ253" i="3" s="1"/>
  <c r="BL253" i="3"/>
  <c r="G255" i="3"/>
  <c r="BA256" i="3"/>
  <c r="BL256" i="3"/>
  <c r="G257" i="3"/>
  <c r="BA258" i="3"/>
  <c r="BA260" i="3"/>
  <c r="G261" i="3"/>
  <c r="BA262" i="3"/>
  <c r="G263" i="3"/>
  <c r="G264" i="3"/>
  <c r="BA265" i="3"/>
  <c r="AZ265" i="3" s="1"/>
  <c r="BL265" i="3"/>
  <c r="G266" i="3"/>
  <c r="BA269" i="3"/>
  <c r="BL269" i="3"/>
  <c r="BL273" i="3"/>
  <c r="BA276" i="3"/>
  <c r="G282" i="3"/>
  <c r="G286" i="3"/>
  <c r="BL286" i="3"/>
  <c r="G288" i="3"/>
  <c r="BL288" i="3"/>
  <c r="G291" i="3"/>
  <c r="BA294" i="3"/>
  <c r="G295" i="3"/>
  <c r="BL299" i="3"/>
  <c r="G302" i="3"/>
  <c r="G114" i="3"/>
  <c r="G116" i="3"/>
  <c r="G119" i="3"/>
  <c r="BA121" i="3"/>
  <c r="BA122" i="3"/>
  <c r="BL122" i="3"/>
  <c r="G123" i="3"/>
  <c r="BA125" i="3"/>
  <c r="G126" i="3"/>
  <c r="G127" i="3"/>
  <c r="BA129" i="3"/>
  <c r="G131" i="3"/>
  <c r="G135" i="3"/>
  <c r="G143" i="3"/>
  <c r="BA146" i="3"/>
  <c r="BL147" i="3"/>
  <c r="AZ147" i="3" s="1"/>
  <c r="BL150" i="3"/>
  <c r="BA153" i="3"/>
  <c r="BL153" i="3"/>
  <c r="BA157" i="3"/>
  <c r="G158" i="3"/>
  <c r="BA158" i="3"/>
  <c r="BA161" i="3"/>
  <c r="G163" i="3"/>
  <c r="BA165" i="3"/>
  <c r="G166" i="3"/>
  <c r="BL167" i="3"/>
  <c r="AZ167" i="3" s="1"/>
  <c r="G172" i="3"/>
  <c r="G174" i="3"/>
  <c r="BL174" i="3"/>
  <c r="G179" i="3"/>
  <c r="BA181" i="3"/>
  <c r="G187" i="3"/>
  <c r="G192" i="3"/>
  <c r="BA192" i="3"/>
  <c r="AZ192" i="3" s="1"/>
  <c r="BL194" i="3"/>
  <c r="G196" i="3"/>
  <c r="G203" i="3"/>
  <c r="G205" i="3"/>
  <c r="BL206" i="3"/>
  <c r="G207" i="3"/>
  <c r="G27" i="3"/>
  <c r="BA30" i="3"/>
  <c r="G31" i="3"/>
  <c r="G33" i="3"/>
  <c r="G36" i="3"/>
  <c r="BA37" i="3"/>
  <c r="BL39" i="3"/>
  <c r="BA41" i="3"/>
  <c r="BL45" i="3"/>
  <c r="BL48" i="3"/>
  <c r="G49" i="3"/>
  <c r="C30" i="71"/>
  <c r="D29" i="71"/>
  <c r="C46" i="71"/>
  <c r="D45" i="71"/>
  <c r="BA464" i="3"/>
  <c r="BA474" i="3"/>
  <c r="BL487" i="3"/>
  <c r="BL324" i="3"/>
  <c r="AZ324" i="3" s="1"/>
  <c r="BA339" i="3"/>
  <c r="AZ339" i="3" s="1"/>
  <c r="BL381" i="3"/>
  <c r="AZ381" i="3" s="1"/>
  <c r="BA385" i="3"/>
  <c r="BA392" i="3"/>
  <c r="AZ392" i="3" s="1"/>
  <c r="BL393" i="3"/>
  <c r="AZ393" i="3" s="1"/>
  <c r="BL395" i="3"/>
  <c r="BL208" i="3"/>
  <c r="BA214" i="3"/>
  <c r="BL216" i="3"/>
  <c r="BA229" i="3"/>
  <c r="AZ229" i="3" s="1"/>
  <c r="BL243" i="3"/>
  <c r="BA268" i="3"/>
  <c r="AZ268" i="3" s="1"/>
  <c r="BA278" i="3"/>
  <c r="BA284" i="3"/>
  <c r="BL285" i="3"/>
  <c r="BL287" i="3"/>
  <c r="BL291" i="3"/>
  <c r="BA295" i="3"/>
  <c r="BL298" i="3"/>
  <c r="BL300" i="3"/>
  <c r="BL139" i="3"/>
  <c r="AZ139" i="3" s="1"/>
  <c r="BA142" i="3"/>
  <c r="BA156" i="3"/>
  <c r="AZ156" i="3" s="1"/>
  <c r="BL159" i="3"/>
  <c r="AZ159" i="3" s="1"/>
  <c r="BA164" i="3"/>
  <c r="AZ164" i="3" s="1"/>
  <c r="BA170" i="3"/>
  <c r="BA180" i="3"/>
  <c r="AZ180" i="3" s="1"/>
  <c r="BL183" i="3"/>
  <c r="AZ183" i="3" s="1"/>
  <c r="BL193" i="3"/>
  <c r="BA201" i="3"/>
  <c r="BL203" i="3"/>
  <c r="AZ203" i="3" s="1"/>
  <c r="BL205" i="3"/>
  <c r="BL38" i="3"/>
  <c r="BL73" i="3"/>
  <c r="BL75" i="3"/>
  <c r="BL88" i="3"/>
  <c r="BA106" i="3"/>
  <c r="G19" i="77"/>
  <c r="C7" i="81"/>
  <c r="C59" i="81" s="1"/>
  <c r="C7" i="80"/>
  <c r="C58" i="80" s="1"/>
  <c r="X22" i="71"/>
  <c r="Y31" i="71"/>
  <c r="Z31" i="71" s="1"/>
  <c r="F54" i="71"/>
  <c r="F55" i="71" s="1"/>
  <c r="V55" i="71" s="1"/>
  <c r="AI10" i="43"/>
  <c r="P61" i="15"/>
  <c r="P61" i="67"/>
  <c r="BA49" i="3"/>
  <c r="G53" i="3"/>
  <c r="G57" i="3"/>
  <c r="BA57" i="3"/>
  <c r="BA62" i="3"/>
  <c r="G63" i="3"/>
  <c r="BA63" i="3"/>
  <c r="AZ63" i="3" s="1"/>
  <c r="BL64" i="3"/>
  <c r="G65" i="3"/>
  <c r="G66" i="3"/>
  <c r="G67" i="3"/>
  <c r="G70" i="3"/>
  <c r="G71" i="3"/>
  <c r="G72" i="3"/>
  <c r="BL74" i="3"/>
  <c r="G75" i="3"/>
  <c r="BA76" i="3"/>
  <c r="BA83" i="3"/>
  <c r="BA86" i="3"/>
  <c r="BL87" i="3"/>
  <c r="BL89" i="3"/>
  <c r="BA92" i="3"/>
  <c r="BA94" i="3"/>
  <c r="G95" i="3"/>
  <c r="G96" i="3"/>
  <c r="G98" i="3"/>
  <c r="BA99" i="3"/>
  <c r="BL100" i="3"/>
  <c r="G101" i="3"/>
  <c r="G103" i="3"/>
  <c r="G106" i="3"/>
  <c r="G108" i="3"/>
  <c r="BL108" i="3"/>
  <c r="G109" i="3"/>
  <c r="G111" i="3"/>
  <c r="L100" i="43"/>
  <c r="K108" i="43"/>
  <c r="I20" i="66"/>
  <c r="W18" i="36"/>
  <c r="U25" i="40"/>
  <c r="U18" i="36"/>
  <c r="AA21" i="21"/>
  <c r="B31" i="71"/>
  <c r="S31" i="71" s="1"/>
  <c r="AB20" i="71"/>
  <c r="Y27" i="71"/>
  <c r="Z27" i="71" s="1"/>
  <c r="X20" i="71"/>
  <c r="E38" i="71"/>
  <c r="E39" i="71" s="1"/>
  <c r="U39" i="71" s="1"/>
  <c r="C58" i="71"/>
  <c r="AA47" i="34"/>
  <c r="J35" i="33"/>
  <c r="W35" i="33" s="1"/>
  <c r="H35" i="33"/>
  <c r="U35" i="33" s="1"/>
  <c r="F35" i="33"/>
  <c r="AA35" i="33" s="1"/>
  <c r="C27" i="39"/>
  <c r="AA43" i="34"/>
  <c r="AC38" i="34"/>
  <c r="W37" i="34"/>
  <c r="S39" i="33"/>
  <c r="U39" i="33"/>
  <c r="U43" i="33"/>
  <c r="S43" i="33"/>
  <c r="W43" i="33"/>
  <c r="S28" i="33"/>
  <c r="AC28" i="33"/>
  <c r="AB28" i="33"/>
  <c r="AA27" i="33"/>
  <c r="AC27" i="33"/>
  <c r="AB27" i="33"/>
  <c r="AA36" i="33"/>
  <c r="AA37" i="33"/>
  <c r="AB37" i="33"/>
  <c r="AC37" i="33"/>
  <c r="W34" i="33"/>
  <c r="AA34" i="33"/>
  <c r="AB34" i="33"/>
  <c r="U11" i="33"/>
  <c r="S25" i="33"/>
  <c r="U25" i="33"/>
  <c r="U23" i="33"/>
  <c r="W23" i="33"/>
  <c r="AC21" i="33"/>
  <c r="U19" i="33"/>
  <c r="AA19" i="33"/>
  <c r="W19" i="33"/>
  <c r="AA17" i="33"/>
  <c r="U17" i="33"/>
  <c r="AC17" i="33"/>
  <c r="S15" i="33"/>
  <c r="AC45" i="34"/>
  <c r="AB45" i="34"/>
  <c r="S33" i="34"/>
  <c r="AB33" i="34"/>
  <c r="W8" i="33"/>
  <c r="U8" i="33"/>
  <c r="S8" i="33"/>
  <c r="S42" i="34"/>
  <c r="AC44" i="34"/>
  <c r="U44" i="34"/>
  <c r="W43" i="34"/>
  <c r="AA40" i="34"/>
  <c r="W35" i="34"/>
  <c r="S35" i="34"/>
  <c r="AZ501" i="3"/>
  <c r="B38" i="72"/>
  <c r="D20" i="53"/>
  <c r="B40" i="72" s="1"/>
  <c r="F29" i="6"/>
  <c r="S20" i="35"/>
  <c r="BP5" i="3"/>
  <c r="BF5" i="3"/>
  <c r="AZ336" i="3"/>
  <c r="AZ311" i="3"/>
  <c r="G573" i="3"/>
  <c r="AZ503" i="3"/>
  <c r="BA571" i="3"/>
  <c r="AZ524" i="3"/>
  <c r="BL576" i="3"/>
  <c r="AB46" i="33"/>
  <c r="W39" i="33"/>
  <c r="AC39" i="33"/>
  <c r="C7" i="43"/>
  <c r="BH5" i="3"/>
  <c r="AZ379" i="3"/>
  <c r="AZ573" i="3"/>
  <c r="AC33" i="37"/>
  <c r="W33" i="37"/>
  <c r="S39" i="37"/>
  <c r="AA39" i="37"/>
  <c r="AB9" i="36"/>
  <c r="U9" i="36"/>
  <c r="AZ516" i="3"/>
  <c r="AZ507" i="3"/>
  <c r="AZ494" i="3"/>
  <c r="AQ13" i="1"/>
  <c r="AB13" i="39"/>
  <c r="U23" i="21"/>
  <c r="U36" i="33"/>
  <c r="AC19" i="37"/>
  <c r="S32" i="21"/>
  <c r="AA19" i="37"/>
  <c r="AB9" i="35"/>
  <c r="AC26" i="21"/>
  <c r="W33" i="34"/>
  <c r="H53" i="43"/>
  <c r="S23" i="35"/>
  <c r="AB19" i="40"/>
  <c r="U35" i="40"/>
  <c r="AZ327" i="3"/>
  <c r="AZ511" i="3"/>
  <c r="BA575" i="3"/>
  <c r="AZ528" i="3"/>
  <c r="AZ584" i="3"/>
  <c r="AC22" i="35"/>
  <c r="W22" i="35"/>
  <c r="AZ535" i="3"/>
  <c r="H49" i="43"/>
  <c r="W23" i="37"/>
  <c r="U30" i="40"/>
  <c r="AC14" i="34"/>
  <c r="AB33" i="21"/>
  <c r="U28" i="34"/>
  <c r="AA9" i="37"/>
  <c r="AA25" i="35"/>
  <c r="S25" i="39"/>
  <c r="AZ329" i="3"/>
  <c r="AZ566" i="3"/>
  <c r="AZ530" i="3"/>
  <c r="AA14" i="37"/>
  <c r="U12" i="33"/>
  <c r="AB12" i="33"/>
  <c r="AC28" i="35"/>
  <c r="W28" i="35"/>
  <c r="F46" i="34"/>
  <c r="S46" i="34" s="1"/>
  <c r="J46" i="34"/>
  <c r="AA10" i="36"/>
  <c r="S10" i="36"/>
  <c r="AZ568" i="3"/>
  <c r="G562" i="3"/>
  <c r="AC32" i="39"/>
  <c r="H48" i="43"/>
  <c r="AC13" i="40"/>
  <c r="AZ561" i="3"/>
  <c r="AZ552" i="3"/>
  <c r="AZ587" i="3"/>
  <c r="U12" i="35"/>
  <c r="AB12" i="35"/>
  <c r="W27" i="35"/>
  <c r="AC27" i="35"/>
  <c r="H35" i="39"/>
  <c r="F35" i="39"/>
  <c r="W10" i="34"/>
  <c r="AB32" i="39"/>
  <c r="H51" i="43"/>
  <c r="S11" i="33"/>
  <c r="AC34" i="37"/>
  <c r="H56" i="43"/>
  <c r="AC11" i="21"/>
  <c r="AC15" i="37"/>
  <c r="AA19" i="40"/>
  <c r="S10" i="33"/>
  <c r="BE5" i="3"/>
  <c r="AZ313" i="3"/>
  <c r="AZ380" i="3"/>
  <c r="AZ341" i="3"/>
  <c r="AZ523" i="3"/>
  <c r="BL574" i="3"/>
  <c r="AB31" i="33"/>
  <c r="AB11" i="36"/>
  <c r="AA31" i="36"/>
  <c r="S31" i="36"/>
  <c r="J33" i="40"/>
  <c r="H33" i="40"/>
  <c r="D125" i="9"/>
  <c r="D11" i="52" s="1"/>
  <c r="H55" i="43"/>
  <c r="AZ512" i="3"/>
  <c r="AZ536" i="3"/>
  <c r="BA576" i="3"/>
  <c r="J28" i="21"/>
  <c r="H28" i="21"/>
  <c r="F28" i="21"/>
  <c r="G17" i="43"/>
  <c r="D17" i="53"/>
  <c r="B36" i="72" s="1"/>
  <c r="AA23" i="33"/>
  <c r="AC10" i="37"/>
  <c r="AA29" i="21"/>
  <c r="AC13" i="33"/>
  <c r="BQ5" i="3"/>
  <c r="F28" i="6" s="1"/>
  <c r="AZ369" i="3"/>
  <c r="AZ357" i="3"/>
  <c r="AZ377" i="3"/>
  <c r="AZ364" i="3"/>
  <c r="AZ351" i="3"/>
  <c r="AZ304" i="3"/>
  <c r="BL577" i="3"/>
  <c r="AZ577" i="3" s="1"/>
  <c r="AZ495" i="3"/>
  <c r="AZ514" i="3"/>
  <c r="AZ578" i="3"/>
  <c r="AC35" i="39"/>
  <c r="W35" i="39"/>
  <c r="B71" i="43"/>
  <c r="C21" i="39"/>
  <c r="H12" i="36"/>
  <c r="J12" i="36"/>
  <c r="F12" i="36"/>
  <c r="AB14" i="37"/>
  <c r="U14" i="37"/>
  <c r="AA38" i="40"/>
  <c r="S38" i="40"/>
  <c r="U23" i="37"/>
  <c r="AZ318" i="3"/>
  <c r="AZ518" i="3"/>
  <c r="AA40" i="21"/>
  <c r="S40" i="21"/>
  <c r="AA9" i="33"/>
  <c r="S9" i="33"/>
  <c r="H54" i="43"/>
  <c r="T13" i="1"/>
  <c r="AB8" i="34"/>
  <c r="U32" i="37"/>
  <c r="AZ390" i="3"/>
  <c r="AZ338" i="3"/>
  <c r="AZ499" i="3"/>
  <c r="AZ531" i="3"/>
  <c r="AZ520" i="3"/>
  <c r="AZ582" i="3"/>
  <c r="W11" i="35"/>
  <c r="AA41" i="33"/>
  <c r="H9" i="33"/>
  <c r="J9" i="33"/>
  <c r="AC28" i="36"/>
  <c r="W28" i="36"/>
  <c r="F32" i="36"/>
  <c r="J32" i="36"/>
  <c r="U39" i="40"/>
  <c r="AB39" i="40"/>
  <c r="AB27" i="37"/>
  <c r="W16" i="36"/>
  <c r="AC16" i="36"/>
  <c r="S38" i="39"/>
  <c r="BL585" i="3"/>
  <c r="AZ585" i="3" s="1"/>
  <c r="J23" i="35"/>
  <c r="J25" i="37"/>
  <c r="AZ418" i="3"/>
  <c r="J45" i="39"/>
  <c r="G402" i="3"/>
  <c r="BA422" i="3"/>
  <c r="AZ422" i="3" s="1"/>
  <c r="BA424" i="3"/>
  <c r="BA426" i="3"/>
  <c r="AZ426" i="3" s="1"/>
  <c r="BL428" i="3"/>
  <c r="AZ428" i="3" s="1"/>
  <c r="BA431" i="3"/>
  <c r="AZ431" i="3" s="1"/>
  <c r="BL435" i="3"/>
  <c r="BL438" i="3"/>
  <c r="BL443" i="3"/>
  <c r="BA453" i="3"/>
  <c r="BA456" i="3"/>
  <c r="AZ456" i="3" s="1"/>
  <c r="BA457" i="3"/>
  <c r="AZ457" i="3" s="1"/>
  <c r="BA458" i="3"/>
  <c r="BL460" i="3"/>
  <c r="BA465" i="3"/>
  <c r="BL466" i="3"/>
  <c r="BA316" i="3"/>
  <c r="BA240" i="3"/>
  <c r="AZ240" i="3" s="1"/>
  <c r="BL250" i="3"/>
  <c r="AA29" i="71"/>
  <c r="AA30" i="71"/>
  <c r="AA31" i="71"/>
  <c r="AA26" i="71"/>
  <c r="C54" i="71"/>
  <c r="D53" i="71"/>
  <c r="F26" i="37"/>
  <c r="BL548" i="3"/>
  <c r="BA421" i="3"/>
  <c r="BA430" i="3"/>
  <c r="BL441" i="3"/>
  <c r="AZ441" i="3" s="1"/>
  <c r="BA445" i="3"/>
  <c r="BA446" i="3"/>
  <c r="AZ446" i="3" s="1"/>
  <c r="BA448" i="3"/>
  <c r="AZ448" i="3" s="1"/>
  <c r="C22" i="71"/>
  <c r="D23" i="71"/>
  <c r="U23" i="71" s="1"/>
  <c r="T23" i="71"/>
  <c r="BL557" i="3"/>
  <c r="AZ562" i="3"/>
  <c r="AC34" i="36"/>
  <c r="F45" i="39"/>
  <c r="F12" i="35"/>
  <c r="H26" i="37"/>
  <c r="G410" i="3"/>
  <c r="G412" i="3"/>
  <c r="BA435" i="3"/>
  <c r="AZ435" i="3" s="1"/>
  <c r="BA436" i="3"/>
  <c r="AZ436" i="3" s="1"/>
  <c r="BA437" i="3"/>
  <c r="BA438" i="3"/>
  <c r="AZ438" i="3" s="1"/>
  <c r="BA439" i="3"/>
  <c r="AZ439" i="3" s="1"/>
  <c r="BA442" i="3"/>
  <c r="AZ442" i="3" s="1"/>
  <c r="BA450" i="3"/>
  <c r="AZ450" i="3" s="1"/>
  <c r="BA488" i="3"/>
  <c r="BL312" i="3"/>
  <c r="AZ312" i="3" s="1"/>
  <c r="BA335" i="3"/>
  <c r="AZ335" i="3" s="1"/>
  <c r="BL365" i="3"/>
  <c r="AZ365" i="3" s="1"/>
  <c r="BA366" i="3"/>
  <c r="AZ366" i="3" s="1"/>
  <c r="G208" i="3"/>
  <c r="BA233" i="3"/>
  <c r="BA234" i="3"/>
  <c r="BL248" i="3"/>
  <c r="BA272" i="3"/>
  <c r="AZ272" i="3" s="1"/>
  <c r="AB8" i="39"/>
  <c r="U31" i="36"/>
  <c r="J12" i="34"/>
  <c r="F9" i="36"/>
  <c r="H38" i="40"/>
  <c r="G551" i="3"/>
  <c r="G414" i="3"/>
  <c r="BL444" i="3"/>
  <c r="G471" i="3"/>
  <c r="BL479" i="3"/>
  <c r="AZ479" i="3" s="1"/>
  <c r="BL482" i="3"/>
  <c r="AZ482" i="3" s="1"/>
  <c r="BL333" i="3"/>
  <c r="BA213" i="3"/>
  <c r="BA217" i="3"/>
  <c r="BL247" i="3"/>
  <c r="BL401" i="3"/>
  <c r="BL476" i="3"/>
  <c r="BA487" i="3"/>
  <c r="AZ487" i="3" s="1"/>
  <c r="G274" i="3"/>
  <c r="BA137" i="3"/>
  <c r="BA198" i="3"/>
  <c r="AB26" i="33"/>
  <c r="H37" i="34"/>
  <c r="BL586" i="3"/>
  <c r="AZ586" i="3" s="1"/>
  <c r="BL398" i="3"/>
  <c r="BL400" i="3"/>
  <c r="BA402" i="3"/>
  <c r="BL404" i="3"/>
  <c r="BL406" i="3"/>
  <c r="BL473" i="3"/>
  <c r="BL475" i="3"/>
  <c r="BA478" i="3"/>
  <c r="BL386" i="3"/>
  <c r="BL293" i="3"/>
  <c r="BL135" i="3"/>
  <c r="AZ135" i="3" s="1"/>
  <c r="BL178" i="3"/>
  <c r="BA401" i="3"/>
  <c r="AZ401" i="3" s="1"/>
  <c r="BL409" i="3"/>
  <c r="AZ409" i="3" s="1"/>
  <c r="BL411" i="3"/>
  <c r="BL412" i="3"/>
  <c r="AZ412" i="3" s="1"/>
  <c r="G423" i="3"/>
  <c r="G425" i="3"/>
  <c r="G454" i="3"/>
  <c r="G455" i="3"/>
  <c r="BL472" i="3"/>
  <c r="BL477" i="3"/>
  <c r="BL317" i="3"/>
  <c r="BA319" i="3"/>
  <c r="AZ319" i="3" s="1"/>
  <c r="BA210" i="3"/>
  <c r="BA281" i="3"/>
  <c r="BL177" i="3"/>
  <c r="BL550" i="3"/>
  <c r="BA398" i="3"/>
  <c r="BA400" i="3"/>
  <c r="BA405" i="3"/>
  <c r="AZ405" i="3" s="1"/>
  <c r="BA406" i="3"/>
  <c r="BA407" i="3"/>
  <c r="AZ407" i="3" s="1"/>
  <c r="BA408" i="3"/>
  <c r="AZ408" i="3" s="1"/>
  <c r="BA410" i="3"/>
  <c r="AZ410" i="3" s="1"/>
  <c r="BL414" i="3"/>
  <c r="G463" i="3"/>
  <c r="BA473" i="3"/>
  <c r="BA477" i="3"/>
  <c r="BA486" i="3"/>
  <c r="AZ486" i="3" s="1"/>
  <c r="BA349" i="3"/>
  <c r="AZ349" i="3" s="1"/>
  <c r="BL222" i="3"/>
  <c r="BA231" i="3"/>
  <c r="BA244" i="3"/>
  <c r="BA279" i="3"/>
  <c r="BA296" i="3"/>
  <c r="F37" i="34"/>
  <c r="G574" i="3"/>
  <c r="BA413" i="3"/>
  <c r="AZ413" i="3" s="1"/>
  <c r="BL416" i="3"/>
  <c r="AZ416" i="3" s="1"/>
  <c r="G429" i="3"/>
  <c r="G445" i="3"/>
  <c r="G461" i="3"/>
  <c r="BL470" i="3"/>
  <c r="BA471" i="3"/>
  <c r="BA472" i="3"/>
  <c r="BA476" i="3"/>
  <c r="BL359" i="3"/>
  <c r="AZ359" i="3" s="1"/>
  <c r="BL383" i="3"/>
  <c r="AZ383" i="3" s="1"/>
  <c r="BA292" i="3"/>
  <c r="BA33" i="3"/>
  <c r="G566" i="3"/>
  <c r="BA551" i="3"/>
  <c r="AZ551" i="3" s="1"/>
  <c r="BA550" i="3"/>
  <c r="BA415" i="3"/>
  <c r="AZ415" i="3" s="1"/>
  <c r="BL417" i="3"/>
  <c r="AZ417" i="3" s="1"/>
  <c r="BL468" i="3"/>
  <c r="G488" i="3"/>
  <c r="BL314" i="3"/>
  <c r="AZ314" i="3" s="1"/>
  <c r="G323" i="3"/>
  <c r="BA358" i="3"/>
  <c r="AZ358" i="3" s="1"/>
  <c r="BA118" i="3"/>
  <c r="BL173" i="3"/>
  <c r="J44" i="39"/>
  <c r="G558" i="3"/>
  <c r="G542" i="3"/>
  <c r="BL419" i="3"/>
  <c r="BL421" i="3"/>
  <c r="BL424" i="3"/>
  <c r="BL425" i="3"/>
  <c r="AZ425" i="3" s="1"/>
  <c r="BL454" i="3"/>
  <c r="AZ454" i="3" s="1"/>
  <c r="BL455" i="3"/>
  <c r="BL458" i="3"/>
  <c r="BL464" i="3"/>
  <c r="AZ464" i="3" s="1"/>
  <c r="BA467" i="3"/>
  <c r="G487" i="3"/>
  <c r="BL491" i="3"/>
  <c r="BA370" i="3"/>
  <c r="AZ370" i="3" s="1"/>
  <c r="BA397" i="3"/>
  <c r="G232" i="3"/>
  <c r="BL238" i="3"/>
  <c r="BA241" i="3"/>
  <c r="BL251" i="3"/>
  <c r="AZ251" i="3" s="1"/>
  <c r="BA289" i="3"/>
  <c r="BL290" i="3"/>
  <c r="BL127" i="3"/>
  <c r="AZ127" i="3" s="1"/>
  <c r="BA176" i="3"/>
  <c r="AZ176" i="3" s="1"/>
  <c r="AZ226" i="3"/>
  <c r="AZ228" i="3"/>
  <c r="AZ255" i="3"/>
  <c r="AZ264" i="3"/>
  <c r="G146" i="3"/>
  <c r="G147" i="3"/>
  <c r="G183" i="3"/>
  <c r="BL187" i="3"/>
  <c r="AZ187" i="3" s="1"/>
  <c r="BL35" i="3"/>
  <c r="BL42" i="3"/>
  <c r="BL44" i="3"/>
  <c r="BA45" i="3"/>
  <c r="AZ45" i="3" s="1"/>
  <c r="BL69" i="3"/>
  <c r="BA71" i="3"/>
  <c r="BA81" i="3"/>
  <c r="BA483" i="3"/>
  <c r="AZ483" i="3" s="1"/>
  <c r="BA307" i="3"/>
  <c r="AZ307" i="3" s="1"/>
  <c r="BA350" i="3"/>
  <c r="AZ350" i="3" s="1"/>
  <c r="BL397" i="3"/>
  <c r="BL231" i="3"/>
  <c r="AZ122" i="3"/>
  <c r="AZ153" i="3"/>
  <c r="BA188" i="3"/>
  <c r="AZ188" i="3" s="1"/>
  <c r="BA43" i="3"/>
  <c r="BA44" i="3"/>
  <c r="BL68" i="3"/>
  <c r="AA25" i="40"/>
  <c r="S25" i="40"/>
  <c r="BA461" i="3"/>
  <c r="AZ461" i="3" s="1"/>
  <c r="BA462" i="3"/>
  <c r="AZ462" i="3" s="1"/>
  <c r="BA463" i="3"/>
  <c r="AZ463" i="3" s="1"/>
  <c r="BL465" i="3"/>
  <c r="BA485" i="3"/>
  <c r="AZ485" i="3" s="1"/>
  <c r="BA395" i="3"/>
  <c r="AZ395" i="3" s="1"/>
  <c r="BA396" i="3"/>
  <c r="AZ396" i="3" s="1"/>
  <c r="BL210" i="3"/>
  <c r="BA230" i="3"/>
  <c r="AZ230" i="3" s="1"/>
  <c r="BL232" i="3"/>
  <c r="AZ232" i="3" s="1"/>
  <c r="BA270" i="3"/>
  <c r="AZ270" i="3" s="1"/>
  <c r="BA271" i="3"/>
  <c r="AZ271" i="3" s="1"/>
  <c r="BL277" i="3"/>
  <c r="BL278" i="3"/>
  <c r="BL283" i="3"/>
  <c r="BL284" i="3"/>
  <c r="AZ284" i="3" s="1"/>
  <c r="BA120" i="3"/>
  <c r="AZ120" i="3" s="1"/>
  <c r="BL149" i="3"/>
  <c r="BL185" i="3"/>
  <c r="BL18" i="3"/>
  <c r="BL31" i="3"/>
  <c r="BA40" i="3"/>
  <c r="BL98" i="3"/>
  <c r="BL111" i="3"/>
  <c r="E61" i="71"/>
  <c r="P62" i="71"/>
  <c r="G406" i="3"/>
  <c r="G408" i="3"/>
  <c r="G409" i="3"/>
  <c r="BA419" i="3"/>
  <c r="BA420" i="3"/>
  <c r="AZ420" i="3" s="1"/>
  <c r="BL445" i="3"/>
  <c r="BL467" i="3"/>
  <c r="BL469" i="3"/>
  <c r="BL488" i="3"/>
  <c r="BA208" i="3"/>
  <c r="AZ208" i="3" s="1"/>
  <c r="BA209" i="3"/>
  <c r="AZ209" i="3" s="1"/>
  <c r="BL212" i="3"/>
  <c r="BL233" i="3"/>
  <c r="BA273" i="3"/>
  <c r="AZ273" i="3" s="1"/>
  <c r="BA274" i="3"/>
  <c r="AZ274" i="3" s="1"/>
  <c r="BA275" i="3"/>
  <c r="AZ275" i="3" s="1"/>
  <c r="BL279" i="3"/>
  <c r="BL280" i="3"/>
  <c r="BL282" i="3"/>
  <c r="BL289" i="3"/>
  <c r="BL115" i="3"/>
  <c r="AZ115" i="3" s="1"/>
  <c r="BA117" i="3"/>
  <c r="AZ117" i="3" s="1"/>
  <c r="BA150" i="3"/>
  <c r="AZ150" i="3" s="1"/>
  <c r="BL175" i="3"/>
  <c r="AZ175" i="3" s="1"/>
  <c r="BL179" i="3"/>
  <c r="AZ179" i="3" s="1"/>
  <c r="BA186" i="3"/>
  <c r="BL29" i="3"/>
  <c r="BL30" i="3"/>
  <c r="BA42" i="3"/>
  <c r="BL110" i="3"/>
  <c r="C34" i="71"/>
  <c r="D33" i="71"/>
  <c r="E18" i="71"/>
  <c r="E17" i="71" s="1"/>
  <c r="E16" i="71" s="1"/>
  <c r="E15" i="71" s="1"/>
  <c r="E14" i="71" s="1"/>
  <c r="E13" i="71" s="1"/>
  <c r="E12" i="71" s="1"/>
  <c r="E11" i="71" s="1"/>
  <c r="V19" i="71"/>
  <c r="BL399" i="3"/>
  <c r="BL402" i="3"/>
  <c r="G411" i="3"/>
  <c r="BL423" i="3"/>
  <c r="G430" i="3"/>
  <c r="BA443" i="3"/>
  <c r="BA444" i="3"/>
  <c r="G451" i="3"/>
  <c r="G453" i="3"/>
  <c r="BA466" i="3"/>
  <c r="BL471" i="3"/>
  <c r="G478" i="3"/>
  <c r="BL492" i="3"/>
  <c r="G311" i="3"/>
  <c r="BL340" i="3"/>
  <c r="AZ340" i="3" s="1"/>
  <c r="BL363" i="3"/>
  <c r="AZ363" i="3" s="1"/>
  <c r="BL367" i="3"/>
  <c r="AZ367" i="3" s="1"/>
  <c r="G380" i="3"/>
  <c r="BA211" i="3"/>
  <c r="AZ211" i="3" s="1"/>
  <c r="BL213" i="3"/>
  <c r="BL234" i="3"/>
  <c r="G241" i="3"/>
  <c r="G242" i="3"/>
  <c r="G243" i="3"/>
  <c r="G244" i="3"/>
  <c r="BA277" i="3"/>
  <c r="BA283" i="3"/>
  <c r="AZ283" i="3" s="1"/>
  <c r="BA285" i="3"/>
  <c r="BA286" i="3"/>
  <c r="AZ286" i="3" s="1"/>
  <c r="BA287" i="3"/>
  <c r="BA288" i="3"/>
  <c r="AZ288" i="3" s="1"/>
  <c r="BL292" i="3"/>
  <c r="BL114" i="3"/>
  <c r="BA116" i="3"/>
  <c r="AZ116" i="3" s="1"/>
  <c r="BL146" i="3"/>
  <c r="BA149" i="3"/>
  <c r="AZ149" i="3" s="1"/>
  <c r="BL169" i="3"/>
  <c r="BL182" i="3"/>
  <c r="BA185" i="3"/>
  <c r="AZ185" i="3" s="1"/>
  <c r="BL28" i="3"/>
  <c r="BA32" i="3"/>
  <c r="BL61" i="3"/>
  <c r="BA65" i="3"/>
  <c r="BA66" i="3"/>
  <c r="BL91" i="3"/>
  <c r="BA93" i="3"/>
  <c r="BA97" i="3"/>
  <c r="BL109" i="3"/>
  <c r="AZ109" i="3" s="1"/>
  <c r="BA111" i="3"/>
  <c r="C31" i="71"/>
  <c r="D30" i="71"/>
  <c r="G432" i="3"/>
  <c r="BL447" i="3"/>
  <c r="AZ447" i="3" s="1"/>
  <c r="BA468" i="3"/>
  <c r="BA469" i="3"/>
  <c r="BA470" i="3"/>
  <c r="BL474" i="3"/>
  <c r="AZ474" i="3" s="1"/>
  <c r="G480" i="3"/>
  <c r="BA489" i="3"/>
  <c r="AZ489" i="3" s="1"/>
  <c r="BA490" i="3"/>
  <c r="BA491" i="3"/>
  <c r="BA303" i="3"/>
  <c r="AZ303" i="3" s="1"/>
  <c r="BL316" i="3"/>
  <c r="G334" i="3"/>
  <c r="BA368" i="3"/>
  <c r="AZ368" i="3" s="1"/>
  <c r="BL385" i="3"/>
  <c r="BL214" i="3"/>
  <c r="AZ214" i="3" s="1"/>
  <c r="G220" i="3"/>
  <c r="BL235" i="3"/>
  <c r="AZ235" i="3" s="1"/>
  <c r="G246" i="3"/>
  <c r="G248" i="3"/>
  <c r="G249" i="3"/>
  <c r="G250" i="3"/>
  <c r="G251" i="3"/>
  <c r="G262" i="3"/>
  <c r="BA280" i="3"/>
  <c r="BA282" i="3"/>
  <c r="BA290" i="3"/>
  <c r="BA291" i="3"/>
  <c r="AZ291" i="3" s="1"/>
  <c r="BL294" i="3"/>
  <c r="AZ294" i="3" s="1"/>
  <c r="BL295" i="3"/>
  <c r="AZ295" i="3" s="1"/>
  <c r="BL113" i="3"/>
  <c r="BL141" i="3"/>
  <c r="BL143" i="3"/>
  <c r="AZ143" i="3" s="1"/>
  <c r="G156" i="3"/>
  <c r="BL166" i="3"/>
  <c r="BL171" i="3"/>
  <c r="AZ171" i="3" s="1"/>
  <c r="BA173" i="3"/>
  <c r="BA174" i="3"/>
  <c r="AZ174" i="3" s="1"/>
  <c r="BA177" i="3"/>
  <c r="BA178" i="3"/>
  <c r="AZ178" i="3" s="1"/>
  <c r="BL202" i="3"/>
  <c r="BA207" i="3"/>
  <c r="G24" i="3"/>
  <c r="BA29" i="3"/>
  <c r="AZ29" i="3" s="1"/>
  <c r="BA31" i="3"/>
  <c r="G51" i="3"/>
  <c r="BL56" i="3"/>
  <c r="BL60" i="3"/>
  <c r="BA61" i="3"/>
  <c r="BA85" i="3"/>
  <c r="BA96" i="3"/>
  <c r="BA110" i="3"/>
  <c r="BA317" i="3"/>
  <c r="BA386" i="3"/>
  <c r="BL215" i="3"/>
  <c r="AZ215" i="3" s="1"/>
  <c r="G222" i="3"/>
  <c r="G223" i="3"/>
  <c r="G224" i="3"/>
  <c r="G225" i="3"/>
  <c r="BL239" i="3"/>
  <c r="AZ239" i="3" s="1"/>
  <c r="G252" i="3"/>
  <c r="G253" i="3"/>
  <c r="G254" i="3"/>
  <c r="BA293" i="3"/>
  <c r="AZ293" i="3" s="1"/>
  <c r="BL296" i="3"/>
  <c r="BL297" i="3"/>
  <c r="BL302" i="3"/>
  <c r="BA114" i="3"/>
  <c r="BL138" i="3"/>
  <c r="BA144" i="3"/>
  <c r="AZ144" i="3" s="1"/>
  <c r="BA169" i="3"/>
  <c r="BA182" i="3"/>
  <c r="BL199" i="3"/>
  <c r="AZ199" i="3" s="1"/>
  <c r="BL26" i="3"/>
  <c r="BA28" i="3"/>
  <c r="G47" i="3"/>
  <c r="BA59" i="3"/>
  <c r="BA60" i="3"/>
  <c r="G78" i="3"/>
  <c r="BL81" i="3"/>
  <c r="BA90" i="3"/>
  <c r="BA475" i="3"/>
  <c r="BA315" i="3"/>
  <c r="AZ315" i="3" s="1"/>
  <c r="BA384" i="3"/>
  <c r="AZ384" i="3" s="1"/>
  <c r="BL217" i="3"/>
  <c r="BA236" i="3"/>
  <c r="AZ236" i="3" s="1"/>
  <c r="BA237" i="3"/>
  <c r="BA238" i="3"/>
  <c r="BA113" i="3"/>
  <c r="AZ113" i="3" s="1"/>
  <c r="BL137" i="3"/>
  <c r="BA141" i="3"/>
  <c r="BL161" i="3"/>
  <c r="BA166" i="3"/>
  <c r="AZ166" i="3" s="1"/>
  <c r="BA168" i="3"/>
  <c r="AZ168" i="3" s="1"/>
  <c r="BL54" i="3"/>
  <c r="BA56" i="3"/>
  <c r="BL80" i="3"/>
  <c r="BA84" i="3"/>
  <c r="BA108" i="3"/>
  <c r="AZ108" i="3" s="1"/>
  <c r="AB29" i="39"/>
  <c r="U29" i="39"/>
  <c r="G438" i="3"/>
  <c r="G440" i="3"/>
  <c r="BL453" i="3"/>
  <c r="G460" i="3"/>
  <c r="BL478" i="3"/>
  <c r="G484" i="3"/>
  <c r="BA216" i="3"/>
  <c r="AZ216" i="3" s="1"/>
  <c r="BL218" i="3"/>
  <c r="AZ218" i="3" s="1"/>
  <c r="BL241" i="3"/>
  <c r="BL244" i="3"/>
  <c r="BL246" i="3"/>
  <c r="BA297" i="3"/>
  <c r="BA298" i="3"/>
  <c r="AZ298" i="3" s="1"/>
  <c r="BA299" i="3"/>
  <c r="AZ299" i="3" s="1"/>
  <c r="BA300" i="3"/>
  <c r="AZ300" i="3" s="1"/>
  <c r="BA302" i="3"/>
  <c r="BL133" i="3"/>
  <c r="BL134" i="3"/>
  <c r="BA138" i="3"/>
  <c r="BA140" i="3"/>
  <c r="AZ140" i="3" s="1"/>
  <c r="BL158" i="3"/>
  <c r="AZ158" i="3" s="1"/>
  <c r="BL195" i="3"/>
  <c r="AZ195" i="3" s="1"/>
  <c r="BA197" i="3"/>
  <c r="BA202" i="3"/>
  <c r="AZ202" i="3" s="1"/>
  <c r="BL51" i="3"/>
  <c r="AZ51" i="3" s="1"/>
  <c r="BL53" i="3"/>
  <c r="BA55" i="3"/>
  <c r="BA58" i="3"/>
  <c r="AZ58" i="3" s="1"/>
  <c r="BL79" i="3"/>
  <c r="BA82" i="3"/>
  <c r="BL105" i="3"/>
  <c r="BA429" i="3"/>
  <c r="BL432" i="3"/>
  <c r="AZ432" i="3" s="1"/>
  <c r="BA451" i="3"/>
  <c r="BA452" i="3"/>
  <c r="AZ452" i="3" s="1"/>
  <c r="G462" i="3"/>
  <c r="G464" i="3"/>
  <c r="BL480" i="3"/>
  <c r="G486" i="3"/>
  <c r="BL332" i="3"/>
  <c r="G392" i="3"/>
  <c r="G396" i="3"/>
  <c r="G397" i="3"/>
  <c r="BL220" i="3"/>
  <c r="G231" i="3"/>
  <c r="BA242" i="3"/>
  <c r="AZ242" i="3" s="1"/>
  <c r="BA243" i="3"/>
  <c r="AZ243" i="3" s="1"/>
  <c r="BL261" i="3"/>
  <c r="AZ261" i="3" s="1"/>
  <c r="BL262" i="3"/>
  <c r="AZ262" i="3" s="1"/>
  <c r="G271" i="3"/>
  <c r="G272" i="3"/>
  <c r="BL125" i="3"/>
  <c r="AZ125" i="3" s="1"/>
  <c r="BL126" i="3"/>
  <c r="AZ126" i="3" s="1"/>
  <c r="BL129" i="3"/>
  <c r="AZ129" i="3" s="1"/>
  <c r="BL157" i="3"/>
  <c r="AZ157" i="3" s="1"/>
  <c r="BA162" i="3"/>
  <c r="BA196" i="3"/>
  <c r="AZ196" i="3" s="1"/>
  <c r="BL23" i="3"/>
  <c r="AZ23" i="3" s="1"/>
  <c r="G35" i="3"/>
  <c r="BL52" i="3"/>
  <c r="BA54" i="3"/>
  <c r="BL78" i="3"/>
  <c r="BL102" i="3"/>
  <c r="BL104" i="3"/>
  <c r="BL308" i="3"/>
  <c r="AZ308" i="3" s="1"/>
  <c r="BA333" i="3"/>
  <c r="G343" i="3"/>
  <c r="BL353" i="3"/>
  <c r="BL354" i="3"/>
  <c r="AZ354" i="3" s="1"/>
  <c r="G209" i="3"/>
  <c r="G210" i="3"/>
  <c r="BA219" i="3"/>
  <c r="AZ219" i="3" s="1"/>
  <c r="BL225" i="3"/>
  <c r="BA245" i="3"/>
  <c r="BA246" i="3"/>
  <c r="BA247" i="3"/>
  <c r="BA248" i="3"/>
  <c r="BA249" i="3"/>
  <c r="AZ249" i="3" s="1"/>
  <c r="BA250" i="3"/>
  <c r="BL254" i="3"/>
  <c r="AZ254" i="3" s="1"/>
  <c r="BL258" i="3"/>
  <c r="AZ258" i="3" s="1"/>
  <c r="BL260" i="3"/>
  <c r="BL263" i="3"/>
  <c r="AZ263" i="3" s="1"/>
  <c r="G275" i="3"/>
  <c r="G276" i="3"/>
  <c r="G278" i="3"/>
  <c r="G284" i="3"/>
  <c r="BL130" i="3"/>
  <c r="AZ130" i="3" s="1"/>
  <c r="BA133" i="3"/>
  <c r="AZ133" i="3" s="1"/>
  <c r="BL154" i="3"/>
  <c r="AZ154" i="3" s="1"/>
  <c r="AZ161" i="3"/>
  <c r="G186" i="3"/>
  <c r="G34" i="3"/>
  <c r="BL47" i="3"/>
  <c r="AZ47" i="3" s="1"/>
  <c r="U21" i="21"/>
  <c r="AB21" i="21"/>
  <c r="AA21" i="33"/>
  <c r="S21" i="33"/>
  <c r="C38" i="71"/>
  <c r="D37" i="71"/>
  <c r="C59" i="71"/>
  <c r="T59" i="71" s="1"/>
  <c r="D58" i="71"/>
  <c r="F3" i="35"/>
  <c r="F42" i="71"/>
  <c r="F43" i="71" s="1"/>
  <c r="V43" i="71" s="1"/>
  <c r="BA78" i="3"/>
  <c r="BA79" i="3"/>
  <c r="BA80" i="3"/>
  <c r="BL82" i="3"/>
  <c r="BL96" i="3"/>
  <c r="D100" i="43"/>
  <c r="S18" i="36"/>
  <c r="D51" i="71"/>
  <c r="C77" i="71"/>
  <c r="D77" i="71" s="1"/>
  <c r="E70" i="71"/>
  <c r="E69" i="71" s="1"/>
  <c r="F27" i="71"/>
  <c r="V27" i="71" s="1"/>
  <c r="AA25" i="71"/>
  <c r="B50" i="71"/>
  <c r="B51" i="71" s="1"/>
  <c r="S51" i="71" s="1"/>
  <c r="BA148" i="3"/>
  <c r="AZ148" i="3" s="1"/>
  <c r="BL162" i="3"/>
  <c r="BL163" i="3"/>
  <c r="AZ163" i="3" s="1"/>
  <c r="BL32" i="3"/>
  <c r="BL49" i="3"/>
  <c r="BL65" i="3"/>
  <c r="BL83" i="3"/>
  <c r="AZ83" i="3" s="1"/>
  <c r="BA95" i="3"/>
  <c r="AZ95" i="3" s="1"/>
  <c r="BL97" i="3"/>
  <c r="W18" i="35"/>
  <c r="P27" i="6"/>
  <c r="C70" i="71"/>
  <c r="Y32" i="71"/>
  <c r="Z32" i="71" s="1"/>
  <c r="E35" i="71"/>
  <c r="U35" i="71" s="1"/>
  <c r="X25" i="71"/>
  <c r="Y25" i="71"/>
  <c r="Z25" i="71" s="1"/>
  <c r="G299" i="3"/>
  <c r="G300" i="3"/>
  <c r="G301" i="3"/>
  <c r="G118" i="3"/>
  <c r="BA160" i="3"/>
  <c r="AZ160" i="3" s="1"/>
  <c r="BL165" i="3"/>
  <c r="AZ165" i="3" s="1"/>
  <c r="G184" i="3"/>
  <c r="G190" i="3"/>
  <c r="G191" i="3"/>
  <c r="G194" i="3"/>
  <c r="G195" i="3"/>
  <c r="G21" i="3"/>
  <c r="BL24" i="3"/>
  <c r="BL33" i="3"/>
  <c r="G39" i="3"/>
  <c r="G40" i="3"/>
  <c r="BA48" i="3"/>
  <c r="BL50" i="3"/>
  <c r="AZ50" i="3" s="1"/>
  <c r="BA64" i="3"/>
  <c r="AZ64" i="3" s="1"/>
  <c r="BL66" i="3"/>
  <c r="BL84" i="3"/>
  <c r="G88" i="3"/>
  <c r="G89" i="3"/>
  <c r="G90" i="3"/>
  <c r="BL99" i="3"/>
  <c r="AZ99" i="3" s="1"/>
  <c r="S23" i="71"/>
  <c r="D67" i="71"/>
  <c r="F35" i="71"/>
  <c r="V35" i="71" s="1"/>
  <c r="F38" i="71"/>
  <c r="F39" i="71" s="1"/>
  <c r="V39" i="71" s="1"/>
  <c r="T71" i="71"/>
  <c r="E17" i="77"/>
  <c r="BL67" i="3"/>
  <c r="AZ67" i="3" s="1"/>
  <c r="BL85" i="3"/>
  <c r="BA98" i="3"/>
  <c r="AZ98" i="3" s="1"/>
  <c r="BL103" i="3"/>
  <c r="AZ103" i="3" s="1"/>
  <c r="I10" i="66"/>
  <c r="U18" i="35"/>
  <c r="AA3" i="71"/>
  <c r="X33" i="71"/>
  <c r="G128" i="3"/>
  <c r="G134" i="3"/>
  <c r="BL170" i="3"/>
  <c r="AZ170" i="3" s="1"/>
  <c r="BL181" i="3"/>
  <c r="AZ181" i="3" s="1"/>
  <c r="G200" i="3"/>
  <c r="G19" i="3"/>
  <c r="BA34" i="3"/>
  <c r="AZ34" i="3" s="1"/>
  <c r="BA35" i="3"/>
  <c r="BL37" i="3"/>
  <c r="AZ37" i="3" s="1"/>
  <c r="BL86" i="3"/>
  <c r="AZ86" i="3" s="1"/>
  <c r="G92" i="3"/>
  <c r="BA100" i="3"/>
  <c r="AZ100" i="3" s="1"/>
  <c r="BA101" i="3"/>
  <c r="AZ101" i="3" s="1"/>
  <c r="BA102" i="3"/>
  <c r="BL106" i="3"/>
  <c r="AZ106" i="3" s="1"/>
  <c r="M108" i="43"/>
  <c r="G108" i="43"/>
  <c r="S18" i="35"/>
  <c r="B55" i="43"/>
  <c r="AB25" i="71"/>
  <c r="F50" i="71"/>
  <c r="F51" i="71" s="1"/>
  <c r="V51" i="71" s="1"/>
  <c r="P63" i="71"/>
  <c r="AB10" i="43"/>
  <c r="BA104" i="3"/>
  <c r="AZ104" i="3" s="1"/>
  <c r="BA105" i="3"/>
  <c r="BL107" i="3"/>
  <c r="AZ107" i="3" s="1"/>
  <c r="AA22" i="71"/>
  <c r="X28" i="71"/>
  <c r="BL276" i="3"/>
  <c r="AZ276" i="3" s="1"/>
  <c r="BL301" i="3"/>
  <c r="AZ301" i="3" s="1"/>
  <c r="BL118" i="3"/>
  <c r="BL121" i="3"/>
  <c r="BL123" i="3"/>
  <c r="AZ123" i="3" s="1"/>
  <c r="G140" i="3"/>
  <c r="BA172" i="3"/>
  <c r="AZ172" i="3" s="1"/>
  <c r="BL186" i="3"/>
  <c r="BL197" i="3"/>
  <c r="BL20" i="3"/>
  <c r="BL40" i="3"/>
  <c r="G45" i="3"/>
  <c r="G46" i="3"/>
  <c r="BA52" i="3"/>
  <c r="BA53" i="3"/>
  <c r="BL55" i="3"/>
  <c r="G61" i="3"/>
  <c r="G62" i="3"/>
  <c r="BA68" i="3"/>
  <c r="BA69" i="3"/>
  <c r="BL71" i="3"/>
  <c r="BL90" i="3"/>
  <c r="AB21" i="33"/>
  <c r="AA20" i="71"/>
  <c r="F30" i="71"/>
  <c r="F31" i="71" s="1"/>
  <c r="V31" i="71" s="1"/>
  <c r="AE10" i="43"/>
  <c r="G144" i="3"/>
  <c r="G150" i="3"/>
  <c r="G151" i="3"/>
  <c r="G154" i="3"/>
  <c r="G155" i="3"/>
  <c r="BA184" i="3"/>
  <c r="AZ184" i="3" s="1"/>
  <c r="BA189" i="3"/>
  <c r="AZ189" i="3" s="1"/>
  <c r="BA190" i="3"/>
  <c r="AZ190" i="3" s="1"/>
  <c r="BA193" i="3"/>
  <c r="AZ193" i="3" s="1"/>
  <c r="BA194" i="3"/>
  <c r="AZ194" i="3" s="1"/>
  <c r="BL198" i="3"/>
  <c r="BL201" i="3"/>
  <c r="AZ201" i="3" s="1"/>
  <c r="BL19" i="3"/>
  <c r="G29" i="3"/>
  <c r="G30" i="3"/>
  <c r="BA38" i="3"/>
  <c r="AZ38" i="3" s="1"/>
  <c r="BA39" i="3"/>
  <c r="AZ39" i="3" s="1"/>
  <c r="BL41" i="3"/>
  <c r="AZ41" i="3" s="1"/>
  <c r="BL57" i="3"/>
  <c r="AZ57" i="3" s="1"/>
  <c r="BL72" i="3"/>
  <c r="AZ72" i="3" s="1"/>
  <c r="G79" i="3"/>
  <c r="G80" i="3"/>
  <c r="G81" i="3"/>
  <c r="BA87" i="3"/>
  <c r="AZ87" i="3" s="1"/>
  <c r="BA88" i="3"/>
  <c r="AZ88" i="3" s="1"/>
  <c r="BA89" i="3"/>
  <c r="AZ89" i="3" s="1"/>
  <c r="BL112" i="3"/>
  <c r="S21" i="37"/>
  <c r="C65" i="71"/>
  <c r="D65" i="71" s="1"/>
  <c r="E23" i="71"/>
  <c r="E22" i="71" s="1"/>
  <c r="E21" i="71" s="1"/>
  <c r="C62" i="71"/>
  <c r="Y20" i="71"/>
  <c r="Z20" i="71" s="1"/>
  <c r="AB33" i="71"/>
  <c r="K56" i="9"/>
  <c r="BA200" i="3"/>
  <c r="AZ200" i="3" s="1"/>
  <c r="BL207" i="3"/>
  <c r="BL43" i="3"/>
  <c r="BL59" i="3"/>
  <c r="BL76" i="3"/>
  <c r="BA91" i="3"/>
  <c r="BL93" i="3"/>
  <c r="K13" i="1"/>
  <c r="AC21" i="34"/>
  <c r="AB22" i="71"/>
  <c r="O63" i="71"/>
  <c r="AB24" i="71"/>
  <c r="X21" i="71"/>
  <c r="AB31" i="71"/>
  <c r="B74" i="71"/>
  <c r="B73" i="71" s="1"/>
  <c r="M56" i="9"/>
  <c r="BA257" i="3"/>
  <c r="AZ257" i="3" s="1"/>
  <c r="BL259" i="3"/>
  <c r="AZ259" i="3" s="1"/>
  <c r="BL281" i="3"/>
  <c r="G294" i="3"/>
  <c r="BA132" i="3"/>
  <c r="AZ132" i="3" s="1"/>
  <c r="BA136" i="3"/>
  <c r="AZ136" i="3" s="1"/>
  <c r="BL142" i="3"/>
  <c r="AZ142" i="3" s="1"/>
  <c r="BL145" i="3"/>
  <c r="AZ145" i="3" s="1"/>
  <c r="BL151" i="3"/>
  <c r="AZ151" i="3" s="1"/>
  <c r="BL155" i="3"/>
  <c r="AZ155" i="3" s="1"/>
  <c r="BA204" i="3"/>
  <c r="AZ204" i="3" s="1"/>
  <c r="BA205" i="3"/>
  <c r="AZ205" i="3" s="1"/>
  <c r="BA206" i="3"/>
  <c r="AZ206" i="3" s="1"/>
  <c r="G25" i="3"/>
  <c r="BL46" i="3"/>
  <c r="AZ46" i="3" s="1"/>
  <c r="BL62" i="3"/>
  <c r="BA73" i="3"/>
  <c r="AZ73" i="3" s="1"/>
  <c r="BA74" i="3"/>
  <c r="AZ74" i="3" s="1"/>
  <c r="BA75" i="3"/>
  <c r="AZ75" i="3" s="1"/>
  <c r="BL77" i="3"/>
  <c r="BL94" i="3"/>
  <c r="AZ94" i="3" s="1"/>
  <c r="G99" i="3"/>
  <c r="I15" i="66"/>
  <c r="AC21" i="37"/>
  <c r="AB21" i="71"/>
  <c r="AA28" i="71"/>
  <c r="W11" i="34"/>
  <c r="AB41" i="34"/>
  <c r="AC40" i="34"/>
  <c r="AB40" i="34"/>
  <c r="AC39" i="34"/>
  <c r="U38" i="34"/>
  <c r="AA38" i="34"/>
  <c r="AC36" i="34"/>
  <c r="F23" i="34"/>
  <c r="AA23" i="34" s="1"/>
  <c r="J23" i="34"/>
  <c r="AC23" i="34" s="1"/>
  <c r="F78" i="34"/>
  <c r="G78" i="34" s="1"/>
  <c r="J15" i="34"/>
  <c r="F15" i="34"/>
  <c r="S15" i="34" s="1"/>
  <c r="H15" i="34"/>
  <c r="AB15" i="34" s="1"/>
  <c r="U25" i="34"/>
  <c r="AA25" i="34"/>
  <c r="AB23" i="34"/>
  <c r="U21" i="34"/>
  <c r="S21" i="34"/>
  <c r="U19" i="34"/>
  <c r="S13" i="34"/>
  <c r="S10" i="34"/>
  <c r="AA14" i="34"/>
  <c r="AA11" i="34"/>
  <c r="S9" i="34"/>
  <c r="AB46" i="34"/>
  <c r="I20" i="77"/>
  <c r="C20" i="77" s="1"/>
  <c r="I5" i="78"/>
  <c r="C70" i="39"/>
  <c r="D68" i="39"/>
  <c r="AA32" i="37"/>
  <c r="S32" i="37"/>
  <c r="AA27" i="36"/>
  <c r="S27" i="36"/>
  <c r="AC39" i="39"/>
  <c r="W39" i="39"/>
  <c r="W27" i="36"/>
  <c r="AC27" i="36"/>
  <c r="AZ345" i="3"/>
  <c r="W36" i="40"/>
  <c r="AC36" i="40"/>
  <c r="S32" i="40"/>
  <c r="AA32" i="40"/>
  <c r="AC41" i="34"/>
  <c r="W41" i="34"/>
  <c r="AB27" i="34"/>
  <c r="U27" i="34"/>
  <c r="S25" i="21"/>
  <c r="AA25" i="21"/>
  <c r="AC5" i="3"/>
  <c r="G509" i="3"/>
  <c r="AZ557" i="3"/>
  <c r="AZ513" i="3"/>
  <c r="AZ517" i="3"/>
  <c r="AZ563" i="3"/>
  <c r="AZ567" i="3"/>
  <c r="AZ571" i="3"/>
  <c r="AZ575" i="3"/>
  <c r="AZ579" i="3"/>
  <c r="S38" i="37"/>
  <c r="AA38" i="37"/>
  <c r="AC28" i="37"/>
  <c r="W28" i="37"/>
  <c r="S25" i="36"/>
  <c r="AA25" i="36"/>
  <c r="AB35" i="35"/>
  <c r="U35" i="35"/>
  <c r="U13" i="35"/>
  <c r="AB13" i="35"/>
  <c r="S13" i="35"/>
  <c r="AA13" i="35"/>
  <c r="S45" i="34"/>
  <c r="AA45" i="34"/>
  <c r="AC37" i="37"/>
  <c r="W37" i="37"/>
  <c r="W32" i="36"/>
  <c r="AC32" i="36"/>
  <c r="U11" i="35"/>
  <c r="AB11" i="35"/>
  <c r="W31" i="33"/>
  <c r="AC31" i="33"/>
  <c r="S33" i="35"/>
  <c r="AA33" i="35"/>
  <c r="AA44" i="34"/>
  <c r="S44" i="34"/>
  <c r="S12" i="34"/>
  <c r="AA12" i="34"/>
  <c r="W33" i="40"/>
  <c r="AC33" i="40"/>
  <c r="AZ550" i="3"/>
  <c r="E10" i="71"/>
  <c r="E9" i="71" s="1"/>
  <c r="E8" i="71" s="1"/>
  <c r="E7" i="71" s="1"/>
  <c r="V11" i="71"/>
  <c r="V15" i="71"/>
  <c r="D12" i="52"/>
  <c r="D127" i="9"/>
  <c r="D13" i="52" s="1"/>
  <c r="L67" i="9"/>
  <c r="M67" i="9" s="1"/>
  <c r="L63" i="9"/>
  <c r="M63" i="9" s="1"/>
  <c r="M69" i="9" s="1"/>
  <c r="N69" i="9" s="1"/>
  <c r="L64" i="9"/>
  <c r="M64" i="9" s="1"/>
  <c r="L66" i="9"/>
  <c r="M66" i="9" s="1"/>
  <c r="L65" i="9"/>
  <c r="M65" i="9" s="1"/>
  <c r="C23" i="12"/>
  <c r="AB45" i="21"/>
  <c r="S13" i="21"/>
  <c r="H83" i="43"/>
  <c r="H82" i="43"/>
  <c r="AZ391" i="3"/>
  <c r="AZ322" i="3"/>
  <c r="AZ347" i="3"/>
  <c r="AZ378" i="3"/>
  <c r="AA41" i="34"/>
  <c r="AA37" i="37"/>
  <c r="S37" i="37"/>
  <c r="U35" i="34"/>
  <c r="AB35" i="34"/>
  <c r="AA14" i="36"/>
  <c r="S14" i="36"/>
  <c r="AZ581" i="3"/>
  <c r="AC10" i="36"/>
  <c r="W10" i="36"/>
  <c r="U31" i="34"/>
  <c r="AA14" i="40"/>
  <c r="S14" i="40"/>
  <c r="U33" i="40"/>
  <c r="AB33" i="40"/>
  <c r="S12" i="40"/>
  <c r="AA12" i="40"/>
  <c r="AC38" i="37"/>
  <c r="W38" i="37"/>
  <c r="U28" i="37"/>
  <c r="AB28" i="37"/>
  <c r="AC13" i="35"/>
  <c r="W13" i="35"/>
  <c r="AC47" i="34"/>
  <c r="W47" i="34"/>
  <c r="AC31" i="34"/>
  <c r="W31" i="34"/>
  <c r="AZ14" i="3"/>
  <c r="AZ548" i="3"/>
  <c r="AC9" i="34"/>
  <c r="W9" i="34"/>
  <c r="AC34" i="35"/>
  <c r="W34" i="35"/>
  <c r="AC31" i="40"/>
  <c r="W31" i="40"/>
  <c r="G3" i="77"/>
  <c r="B70" i="43"/>
  <c r="B59" i="43"/>
  <c r="B81" i="43"/>
  <c r="B82" i="43"/>
  <c r="B85" i="43"/>
  <c r="B88" i="43"/>
  <c r="H9" i="34"/>
  <c r="F34" i="35"/>
  <c r="H34" i="35"/>
  <c r="J36" i="35"/>
  <c r="F19" i="6"/>
  <c r="D29" i="43" s="1"/>
  <c r="D1" i="43" s="1"/>
  <c r="E25" i="6"/>
  <c r="K12" i="1" s="1"/>
  <c r="M12" i="1" s="1"/>
  <c r="G41" i="43"/>
  <c r="F8" i="1"/>
  <c r="G8" i="1" s="1"/>
  <c r="AZ399" i="3"/>
  <c r="AZ404" i="3"/>
  <c r="AZ411" i="3"/>
  <c r="AZ414" i="3"/>
  <c r="AZ423" i="3"/>
  <c r="AZ427" i="3"/>
  <c r="AZ430" i="3"/>
  <c r="AZ440" i="3"/>
  <c r="AZ449" i="3"/>
  <c r="AZ453" i="3"/>
  <c r="AZ455" i="3"/>
  <c r="AZ460" i="3"/>
  <c r="AZ471" i="3"/>
  <c r="AZ478" i="3"/>
  <c r="AZ484" i="3"/>
  <c r="AZ492" i="3"/>
  <c r="AZ225" i="3"/>
  <c r="AZ244" i="3"/>
  <c r="AZ121" i="3"/>
  <c r="AZ134" i="3"/>
  <c r="B71" i="77"/>
  <c r="B60" i="77"/>
  <c r="B49" i="77"/>
  <c r="B77" i="77"/>
  <c r="B67" i="77"/>
  <c r="B56" i="77"/>
  <c r="B74" i="77"/>
  <c r="B65" i="77"/>
  <c r="B54" i="77"/>
  <c r="B73" i="77"/>
  <c r="B63" i="77"/>
  <c r="B52" i="77"/>
  <c r="E24" i="6"/>
  <c r="D3" i="35" s="1"/>
  <c r="BL15" i="3"/>
  <c r="AZ332" i="3"/>
  <c r="AZ212" i="3"/>
  <c r="AZ220" i="3"/>
  <c r="AZ231" i="3"/>
  <c r="AZ267" i="3"/>
  <c r="AZ278" i="3"/>
  <c r="AZ292" i="3"/>
  <c r="AZ169" i="3"/>
  <c r="AZ207" i="3"/>
  <c r="D59" i="71"/>
  <c r="P60" i="71"/>
  <c r="P61" i="71"/>
  <c r="AZ30" i="3"/>
  <c r="AZ49" i="3"/>
  <c r="AZ65" i="3"/>
  <c r="AZ90" i="3"/>
  <c r="AZ92" i="3"/>
  <c r="AZ96" i="3"/>
  <c r="AZ112" i="3"/>
  <c r="C21" i="71"/>
  <c r="D21" i="71" s="1"/>
  <c r="D22" i="71"/>
  <c r="BA18" i="3"/>
  <c r="AZ18" i="3" s="1"/>
  <c r="BA19" i="3"/>
  <c r="AZ19" i="3" s="1"/>
  <c r="BA20" i="3"/>
  <c r="BA21" i="3"/>
  <c r="AZ21" i="3" s="1"/>
  <c r="BA22" i="3"/>
  <c r="AZ22" i="3" s="1"/>
  <c r="BL22" i="3"/>
  <c r="G23" i="3"/>
  <c r="BA24" i="3"/>
  <c r="AZ24" i="3" s="1"/>
  <c r="BL25" i="3"/>
  <c r="G26" i="3"/>
  <c r="BL27" i="3"/>
  <c r="G28" i="3"/>
  <c r="O19" i="77"/>
  <c r="C29" i="39"/>
  <c r="B66" i="43"/>
  <c r="B86" i="43"/>
  <c r="V23" i="71"/>
  <c r="AA23" i="71"/>
  <c r="AA21" i="71"/>
  <c r="X23" i="71"/>
  <c r="Y23" i="71"/>
  <c r="Z23" i="71" s="1"/>
  <c r="Y22" i="71"/>
  <c r="Z22" i="71" s="1"/>
  <c r="Y21" i="71"/>
  <c r="Z21" i="71" s="1"/>
  <c r="X31" i="71"/>
  <c r="X30" i="71"/>
  <c r="X29" i="71"/>
  <c r="AA27" i="71"/>
  <c r="Y24" i="71"/>
  <c r="Z24" i="71" s="1"/>
  <c r="E30" i="71"/>
  <c r="E31" i="71" s="1"/>
  <c r="U31" i="71" s="1"/>
  <c r="Y26" i="71"/>
  <c r="Z26" i="71" s="1"/>
  <c r="AB26" i="71"/>
  <c r="X26" i="71"/>
  <c r="X27" i="71"/>
  <c r="AB27" i="71"/>
  <c r="AB29" i="71"/>
  <c r="AB28" i="71"/>
  <c r="X5" i="71"/>
  <c r="X34" i="71"/>
  <c r="X19" i="71"/>
  <c r="Y19" i="71"/>
  <c r="Z19" i="71" s="1"/>
  <c r="AA17" i="71"/>
  <c r="X16" i="71"/>
  <c r="AA13" i="71"/>
  <c r="AB13" i="71"/>
  <c r="X9" i="71"/>
  <c r="AA9" i="71"/>
  <c r="X12" i="71"/>
  <c r="AA12" i="71"/>
  <c r="B75" i="77"/>
  <c r="B66" i="77"/>
  <c r="B55" i="77"/>
  <c r="E25" i="71"/>
  <c r="E26" i="71" s="1"/>
  <c r="E27" i="71" s="1"/>
  <c r="U27" i="71" s="1"/>
  <c r="AA24" i="71"/>
  <c r="Y30" i="71"/>
  <c r="Z30" i="71" s="1"/>
  <c r="Y28" i="71"/>
  <c r="Z28" i="71" s="1"/>
  <c r="B33" i="71"/>
  <c r="B34" i="71" s="1"/>
  <c r="B35" i="71" s="1"/>
  <c r="S35" i="71" s="1"/>
  <c r="X32" i="71"/>
  <c r="AB5" i="71"/>
  <c r="AB34" i="71"/>
  <c r="S63" i="71"/>
  <c r="B62" i="71"/>
  <c r="N63" i="71"/>
  <c r="Y16" i="71"/>
  <c r="Z16" i="71" s="1"/>
  <c r="AB16" i="71"/>
  <c r="X13" i="71"/>
  <c r="Y13" i="71"/>
  <c r="Z13" i="71" s="1"/>
  <c r="Y9" i="71"/>
  <c r="Z9" i="71" s="1"/>
  <c r="Y12" i="71"/>
  <c r="Z12" i="71" s="1"/>
  <c r="AB12" i="71"/>
  <c r="Y5" i="71"/>
  <c r="Z5" i="71" s="1"/>
  <c r="AA5" i="71"/>
  <c r="AH10" i="43"/>
  <c r="AD10" i="43"/>
  <c r="Z10" i="43"/>
  <c r="AG10" i="43"/>
  <c r="AC10" i="43"/>
  <c r="AA19" i="71"/>
  <c r="AB19" i="71"/>
  <c r="B19" i="71"/>
  <c r="C19" i="71"/>
  <c r="Y18" i="71"/>
  <c r="Z18" i="71" s="1"/>
  <c r="Y17" i="71"/>
  <c r="Z17" i="71" s="1"/>
  <c r="AA18" i="71"/>
  <c r="AB18" i="71"/>
  <c r="X17" i="71"/>
  <c r="AA16" i="71"/>
  <c r="AB10" i="71"/>
  <c r="AA6" i="71"/>
  <c r="X7" i="71"/>
  <c r="AB8" i="71"/>
  <c r="Y6" i="71"/>
  <c r="Z6" i="71" s="1"/>
  <c r="Y8" i="71"/>
  <c r="Z8" i="71" s="1"/>
  <c r="X10" i="71"/>
  <c r="AA10" i="71"/>
  <c r="AA7" i="71"/>
  <c r="AA8" i="71"/>
  <c r="X6" i="71"/>
  <c r="X8" i="71"/>
  <c r="AB6" i="71"/>
  <c r="AB7" i="71"/>
  <c r="AB9" i="71"/>
  <c r="Y7" i="71"/>
  <c r="Z7" i="71" s="1"/>
  <c r="J59" i="43"/>
  <c r="J60" i="43"/>
  <c r="J61" i="43"/>
  <c r="J62" i="43"/>
  <c r="J63" i="43"/>
  <c r="J64" i="43"/>
  <c r="J65" i="43"/>
  <c r="J67" i="43"/>
  <c r="E59" i="43"/>
  <c r="B57" i="43" s="1"/>
  <c r="C24" i="43" s="1"/>
  <c r="H62" i="43"/>
  <c r="H66" i="43"/>
  <c r="H64" i="43"/>
  <c r="H67" i="43"/>
  <c r="H60" i="43"/>
  <c r="H59" i="43"/>
  <c r="H61" i="43"/>
  <c r="H65" i="43"/>
  <c r="H63" i="43"/>
  <c r="C16" i="43"/>
  <c r="D5" i="43" s="1"/>
  <c r="K5" i="4"/>
  <c r="B47" i="48" s="1"/>
  <c r="L27" i="6"/>
  <c r="BA27" i="3"/>
  <c r="BA26" i="3"/>
  <c r="AZ26" i="3" s="1"/>
  <c r="BA25" i="3"/>
  <c r="C36" i="69"/>
  <c r="D9" i="68"/>
  <c r="C9" i="68" s="1"/>
  <c r="D9" i="69"/>
  <c r="C9" i="69" s="1"/>
  <c r="C92" i="9"/>
  <c r="C94" i="9"/>
  <c r="F28" i="15"/>
  <c r="C28" i="15" s="1"/>
  <c r="F31" i="12"/>
  <c r="C31" i="12" s="1"/>
  <c r="D68" i="9"/>
  <c r="M18" i="67"/>
  <c r="F30" i="68"/>
  <c r="C24" i="12"/>
  <c r="C36" i="11"/>
  <c r="F54" i="9"/>
  <c r="M18" i="15"/>
  <c r="F32" i="15"/>
  <c r="F60" i="15" s="1"/>
  <c r="F30" i="69"/>
  <c r="F32" i="67"/>
  <c r="F60" i="67" s="1"/>
  <c r="F52" i="9"/>
  <c r="F28" i="67"/>
  <c r="C28" i="67" s="1"/>
  <c r="F30" i="11"/>
  <c r="F53" i="9"/>
  <c r="C21" i="69"/>
  <c r="D22" i="67"/>
  <c r="E2" i="70"/>
  <c r="D19" i="12"/>
  <c r="C19" i="12" s="1"/>
  <c r="E13" i="6"/>
  <c r="E15" i="6"/>
  <c r="E12" i="6"/>
  <c r="E57" i="40" s="1"/>
  <c r="H50" i="43"/>
  <c r="H75" i="43"/>
  <c r="O14" i="1"/>
  <c r="P14" i="1" s="1"/>
  <c r="O11" i="1"/>
  <c r="P11" i="1" s="1"/>
  <c r="P7" i="1"/>
  <c r="O9" i="1"/>
  <c r="P9" i="1" s="1"/>
  <c r="O8" i="1"/>
  <c r="P8" i="1" s="1"/>
  <c r="P6" i="1"/>
  <c r="O12" i="1"/>
  <c r="P12" i="1"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Y11" i="71"/>
  <c r="Z11" i="71" s="1"/>
  <c r="Y10" i="71"/>
  <c r="Z10" i="71" s="1"/>
  <c r="AA11" i="71"/>
  <c r="AB3" i="71"/>
  <c r="X11" i="71"/>
  <c r="AB11" i="71"/>
  <c r="Y3" i="71"/>
  <c r="Z3" i="71" s="1"/>
  <c r="F11" i="71"/>
  <c r="F10" i="71" s="1"/>
  <c r="F9" i="71" s="1"/>
  <c r="F8" i="71" s="1"/>
  <c r="F7" i="71" s="1"/>
  <c r="F6" i="71" s="1"/>
  <c r="F5" i="71" s="1"/>
  <c r="AF3" i="71"/>
  <c r="P22" i="43" s="1"/>
  <c r="C36" i="68"/>
  <c r="B10" i="70"/>
  <c r="Q71" i="15"/>
  <c r="B6" i="70"/>
  <c r="K1" i="73"/>
  <c r="B20" i="31"/>
  <c r="B21" i="31" s="1"/>
  <c r="I1" i="73"/>
  <c r="B39" i="1" s="1"/>
  <c r="J20" i="67"/>
  <c r="B12" i="70"/>
  <c r="F51" i="15"/>
  <c r="B7" i="70"/>
  <c r="B11" i="70"/>
  <c r="B8" i="70"/>
  <c r="F64" i="15"/>
  <c r="F65" i="15"/>
  <c r="B9" i="70"/>
  <c r="B13" i="70"/>
  <c r="M21" i="15"/>
  <c r="M9" i="15"/>
  <c r="M24" i="15"/>
  <c r="F41" i="15"/>
  <c r="M6" i="15"/>
  <c r="F6" i="67"/>
  <c r="F40" i="67"/>
  <c r="F35" i="15"/>
  <c r="F16" i="15"/>
  <c r="M22" i="15"/>
  <c r="F9" i="67"/>
  <c r="M26" i="67"/>
  <c r="M28" i="67"/>
  <c r="M29" i="15"/>
  <c r="C76" i="67"/>
  <c r="F38" i="67"/>
  <c r="J15" i="15"/>
  <c r="F7" i="15"/>
  <c r="D7" i="73"/>
  <c r="J15" i="67"/>
  <c r="F13" i="67"/>
  <c r="F26" i="67"/>
  <c r="F43" i="15"/>
  <c r="M6" i="67"/>
  <c r="F8" i="67"/>
  <c r="M27" i="15"/>
  <c r="F35" i="67"/>
  <c r="F40" i="15"/>
  <c r="M28" i="15"/>
  <c r="L48" i="67"/>
  <c r="F41" i="67"/>
  <c r="F6" i="15"/>
  <c r="D6" i="73"/>
  <c r="F9" i="15"/>
  <c r="L47" i="67"/>
  <c r="M23" i="67"/>
  <c r="M22" i="67"/>
  <c r="F43" i="67"/>
  <c r="D5" i="73"/>
  <c r="D3" i="73"/>
  <c r="F26" i="15"/>
  <c r="L48" i="15"/>
  <c r="F37" i="67"/>
  <c r="M9" i="67"/>
  <c r="M29" i="67"/>
  <c r="F38" i="15"/>
  <c r="F42" i="67"/>
  <c r="M27" i="67"/>
  <c r="M8" i="67"/>
  <c r="L47" i="15"/>
  <c r="M24" i="67"/>
  <c r="F36" i="67"/>
  <c r="F7" i="67"/>
  <c r="J57" i="15" l="1"/>
  <c r="J55" i="15" s="1"/>
  <c r="J58" i="15" s="1"/>
  <c r="Q50" i="15" s="1"/>
  <c r="J53" i="15"/>
  <c r="L56" i="15" s="1"/>
  <c r="I54" i="15"/>
  <c r="F68" i="15"/>
  <c r="C27" i="15"/>
  <c r="J20" i="15"/>
  <c r="AZ69" i="3"/>
  <c r="AZ35" i="3"/>
  <c r="AZ470" i="3"/>
  <c r="AZ476" i="3"/>
  <c r="AZ252" i="3"/>
  <c r="AC29" i="35"/>
  <c r="W29" i="35"/>
  <c r="AB25" i="36"/>
  <c r="U25" i="36"/>
  <c r="U14" i="33"/>
  <c r="AB14" i="33"/>
  <c r="AA27" i="34"/>
  <c r="S27" i="34"/>
  <c r="W31" i="39"/>
  <c r="AC31" i="39"/>
  <c r="S31" i="34"/>
  <c r="AA31" i="34"/>
  <c r="I87" i="35"/>
  <c r="J87" i="35" s="1"/>
  <c r="K87" i="35" s="1"/>
  <c r="L87" i="35" s="1"/>
  <c r="M87" i="35" s="1"/>
  <c r="F29" i="35"/>
  <c r="AC35" i="35"/>
  <c r="W35" i="35"/>
  <c r="U23" i="35"/>
  <c r="AB23" i="35"/>
  <c r="AA46" i="33"/>
  <c r="S46" i="33"/>
  <c r="AB31" i="39"/>
  <c r="U31" i="39"/>
  <c r="AB25" i="35"/>
  <c r="U25" i="35"/>
  <c r="S36" i="34"/>
  <c r="AB36" i="34"/>
  <c r="U28" i="35"/>
  <c r="H14" i="74"/>
  <c r="B7" i="74" s="1"/>
  <c r="D10" i="52"/>
  <c r="AZ27" i="3"/>
  <c r="AZ68" i="3"/>
  <c r="AZ53" i="3"/>
  <c r="AZ40" i="3"/>
  <c r="AZ250" i="3"/>
  <c r="AZ238" i="3"/>
  <c r="AZ444" i="3"/>
  <c r="U46" i="21"/>
  <c r="AB46" i="21"/>
  <c r="W14" i="21"/>
  <c r="AC14" i="21"/>
  <c r="AZ210" i="3"/>
  <c r="AA46" i="21"/>
  <c r="S46" i="21"/>
  <c r="U14" i="21"/>
  <c r="AB14" i="21"/>
  <c r="AB30" i="33"/>
  <c r="U30" i="33"/>
  <c r="AC19" i="34"/>
  <c r="W19" i="34"/>
  <c r="F66" i="15"/>
  <c r="L59" i="15"/>
  <c r="Q74" i="15" s="1"/>
  <c r="L58" i="15"/>
  <c r="Q73" i="15" s="1"/>
  <c r="N59" i="15"/>
  <c r="M59" i="15"/>
  <c r="F69" i="15"/>
  <c r="C34" i="15"/>
  <c r="F63" i="15"/>
  <c r="C62" i="15" s="1"/>
  <c r="G5" i="3"/>
  <c r="B3" i="3" s="1"/>
  <c r="E376" i="3" s="1"/>
  <c r="AZ317" i="3"/>
  <c r="AZ177" i="3"/>
  <c r="AZ290" i="3"/>
  <c r="AZ468" i="3"/>
  <c r="AZ241" i="3"/>
  <c r="AZ421" i="3"/>
  <c r="AZ76" i="3"/>
  <c r="AZ221" i="3"/>
  <c r="AA28" i="37"/>
  <c r="S28" i="37"/>
  <c r="AA23" i="36"/>
  <c r="S23" i="36"/>
  <c r="U16" i="35"/>
  <c r="AB16" i="35"/>
  <c r="AC12" i="21"/>
  <c r="W12" i="21"/>
  <c r="AA45" i="21"/>
  <c r="S45" i="21"/>
  <c r="U29" i="21"/>
  <c r="AB29" i="21"/>
  <c r="AB27" i="21"/>
  <c r="U27" i="21"/>
  <c r="AZ316" i="3"/>
  <c r="F80" i="34"/>
  <c r="G80" i="34" s="1"/>
  <c r="F17" i="34"/>
  <c r="E14" i="6"/>
  <c r="E64" i="39" s="1"/>
  <c r="AC13" i="39"/>
  <c r="W13" i="39"/>
  <c r="AC23" i="36"/>
  <c r="W23" i="36"/>
  <c r="AB12" i="21"/>
  <c r="U12" i="21"/>
  <c r="AC29" i="21"/>
  <c r="W29" i="21"/>
  <c r="W27" i="21"/>
  <c r="AC27" i="21"/>
  <c r="S26" i="33"/>
  <c r="U15" i="33"/>
  <c r="AA13" i="33"/>
  <c r="S28" i="34"/>
  <c r="AA39" i="34"/>
  <c r="U39" i="34"/>
  <c r="W25" i="34"/>
  <c r="AC17" i="34"/>
  <c r="U42" i="33"/>
  <c r="W42" i="33"/>
  <c r="W25" i="33"/>
  <c r="S42" i="33"/>
  <c r="AA44" i="33"/>
  <c r="M59" i="67"/>
  <c r="N59" i="67"/>
  <c r="L59" i="67"/>
  <c r="Q74" i="67" s="1"/>
  <c r="L58" i="67"/>
  <c r="Q60" i="67" s="1"/>
  <c r="I54" i="67"/>
  <c r="J53" i="67"/>
  <c r="F1" i="67" s="1"/>
  <c r="J57" i="67"/>
  <c r="J55" i="67" s="1"/>
  <c r="J58" i="67" s="1"/>
  <c r="Q50" i="67" s="1"/>
  <c r="L56" i="67"/>
  <c r="F68" i="67"/>
  <c r="F66" i="67"/>
  <c r="C34" i="67"/>
  <c r="F63" i="67"/>
  <c r="C62" i="67" s="1"/>
  <c r="F65" i="67"/>
  <c r="F69" i="67"/>
  <c r="F64" i="67"/>
  <c r="C27" i="67"/>
  <c r="Q71" i="67"/>
  <c r="F51" i="67"/>
  <c r="U32" i="33"/>
  <c r="AB32" i="33"/>
  <c r="AZ477" i="3"/>
  <c r="AC26" i="33"/>
  <c r="W37" i="39"/>
  <c r="AC37" i="39"/>
  <c r="AZ77" i="3"/>
  <c r="AZ353" i="3"/>
  <c r="AZ429" i="3"/>
  <c r="AZ285" i="3"/>
  <c r="AZ510" i="3"/>
  <c r="AA31" i="21"/>
  <c r="S31" i="21"/>
  <c r="U31" i="40"/>
  <c r="AB31" i="40"/>
  <c r="AA44" i="21"/>
  <c r="S44" i="21"/>
  <c r="AC31" i="21"/>
  <c r="W31" i="21"/>
  <c r="E8" i="6"/>
  <c r="E51" i="40" s="1"/>
  <c r="AZ102" i="3"/>
  <c r="AZ48" i="3"/>
  <c r="AZ574" i="3"/>
  <c r="U31" i="21"/>
  <c r="AB31" i="21"/>
  <c r="AA44" i="39"/>
  <c r="S44" i="39"/>
  <c r="F7" i="85"/>
  <c r="J7" i="36"/>
  <c r="W23" i="34"/>
  <c r="AZ62" i="3"/>
  <c r="AZ247" i="3"/>
  <c r="AZ302" i="3"/>
  <c r="AZ490" i="3"/>
  <c r="AZ544" i="3"/>
  <c r="H7" i="85"/>
  <c r="F32" i="33"/>
  <c r="F101" i="33"/>
  <c r="G101" i="33" s="1"/>
  <c r="H101" i="33" s="1"/>
  <c r="I101" i="33" s="1"/>
  <c r="J101" i="33" s="1"/>
  <c r="K101" i="33" s="1"/>
  <c r="L101" i="33" s="1"/>
  <c r="M101" i="33" s="1"/>
  <c r="J32" i="33"/>
  <c r="AZ146" i="3"/>
  <c r="W15" i="33"/>
  <c r="AC13" i="21"/>
  <c r="W13" i="21"/>
  <c r="J7" i="85"/>
  <c r="AZ245" i="3"/>
  <c r="AZ480" i="3"/>
  <c r="AZ437" i="3"/>
  <c r="AA31" i="33"/>
  <c r="S31" i="33"/>
  <c r="S12" i="21"/>
  <c r="AA12" i="21"/>
  <c r="AC36" i="39"/>
  <c r="W36" i="39"/>
  <c r="AZ25" i="3"/>
  <c r="U13" i="37"/>
  <c r="AZ60" i="3"/>
  <c r="AZ558" i="3"/>
  <c r="D26" i="71"/>
  <c r="C27" i="71"/>
  <c r="AB36" i="39"/>
  <c r="U36" i="39"/>
  <c r="AZ81" i="3"/>
  <c r="AZ222" i="3"/>
  <c r="E10" i="6"/>
  <c r="AC39" i="40"/>
  <c r="W39" i="40"/>
  <c r="S36" i="39"/>
  <c r="AA36" i="39"/>
  <c r="AZ42" i="3"/>
  <c r="W14" i="35"/>
  <c r="AC14" i="35"/>
  <c r="F61" i="71"/>
  <c r="Q62" i="71"/>
  <c r="AA37" i="39"/>
  <c r="S37" i="39"/>
  <c r="W14" i="40"/>
  <c r="AC14" i="40"/>
  <c r="AZ52" i="3"/>
  <c r="AZ79" i="3"/>
  <c r="AZ260" i="3"/>
  <c r="AZ451" i="3"/>
  <c r="AZ237" i="3"/>
  <c r="AZ28" i="3"/>
  <c r="AZ385" i="3"/>
  <c r="AZ287" i="3"/>
  <c r="AZ443" i="3"/>
  <c r="AZ348" i="3"/>
  <c r="AZ542" i="3"/>
  <c r="H111" i="33"/>
  <c r="I111" i="33" s="1"/>
  <c r="J111" i="33" s="1"/>
  <c r="K111" i="33" s="1"/>
  <c r="L111" i="33" s="1"/>
  <c r="M111" i="33" s="1"/>
  <c r="J36" i="33"/>
  <c r="AC26" i="35"/>
  <c r="W26" i="35"/>
  <c r="U15" i="34"/>
  <c r="BL5" i="3"/>
  <c r="AZ80" i="3"/>
  <c r="AZ78" i="3"/>
  <c r="AZ248" i="3"/>
  <c r="AZ54" i="3"/>
  <c r="AZ197" i="3"/>
  <c r="AZ138" i="3"/>
  <c r="AZ56" i="3"/>
  <c r="AZ475" i="3"/>
  <c r="AZ182" i="3"/>
  <c r="AZ386" i="3"/>
  <c r="AZ491" i="3"/>
  <c r="AZ111" i="3"/>
  <c r="AZ97" i="3"/>
  <c r="AZ71" i="3"/>
  <c r="AZ118" i="3"/>
  <c r="AZ472" i="3"/>
  <c r="AZ424" i="3"/>
  <c r="D59" i="81"/>
  <c r="E59" i="81" s="1"/>
  <c r="F59" i="81" s="1"/>
  <c r="G59" i="81" s="1"/>
  <c r="H59" i="81" s="1"/>
  <c r="I59" i="81" s="1"/>
  <c r="J59" i="81" s="1"/>
  <c r="K59" i="81" s="1"/>
  <c r="L59" i="81" s="1"/>
  <c r="M59" i="81" s="1"/>
  <c r="N59" i="81" s="1"/>
  <c r="O59" i="81" s="1"/>
  <c r="D46" i="71"/>
  <c r="C47" i="71"/>
  <c r="AZ269" i="3"/>
  <c r="AZ256" i="3"/>
  <c r="AZ223" i="3"/>
  <c r="AB43" i="39"/>
  <c r="U43" i="39"/>
  <c r="AA25" i="37"/>
  <c r="S25" i="37"/>
  <c r="AB33" i="36"/>
  <c r="U33" i="36"/>
  <c r="AB24" i="36"/>
  <c r="U24" i="36"/>
  <c r="S13" i="36"/>
  <c r="AA13" i="36"/>
  <c r="U17" i="34"/>
  <c r="AB17" i="34"/>
  <c r="AB12" i="34"/>
  <c r="U12" i="34"/>
  <c r="AC30" i="21"/>
  <c r="W30" i="21"/>
  <c r="W45" i="33"/>
  <c r="AC45" i="33"/>
  <c r="AB32" i="34"/>
  <c r="U32" i="34"/>
  <c r="S13" i="37"/>
  <c r="AA13" i="37"/>
  <c r="AB14" i="39"/>
  <c r="U14" i="39"/>
  <c r="S36" i="35"/>
  <c r="AA36" i="35"/>
  <c r="AB40" i="40"/>
  <c r="U40" i="40"/>
  <c r="U13" i="40"/>
  <c r="AB13" i="40"/>
  <c r="AB38" i="37"/>
  <c r="U38" i="37"/>
  <c r="U30" i="34"/>
  <c r="AB30" i="34"/>
  <c r="U45" i="33"/>
  <c r="AB45" i="33"/>
  <c r="AC29" i="33"/>
  <c r="W29" i="33"/>
  <c r="AZ59" i="3"/>
  <c r="AZ397" i="3"/>
  <c r="D58" i="80"/>
  <c r="E58" i="80" s="1"/>
  <c r="F58" i="80" s="1"/>
  <c r="G58" i="80" s="1"/>
  <c r="H58" i="80" s="1"/>
  <c r="I58" i="80" s="1"/>
  <c r="J58" i="80" s="1"/>
  <c r="K58" i="80" s="1"/>
  <c r="L58" i="80" s="1"/>
  <c r="M58" i="80" s="1"/>
  <c r="N58" i="80" s="1"/>
  <c r="O58" i="80" s="1"/>
  <c r="AA40" i="40"/>
  <c r="S40" i="40"/>
  <c r="W43" i="39"/>
  <c r="AC43" i="39"/>
  <c r="AA33" i="36"/>
  <c r="S33" i="36"/>
  <c r="S34" i="36"/>
  <c r="AA34" i="36"/>
  <c r="AB34" i="36"/>
  <c r="U34" i="36"/>
  <c r="AC24" i="36"/>
  <c r="W24" i="36"/>
  <c r="AB13" i="36"/>
  <c r="U13" i="36"/>
  <c r="U30" i="21"/>
  <c r="AB30" i="21"/>
  <c r="AB14" i="34"/>
  <c r="U14" i="34"/>
  <c r="AA24" i="35"/>
  <c r="S24" i="35"/>
  <c r="S12" i="39"/>
  <c r="AA12" i="39"/>
  <c r="W40" i="40"/>
  <c r="AC40" i="40"/>
  <c r="AA13" i="40"/>
  <c r="S13" i="40"/>
  <c r="W13" i="37"/>
  <c r="AC13" i="37"/>
  <c r="W30" i="34"/>
  <c r="AC30" i="34"/>
  <c r="AA45" i="33"/>
  <c r="S45" i="33"/>
  <c r="S29" i="33"/>
  <c r="AA29" i="33"/>
  <c r="AB43" i="34"/>
  <c r="U43" i="34"/>
  <c r="S35" i="33"/>
  <c r="AC35" i="33"/>
  <c r="AB35" i="33"/>
  <c r="AA46" i="34"/>
  <c r="F71" i="67"/>
  <c r="F71" i="15"/>
  <c r="M7" i="15"/>
  <c r="J6" i="15" s="1"/>
  <c r="J18" i="15" s="1"/>
  <c r="F50" i="15"/>
  <c r="C49" i="15" s="1"/>
  <c r="C6" i="15"/>
  <c r="C32" i="15" s="1"/>
  <c r="F50" i="67"/>
  <c r="C6" i="67"/>
  <c r="C32" i="67" s="1"/>
  <c r="M7" i="67"/>
  <c r="J6" i="67" s="1"/>
  <c r="J18" i="67" s="1"/>
  <c r="F70" i="67"/>
  <c r="M13" i="1"/>
  <c r="AZ186" i="3"/>
  <c r="AZ137" i="3"/>
  <c r="AC25" i="37"/>
  <c r="W25" i="37"/>
  <c r="U12" i="36"/>
  <c r="AB12" i="36"/>
  <c r="AB35" i="39"/>
  <c r="U35" i="39"/>
  <c r="AZ333" i="3"/>
  <c r="AZ82" i="3"/>
  <c r="T31" i="71"/>
  <c r="D31" i="71"/>
  <c r="AZ277" i="3"/>
  <c r="AZ400" i="3"/>
  <c r="AC23" i="35"/>
  <c r="W23" i="35"/>
  <c r="AZ91" i="3"/>
  <c r="C39" i="71"/>
  <c r="D38" i="71"/>
  <c r="AZ398" i="3"/>
  <c r="AA32" i="36"/>
  <c r="S32" i="36"/>
  <c r="AA28" i="21"/>
  <c r="S28" i="21"/>
  <c r="AZ15" i="3"/>
  <c r="I21" i="66"/>
  <c r="D1" i="66" s="1"/>
  <c r="E10" i="66" s="1"/>
  <c r="AZ31" i="3"/>
  <c r="AC44" i="39"/>
  <c r="W44" i="39"/>
  <c r="AZ465" i="3"/>
  <c r="U28" i="21"/>
  <c r="AB28" i="21"/>
  <c r="F27" i="6"/>
  <c r="AA15" i="34"/>
  <c r="AZ246" i="3"/>
  <c r="AZ55" i="3"/>
  <c r="AZ114" i="3"/>
  <c r="AZ467" i="3"/>
  <c r="AZ234" i="3"/>
  <c r="AA26" i="37"/>
  <c r="S26" i="37"/>
  <c r="AC28" i="21"/>
  <c r="W28" i="21"/>
  <c r="J7" i="34"/>
  <c r="W7" i="34" s="1"/>
  <c r="AZ20" i="3"/>
  <c r="AZ141" i="3"/>
  <c r="AZ93" i="3"/>
  <c r="AZ466" i="3"/>
  <c r="AZ33" i="3"/>
  <c r="AZ473" i="3"/>
  <c r="AZ402" i="3"/>
  <c r="AZ233" i="3"/>
  <c r="AZ458" i="3"/>
  <c r="AC9" i="33"/>
  <c r="W9" i="33"/>
  <c r="AZ576" i="3"/>
  <c r="S23" i="34"/>
  <c r="C35" i="71"/>
  <c r="D34" i="71"/>
  <c r="AZ289" i="3"/>
  <c r="AZ281" i="3"/>
  <c r="D54" i="71"/>
  <c r="C55" i="71"/>
  <c r="AC45" i="39"/>
  <c r="W45" i="39"/>
  <c r="AB9" i="33"/>
  <c r="U9" i="33"/>
  <c r="C69" i="71"/>
  <c r="D69" i="71" s="1"/>
  <c r="D70" i="71"/>
  <c r="AZ297" i="3"/>
  <c r="AZ66" i="3"/>
  <c r="AA37" i="34"/>
  <c r="S37" i="34"/>
  <c r="F30" i="6"/>
  <c r="E28" i="6"/>
  <c r="W46" i="34"/>
  <c r="AC46" i="34"/>
  <c r="E19" i="6"/>
  <c r="K6" i="1" s="1"/>
  <c r="M6" i="1" s="1"/>
  <c r="O6" i="1" s="1"/>
  <c r="AZ110" i="3"/>
  <c r="AZ469" i="3"/>
  <c r="AB38" i="40"/>
  <c r="U38" i="40"/>
  <c r="AZ44" i="3"/>
  <c r="AZ296" i="3"/>
  <c r="U37" i="34"/>
  <c r="AB37" i="34"/>
  <c r="AA9" i="36"/>
  <c r="S9" i="36"/>
  <c r="AB26" i="37"/>
  <c r="U26" i="37"/>
  <c r="E11" i="6"/>
  <c r="AZ84" i="3"/>
  <c r="AZ85" i="3"/>
  <c r="AZ282" i="3"/>
  <c r="AZ32" i="3"/>
  <c r="AZ419" i="3"/>
  <c r="AZ43" i="3"/>
  <c r="AZ279" i="3"/>
  <c r="AZ217" i="3"/>
  <c r="W12" i="34"/>
  <c r="AC12" i="34"/>
  <c r="S12" i="35"/>
  <c r="AA12" i="35"/>
  <c r="S12" i="36"/>
  <c r="AA12" i="36"/>
  <c r="C5" i="43"/>
  <c r="O62" i="71"/>
  <c r="C61" i="71"/>
  <c r="D62" i="71"/>
  <c r="AZ105" i="3"/>
  <c r="AZ162" i="3"/>
  <c r="AZ61" i="3"/>
  <c r="AZ173" i="3"/>
  <c r="AZ280" i="3"/>
  <c r="AZ406" i="3"/>
  <c r="AZ198" i="3"/>
  <c r="AZ213" i="3"/>
  <c r="AZ488" i="3"/>
  <c r="S45" i="39"/>
  <c r="AA45" i="39"/>
  <c r="AZ445" i="3"/>
  <c r="W12" i="36"/>
  <c r="AC12" i="36"/>
  <c r="AA35" i="39"/>
  <c r="S35" i="39"/>
  <c r="G29" i="6"/>
  <c r="E29" i="6" s="1"/>
  <c r="K15" i="1" s="1"/>
  <c r="W15" i="34"/>
  <c r="AC15" i="34"/>
  <c r="F7" i="36"/>
  <c r="J7" i="37"/>
  <c r="AC7" i="37" s="1"/>
  <c r="V42" i="37" s="1"/>
  <c r="I42" i="37" s="1"/>
  <c r="H7" i="36"/>
  <c r="H7" i="34"/>
  <c r="U7" i="34" s="1"/>
  <c r="F7" i="34"/>
  <c r="AA7" i="34" s="1"/>
  <c r="BA5" i="3"/>
  <c r="E27" i="6" s="1"/>
  <c r="B18" i="71"/>
  <c r="B17" i="71" s="1"/>
  <c r="B16" i="71" s="1"/>
  <c r="B15" i="71" s="1"/>
  <c r="S19" i="71"/>
  <c r="N62" i="71"/>
  <c r="B61" i="71"/>
  <c r="C19" i="77"/>
  <c r="P25" i="77"/>
  <c r="P21" i="77"/>
  <c r="P24" i="77"/>
  <c r="AC36" i="35"/>
  <c r="W36" i="35"/>
  <c r="AA34" i="35"/>
  <c r="S34" i="35"/>
  <c r="AG11" i="77"/>
  <c r="AG13" i="77" s="1"/>
  <c r="AC11" i="77"/>
  <c r="AC13" i="77" s="1"/>
  <c r="Y11" i="77"/>
  <c r="Y13" i="77" s="1"/>
  <c r="S3" i="77"/>
  <c r="AI11" i="77"/>
  <c r="AI13" i="77" s="1"/>
  <c r="AE11" i="77"/>
  <c r="AE13" i="77" s="1"/>
  <c r="AA11" i="77"/>
  <c r="AA13" i="77" s="1"/>
  <c r="S6" i="77"/>
  <c r="S5" i="77"/>
  <c r="S2" i="77"/>
  <c r="L101" i="77"/>
  <c r="H101" i="77"/>
  <c r="D101" i="77"/>
  <c r="M101" i="77"/>
  <c r="I101" i="77"/>
  <c r="E101" i="77"/>
  <c r="H22" i="77"/>
  <c r="S4" i="77"/>
  <c r="Z7" i="77"/>
  <c r="AB11" i="77"/>
  <c r="AB13" i="77" s="1"/>
  <c r="AF11" i="77"/>
  <c r="AF13" i="77" s="1"/>
  <c r="AJ11" i="77"/>
  <c r="AJ13" i="77" s="1"/>
  <c r="E22" i="77"/>
  <c r="G22" i="77"/>
  <c r="N101" i="77"/>
  <c r="J101" i="77"/>
  <c r="F101" i="77"/>
  <c r="B113" i="77"/>
  <c r="K101" i="77"/>
  <c r="G101" i="77"/>
  <c r="C101" i="77"/>
  <c r="F22" i="77"/>
  <c r="S7" i="77"/>
  <c r="Z11" i="77"/>
  <c r="Z13" i="77" s="1"/>
  <c r="AD11" i="77"/>
  <c r="AD13" i="77" s="1"/>
  <c r="AH11" i="77"/>
  <c r="AH13" i="77" s="1"/>
  <c r="J22" i="77"/>
  <c r="C23" i="77"/>
  <c r="C21" i="77" s="1"/>
  <c r="E6" i="71"/>
  <c r="E5" i="71" s="1"/>
  <c r="V7" i="71"/>
  <c r="D70" i="39"/>
  <c r="E68" i="39"/>
  <c r="C18" i="71"/>
  <c r="D19" i="71"/>
  <c r="U19" i="71" s="1"/>
  <c r="T19" i="71"/>
  <c r="P22" i="77"/>
  <c r="P23" i="77"/>
  <c r="E7" i="12"/>
  <c r="K11" i="1"/>
  <c r="AB34" i="35"/>
  <c r="U34" i="35"/>
  <c r="U9" i="34"/>
  <c r="AB9" i="34"/>
  <c r="C19" i="43"/>
  <c r="E59" i="40"/>
  <c r="E490" i="3"/>
  <c r="F48" i="68"/>
  <c r="C30" i="68"/>
  <c r="C48" i="68"/>
  <c r="C30" i="11"/>
  <c r="C48" i="11"/>
  <c r="F48" i="69"/>
  <c r="C30" i="69"/>
  <c r="C48" i="69"/>
  <c r="E410" i="3"/>
  <c r="E156" i="3"/>
  <c r="E399" i="3"/>
  <c r="E453" i="3"/>
  <c r="E439" i="3"/>
  <c r="E148" i="3"/>
  <c r="E262" i="3"/>
  <c r="E568" i="3"/>
  <c r="E305" i="3"/>
  <c r="E533" i="3"/>
  <c r="E361" i="3"/>
  <c r="E493" i="3"/>
  <c r="E236" i="3"/>
  <c r="E136" i="3"/>
  <c r="E296" i="3"/>
  <c r="E536" i="3"/>
  <c r="E143" i="3"/>
  <c r="E388" i="3"/>
  <c r="E530" i="3"/>
  <c r="E561" i="3"/>
  <c r="E124" i="3"/>
  <c r="E347" i="3"/>
  <c r="E69" i="3"/>
  <c r="E238" i="3"/>
  <c r="E486" i="3"/>
  <c r="E228" i="3"/>
  <c r="E188" i="3"/>
  <c r="E99" i="3"/>
  <c r="E191" i="3"/>
  <c r="E196" i="3"/>
  <c r="E244" i="3"/>
  <c r="E368" i="3"/>
  <c r="E549" i="3"/>
  <c r="I6" i="3"/>
  <c r="E397" i="3"/>
  <c r="E337" i="3"/>
  <c r="E555" i="3"/>
  <c r="E508" i="3"/>
  <c r="E343" i="3"/>
  <c r="E175" i="3"/>
  <c r="E538" i="3"/>
  <c r="AR6" i="3"/>
  <c r="E270" i="3"/>
  <c r="E280" i="3"/>
  <c r="AA6" i="3"/>
  <c r="E503" i="3"/>
  <c r="E563" i="3"/>
  <c r="E61" i="3"/>
  <c r="E122" i="3"/>
  <c r="E105" i="3"/>
  <c r="E543" i="3"/>
  <c r="E422" i="3"/>
  <c r="E62" i="39"/>
  <c r="E56" i="39"/>
  <c r="E159" i="3"/>
  <c r="E245" i="3"/>
  <c r="E301" i="3"/>
  <c r="E263" i="3"/>
  <c r="E303" i="3"/>
  <c r="E306" i="3"/>
  <c r="E434" i="3"/>
  <c r="AK6" i="3"/>
  <c r="E16" i="3"/>
  <c r="E511" i="3"/>
  <c r="E314" i="3"/>
  <c r="E97" i="3"/>
  <c r="E285" i="3"/>
  <c r="E359" i="3"/>
  <c r="E574" i="3"/>
  <c r="O6" i="3"/>
  <c r="E328" i="3"/>
  <c r="E426" i="3"/>
  <c r="E153" i="3"/>
  <c r="E501" i="3"/>
  <c r="E319" i="3"/>
  <c r="E53" i="3"/>
  <c r="E418" i="3"/>
  <c r="E506" i="3"/>
  <c r="E523" i="3"/>
  <c r="S6" i="3"/>
  <c r="E390" i="3"/>
  <c r="E293" i="3"/>
  <c r="E246" i="3"/>
  <c r="E336" i="3"/>
  <c r="X6" i="3"/>
  <c r="E583" i="3"/>
  <c r="E302" i="3"/>
  <c r="E17" i="3"/>
  <c r="E172" i="3"/>
  <c r="E278" i="3"/>
  <c r="E298" i="3"/>
  <c r="E161" i="3"/>
  <c r="E230" i="3"/>
  <c r="E85" i="3"/>
  <c r="E116" i="3"/>
  <c r="E393" i="3"/>
  <c r="E564" i="3"/>
  <c r="E427" i="3"/>
  <c r="E507" i="3"/>
  <c r="E440" i="3"/>
  <c r="E562" i="3"/>
  <c r="E556" i="3"/>
  <c r="E360" i="3"/>
  <c r="E451" i="3"/>
  <c r="E408" i="3"/>
  <c r="E512" i="3"/>
  <c r="E469" i="3"/>
  <c r="E456" i="3"/>
  <c r="E405" i="3"/>
  <c r="T6" i="3"/>
  <c r="E534" i="3"/>
  <c r="E525" i="3"/>
  <c r="E369" i="3"/>
  <c r="E173" i="3"/>
  <c r="E197" i="3"/>
  <c r="E223" i="3"/>
  <c r="E140" i="3"/>
  <c r="E254" i="3"/>
  <c r="E320" i="3"/>
  <c r="E117" i="3"/>
  <c r="E290" i="3"/>
  <c r="E169" i="3"/>
  <c r="E321" i="3"/>
  <c r="E114" i="3"/>
  <c r="E415" i="3"/>
  <c r="E395" i="3"/>
  <c r="E260" i="3"/>
  <c r="E445" i="3"/>
  <c r="E550" i="3"/>
  <c r="E535" i="3"/>
  <c r="E329" i="3"/>
  <c r="E539" i="3"/>
  <c r="E545" i="3"/>
  <c r="E567" i="3"/>
  <c r="E510" i="3"/>
  <c r="E461" i="3"/>
  <c r="E352" i="3"/>
  <c r="E227" i="3"/>
  <c r="E205" i="3"/>
  <c r="E165" i="3"/>
  <c r="E128" i="3"/>
  <c r="E311" i="3"/>
  <c r="E358" i="3"/>
  <c r="E514" i="3"/>
  <c r="E559" i="3"/>
  <c r="E570" i="3"/>
  <c r="E551" i="3"/>
  <c r="M6" i="3"/>
  <c r="V6" i="3"/>
  <c r="AB6" i="3"/>
  <c r="E407" i="3"/>
  <c r="E387" i="3"/>
  <c r="E125" i="3"/>
  <c r="E217" i="3"/>
  <c r="E366" i="3"/>
  <c r="E526" i="3"/>
  <c r="E553" i="3"/>
  <c r="E268" i="3"/>
  <c r="E282" i="3"/>
  <c r="E322" i="3"/>
  <c r="N6" i="3"/>
  <c r="AJ6" i="3"/>
  <c r="E239" i="3"/>
  <c r="E509" i="3"/>
  <c r="E516" i="3"/>
  <c r="E579" i="3"/>
  <c r="E569" i="3"/>
  <c r="E431" i="3"/>
  <c r="E396" i="3"/>
  <c r="E247" i="3"/>
  <c r="E229" i="3"/>
  <c r="E201" i="3"/>
  <c r="E151" i="3"/>
  <c r="E353" i="3"/>
  <c r="E385" i="3"/>
  <c r="E495" i="3"/>
  <c r="E518" i="3"/>
  <c r="AN6" i="3"/>
  <c r="AI6" i="3"/>
  <c r="E586" i="3"/>
  <c r="E578" i="3"/>
  <c r="E402" i="3"/>
  <c r="E423" i="3"/>
  <c r="E350" i="3"/>
  <c r="E382" i="3"/>
  <c r="E58" i="40"/>
  <c r="E63" i="39"/>
  <c r="E60" i="40"/>
  <c r="E65" i="39"/>
  <c r="E213" i="3"/>
  <c r="E183" i="3"/>
  <c r="E565" i="3"/>
  <c r="E528" i="3"/>
  <c r="E304" i="3"/>
  <c r="E261" i="3"/>
  <c r="E237" i="3"/>
  <c r="E380" i="3"/>
  <c r="E231" i="3"/>
  <c r="E216" i="3"/>
  <c r="E185" i="3"/>
  <c r="E135" i="3"/>
  <c r="E221" i="3"/>
  <c r="E180" i="3"/>
  <c r="E294" i="3"/>
  <c r="E130" i="3"/>
  <c r="E269" i="3"/>
  <c r="E89"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338" i="3"/>
  <c r="E335" i="3"/>
  <c r="E189" i="3"/>
  <c r="E91" i="3"/>
  <c r="E157"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215" i="3"/>
  <c r="E181" i="3"/>
  <c r="E207" i="3"/>
  <c r="E271" i="3"/>
  <c r="E145" i="3"/>
  <c r="E107" i="3"/>
  <c r="E379" i="3"/>
  <c r="E585" i="3"/>
  <c r="U6" i="3"/>
  <c r="E515" i="3"/>
  <c r="E411" i="3"/>
  <c r="E478" i="3"/>
  <c r="E548" i="3"/>
  <c r="E414" i="3"/>
  <c r="E432" i="3"/>
  <c r="E477" i="3"/>
  <c r="E367" i="3"/>
  <c r="E587" i="3"/>
  <c r="W6" i="3"/>
  <c r="AE6" i="3"/>
  <c r="E571" i="3"/>
  <c r="E577" i="3"/>
  <c r="E537" i="3"/>
  <c r="E429" i="3"/>
  <c r="E450" i="3"/>
  <c r="E468" i="3"/>
  <c r="E471" i="3"/>
  <c r="E496" i="3"/>
  <c r="E433" i="3"/>
  <c r="E454" i="3"/>
  <c r="E475" i="3"/>
  <c r="E55" i="3"/>
  <c r="E72" i="3"/>
  <c r="E106" i="3"/>
  <c r="E54" i="3"/>
  <c r="E73" i="3"/>
  <c r="E111" i="3"/>
  <c r="E146" i="3"/>
  <c r="E168" i="3"/>
  <c r="E203" i="3"/>
  <c r="E150" i="3"/>
  <c r="E171"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134" i="3"/>
  <c r="E252" i="3"/>
  <c r="E204" i="3"/>
  <c r="E164" i="3"/>
  <c r="E327" i="3"/>
  <c r="E576" i="3"/>
  <c r="AG6" i="3"/>
  <c r="E448" i="3"/>
  <c r="P6" i="3"/>
  <c r="E443" i="3"/>
  <c r="E558" i="3"/>
  <c r="E497" i="3"/>
  <c r="E13" i="3"/>
  <c r="E494" i="3"/>
  <c r="E452" i="3"/>
  <c r="E470" i="3"/>
  <c r="E420" i="3"/>
  <c r="E26" i="3"/>
  <c r="E104" i="3"/>
  <c r="E41" i="3"/>
  <c r="E115" i="3"/>
  <c r="E198" i="3"/>
  <c r="E139" i="3"/>
  <c r="E208" i="3"/>
  <c r="E256" i="3"/>
  <c r="E279" i="3"/>
  <c r="E214" i="3"/>
  <c r="E257" i="3"/>
  <c r="E274" i="3"/>
  <c r="E351" i="3"/>
  <c r="E315" i="3"/>
  <c r="E357" i="3"/>
  <c r="E394" i="3"/>
  <c r="E318" i="3"/>
  <c r="E362" i="3"/>
  <c r="E14" i="3"/>
  <c r="E580" i="3"/>
  <c r="E31" i="3"/>
  <c r="E74" i="3"/>
  <c r="E93" i="3"/>
  <c r="E32" i="3"/>
  <c r="E75" i="3"/>
  <c r="E409" i="3"/>
  <c r="E473"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Z6" i="3"/>
  <c r="AO6" i="3"/>
  <c r="E485" i="3"/>
  <c r="E400" i="3"/>
  <c r="E345" i="3"/>
  <c r="AH6" i="3"/>
  <c r="J6" i="3"/>
  <c r="E498" i="3"/>
  <c r="E419" i="3"/>
  <c r="E483" i="3"/>
  <c r="E401" i="3"/>
  <c r="E463" i="3"/>
  <c r="E40" i="3"/>
  <c r="E25" i="3"/>
  <c r="E108" i="3"/>
  <c r="E178" i="3"/>
  <c r="E119" i="3"/>
  <c r="E202" i="3"/>
  <c r="E225" i="3"/>
  <c r="E242" i="3"/>
  <c r="E281" i="3"/>
  <c r="E226" i="3"/>
  <c r="E243" i="3"/>
  <c r="E276" i="3"/>
  <c r="E332" i="3"/>
  <c r="E346" i="3"/>
  <c r="E391" i="3"/>
  <c r="E333" i="3"/>
  <c r="E356" i="3"/>
  <c r="E372" i="3"/>
  <c r="AL6" i="3"/>
  <c r="L6" i="3"/>
  <c r="E42" i="3"/>
  <c r="E60" i="3"/>
  <c r="E94" i="3"/>
  <c r="E43" i="3"/>
  <c r="E488" i="3"/>
  <c r="E428" i="3"/>
  <c r="E482"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F59" i="67"/>
  <c r="H7" i="37"/>
  <c r="AB7" i="37" s="1"/>
  <c r="T42" i="37" s="1"/>
  <c r="G42" i="37" s="1"/>
  <c r="H7" i="33"/>
  <c r="J7" i="33"/>
  <c r="D65" i="40"/>
  <c r="E63" i="40"/>
  <c r="F48" i="35"/>
  <c r="S7" i="36"/>
  <c r="AA7" i="36"/>
  <c r="R36" i="36" s="1"/>
  <c r="W7" i="37"/>
  <c r="AB7" i="36"/>
  <c r="T36" i="36" s="1"/>
  <c r="G36" i="36" s="1"/>
  <c r="U7" i="36"/>
  <c r="F7" i="33"/>
  <c r="E58" i="21"/>
  <c r="AC7" i="36"/>
  <c r="V36" i="36" s="1"/>
  <c r="I36" i="36" s="1"/>
  <c r="W7" i="36"/>
  <c r="F7" i="37"/>
  <c r="M17" i="67"/>
  <c r="M17" i="15"/>
  <c r="F59" i="15"/>
  <c r="P24" i="43"/>
  <c r="B66" i="40" s="1"/>
  <c r="P21" i="43"/>
  <c r="P25" i="43"/>
  <c r="P23" i="43"/>
  <c r="B71" i="39" s="1"/>
  <c r="M28" i="43"/>
  <c r="N28" i="43"/>
  <c r="G20" i="43" s="1"/>
  <c r="O28" i="43"/>
  <c r="P28" i="43"/>
  <c r="M11" i="67"/>
  <c r="J10" i="67" s="1"/>
  <c r="F11" i="15"/>
  <c r="M11" i="15"/>
  <c r="F11" i="67"/>
  <c r="B2" i="70"/>
  <c r="B3" i="70" s="1"/>
  <c r="C14" i="15"/>
  <c r="C17" i="15"/>
  <c r="C14" i="67"/>
  <c r="C16" i="15"/>
  <c r="G1" i="73"/>
  <c r="C17" i="67"/>
  <c r="C16" i="67"/>
  <c r="Q52" i="15" l="1"/>
  <c r="F1" i="15"/>
  <c r="S29" i="35"/>
  <c r="AA29" i="35"/>
  <c r="B40" i="1"/>
  <c r="I18" i="78" s="1"/>
  <c r="C18" i="78" s="1"/>
  <c r="E16" i="78" s="1"/>
  <c r="Q60" i="15"/>
  <c r="F7" i="80"/>
  <c r="Q61" i="15"/>
  <c r="AA17" i="34"/>
  <c r="S17" i="34"/>
  <c r="J7" i="80"/>
  <c r="H7" i="80"/>
  <c r="Q61" i="67"/>
  <c r="Q52" i="67"/>
  <c r="Q73" i="67"/>
  <c r="C49" i="67"/>
  <c r="J7" i="81"/>
  <c r="W7" i="81" s="1"/>
  <c r="AA7" i="85"/>
  <c r="S7" i="85"/>
  <c r="W32" i="33"/>
  <c r="AC32" i="33"/>
  <c r="W36" i="33"/>
  <c r="AC36" i="33"/>
  <c r="AA32" i="33"/>
  <c r="S32" i="33"/>
  <c r="Q61" i="71"/>
  <c r="Q60" i="71"/>
  <c r="U7" i="85"/>
  <c r="AB7" i="85"/>
  <c r="T27" i="71"/>
  <c r="D27" i="71"/>
  <c r="W7" i="85"/>
  <c r="AC7" i="85"/>
  <c r="K26" i="6"/>
  <c r="M26" i="6" s="1"/>
  <c r="I26" i="6" s="1"/>
  <c r="S26" i="6" s="1"/>
  <c r="K22" i="6"/>
  <c r="K24" i="6"/>
  <c r="AZ5" i="3"/>
  <c r="E3" i="6" s="1"/>
  <c r="AA7" i="80"/>
  <c r="S7" i="80"/>
  <c r="T47" i="71"/>
  <c r="D47" i="71"/>
  <c r="H7" i="81"/>
  <c r="F7" i="81"/>
  <c r="W7" i="80"/>
  <c r="AC7" i="80"/>
  <c r="AB7" i="80"/>
  <c r="U7" i="80"/>
  <c r="AC7" i="34"/>
  <c r="S7" i="34"/>
  <c r="AB7" i="34"/>
  <c r="J10" i="15"/>
  <c r="J5" i="15" s="1"/>
  <c r="J24" i="15" s="1"/>
  <c r="C15" i="15"/>
  <c r="C18" i="15"/>
  <c r="C15" i="67"/>
  <c r="C18" i="67"/>
  <c r="T39" i="71"/>
  <c r="D39" i="71"/>
  <c r="E61" i="39"/>
  <c r="E56" i="40"/>
  <c r="E30" i="6"/>
  <c r="E31" i="6" s="1"/>
  <c r="K14" i="1"/>
  <c r="M14" i="1" s="1"/>
  <c r="T55" i="71"/>
  <c r="D55" i="71"/>
  <c r="E16" i="6"/>
  <c r="J5" i="67"/>
  <c r="J26" i="67" s="1"/>
  <c r="J29" i="67" s="1"/>
  <c r="D61" i="71"/>
  <c r="O61" i="71"/>
  <c r="O60" i="71"/>
  <c r="M19" i="77"/>
  <c r="D35" i="71"/>
  <c r="M19" i="43" s="1"/>
  <c r="T35" i="71"/>
  <c r="O13" i="1"/>
  <c r="K25" i="6"/>
  <c r="M25" i="6" s="1"/>
  <c r="I25" i="6" s="1"/>
  <c r="S25" i="6" s="1"/>
  <c r="F31" i="6"/>
  <c r="K21" i="6"/>
  <c r="M21" i="6" s="1"/>
  <c r="I21" i="6" s="1"/>
  <c r="S21" i="6" s="1"/>
  <c r="G30" i="6"/>
  <c r="G31" i="6" s="1"/>
  <c r="U7" i="37"/>
  <c r="M11" i="1"/>
  <c r="H16" i="1"/>
  <c r="Q16" i="1"/>
  <c r="G16" i="1"/>
  <c r="C17" i="71"/>
  <c r="D18" i="71"/>
  <c r="F68" i="39"/>
  <c r="E70" i="39"/>
  <c r="G109" i="77"/>
  <c r="G106" i="77"/>
  <c r="G104" i="77"/>
  <c r="G102" i="77"/>
  <c r="G107" i="77"/>
  <c r="G105" i="77"/>
  <c r="G103" i="77"/>
  <c r="G118" i="77"/>
  <c r="H118" i="77" s="1"/>
  <c r="I116" i="77"/>
  <c r="J116" i="77" s="1"/>
  <c r="K116" i="77" s="1"/>
  <c r="L116" i="77" s="1"/>
  <c r="M116" i="77" s="1"/>
  <c r="D118" i="77"/>
  <c r="E118" i="77" s="1"/>
  <c r="F118" i="77" s="1"/>
  <c r="D117" i="77"/>
  <c r="E117" i="77" s="1"/>
  <c r="F117" i="77" s="1"/>
  <c r="G117" i="77" s="1"/>
  <c r="H117" i="77" s="1"/>
  <c r="D116" i="77"/>
  <c r="E116" i="77" s="1"/>
  <c r="F116" i="77" s="1"/>
  <c r="G116" i="77" s="1"/>
  <c r="H116" i="77" s="1"/>
  <c r="D115" i="77"/>
  <c r="E115" i="77" s="1"/>
  <c r="F115" i="77" s="1"/>
  <c r="G115" i="77" s="1"/>
  <c r="H115" i="77" s="1"/>
  <c r="I118" i="77"/>
  <c r="J118" i="77" s="1"/>
  <c r="K118" i="77" s="1"/>
  <c r="L118" i="77" s="1"/>
  <c r="M118" i="77" s="1"/>
  <c r="I117" i="77"/>
  <c r="J117" i="77" s="1"/>
  <c r="K117" i="77" s="1"/>
  <c r="L117" i="77" s="1"/>
  <c r="M117" i="77" s="1"/>
  <c r="I115" i="77"/>
  <c r="J115" i="77" s="1"/>
  <c r="K115" i="77" s="1"/>
  <c r="L115" i="77" s="1"/>
  <c r="M115" i="77" s="1"/>
  <c r="B118" i="77"/>
  <c r="C118" i="77" s="1"/>
  <c r="B117" i="77"/>
  <c r="C117" i="77" s="1"/>
  <c r="B116" i="77"/>
  <c r="C116" i="77" s="1"/>
  <c r="B115" i="77"/>
  <c r="J109" i="77"/>
  <c r="J107" i="77"/>
  <c r="J105" i="77"/>
  <c r="J103" i="77"/>
  <c r="J106" i="77"/>
  <c r="J104" i="77"/>
  <c r="J102" i="77"/>
  <c r="E106" i="77"/>
  <c r="E104" i="77"/>
  <c r="E102" i="77"/>
  <c r="E109" i="77"/>
  <c r="E107" i="77"/>
  <c r="E105" i="77"/>
  <c r="E103" i="77"/>
  <c r="M106" i="77"/>
  <c r="M104" i="77"/>
  <c r="M102" i="77"/>
  <c r="M109" i="77"/>
  <c r="M107" i="77"/>
  <c r="M105" i="77"/>
  <c r="M103" i="77"/>
  <c r="H109" i="77"/>
  <c r="H106" i="77"/>
  <c r="H104" i="77"/>
  <c r="H102" i="77"/>
  <c r="H105" i="77"/>
  <c r="H107" i="77"/>
  <c r="H103" i="77"/>
  <c r="N61" i="71"/>
  <c r="N60" i="71"/>
  <c r="C20" i="43"/>
  <c r="T12" i="43" s="1"/>
  <c r="V12" i="43" s="1"/>
  <c r="E41" i="43"/>
  <c r="C41" i="43" s="1"/>
  <c r="C35" i="43"/>
  <c r="C109" i="77"/>
  <c r="C106" i="77"/>
  <c r="C104" i="77"/>
  <c r="C102" i="77"/>
  <c r="C107" i="77"/>
  <c r="C105" i="77"/>
  <c r="C103" i="77"/>
  <c r="K109" i="77"/>
  <c r="K106" i="77"/>
  <c r="K104" i="77"/>
  <c r="K102" i="77"/>
  <c r="K107" i="77"/>
  <c r="K105" i="77"/>
  <c r="K103" i="77"/>
  <c r="F109" i="77"/>
  <c r="F107" i="77"/>
  <c r="F105" i="77"/>
  <c r="F103" i="77"/>
  <c r="F106" i="77"/>
  <c r="F104" i="77"/>
  <c r="F102" i="77"/>
  <c r="N109" i="77"/>
  <c r="N107" i="77"/>
  <c r="N105" i="77"/>
  <c r="N103" i="77"/>
  <c r="N106" i="77"/>
  <c r="N104" i="77"/>
  <c r="N102" i="77"/>
  <c r="D22" i="77"/>
  <c r="I106" i="77"/>
  <c r="I104" i="77"/>
  <c r="I102" i="77"/>
  <c r="I109" i="77"/>
  <c r="I107" i="77"/>
  <c r="I105" i="77"/>
  <c r="I103" i="77"/>
  <c r="D109" i="77"/>
  <c r="D106" i="77"/>
  <c r="D104" i="77"/>
  <c r="D102" i="77"/>
  <c r="D107" i="77"/>
  <c r="D103" i="77"/>
  <c r="D105" i="77"/>
  <c r="L109" i="77"/>
  <c r="L106" i="77"/>
  <c r="L104" i="77"/>
  <c r="L102" i="77"/>
  <c r="L107" i="77"/>
  <c r="L103" i="77"/>
  <c r="L105" i="77"/>
  <c r="C39" i="77"/>
  <c r="C37" i="77"/>
  <c r="C35" i="77"/>
  <c r="C33" i="77"/>
  <c r="C38" i="77"/>
  <c r="C36" i="77"/>
  <c r="C34" i="77"/>
  <c r="T16" i="77"/>
  <c r="V16" i="77" s="1"/>
  <c r="T3" i="77"/>
  <c r="V3" i="77" s="1"/>
  <c r="T9" i="77"/>
  <c r="V9" i="77" s="1"/>
  <c r="T13" i="77"/>
  <c r="V13" i="77" s="1"/>
  <c r="T14" i="77"/>
  <c r="V14" i="77" s="1"/>
  <c r="T7" i="77"/>
  <c r="V7" i="77" s="1"/>
  <c r="T15" i="77"/>
  <c r="V15" i="77" s="1"/>
  <c r="T8" i="77"/>
  <c r="V8" i="77" s="1"/>
  <c r="C29" i="77"/>
  <c r="T10" i="77"/>
  <c r="V10" i="77" s="1"/>
  <c r="T4" i="77"/>
  <c r="V4" i="77" s="1"/>
  <c r="T6" i="77"/>
  <c r="V6" i="77" s="1"/>
  <c r="T2" i="77"/>
  <c r="V2" i="77" s="1"/>
  <c r="T11" i="77"/>
  <c r="V11" i="77" s="1"/>
  <c r="T5" i="77"/>
  <c r="V5" i="77" s="1"/>
  <c r="T12" i="77"/>
  <c r="V12" i="77" s="1"/>
  <c r="B14" i="71"/>
  <c r="B13" i="71" s="1"/>
  <c r="B12" i="71" s="1"/>
  <c r="B11" i="71" s="1"/>
  <c r="S15" i="71"/>
  <c r="AC6" i="3"/>
  <c r="H6" i="3"/>
  <c r="K19" i="6"/>
  <c r="K20" i="6"/>
  <c r="K23" i="6"/>
  <c r="M22" i="6"/>
  <c r="I22" i="6" s="1"/>
  <c r="S22" i="6" s="1"/>
  <c r="S9" i="1"/>
  <c r="M24" i="6"/>
  <c r="I24" i="6" s="1"/>
  <c r="S24" i="6" s="1"/>
  <c r="S11" i="1"/>
  <c r="E66" i="39"/>
  <c r="F58" i="21"/>
  <c r="R37" i="36"/>
  <c r="E36" i="36"/>
  <c r="F63" i="40"/>
  <c r="E65" i="40"/>
  <c r="W7" i="33"/>
  <c r="AC7" i="33"/>
  <c r="AA7" i="37"/>
  <c r="R42" i="37" s="1"/>
  <c r="S7" i="37"/>
  <c r="I40" i="36"/>
  <c r="J40" i="36" s="1"/>
  <c r="S7" i="33"/>
  <c r="AA7" i="33"/>
  <c r="G40" i="36"/>
  <c r="H40" i="36" s="1"/>
  <c r="G41" i="36"/>
  <c r="H41" i="36" s="1"/>
  <c r="G46" i="37"/>
  <c r="H46" i="37" s="1"/>
  <c r="G47" i="37"/>
  <c r="H47" i="37" s="1"/>
  <c r="I46" i="37"/>
  <c r="J46" i="37" s="1"/>
  <c r="G48" i="35"/>
  <c r="U7" i="33"/>
  <c r="AB7" i="33"/>
  <c r="C53" i="67"/>
  <c r="C10" i="67"/>
  <c r="C5" i="67" s="1"/>
  <c r="C53" i="15"/>
  <c r="C48" i="15" s="1"/>
  <c r="C10" i="15"/>
  <c r="C5" i="15" s="1"/>
  <c r="S8" i="1" l="1"/>
  <c r="S12" i="1"/>
  <c r="F22" i="69"/>
  <c r="F41" i="69" s="1"/>
  <c r="F24" i="15"/>
  <c r="C24" i="15" s="1"/>
  <c r="F24" i="67"/>
  <c r="C24" i="67" s="1"/>
  <c r="F22" i="68"/>
  <c r="F41" i="68" s="1"/>
  <c r="F25" i="12"/>
  <c r="C26" i="12" s="1"/>
  <c r="D25" i="12" s="1"/>
  <c r="F22" i="11"/>
  <c r="C48" i="67"/>
  <c r="C60" i="67" s="1"/>
  <c r="C33" i="85"/>
  <c r="D3" i="85"/>
  <c r="D19" i="11"/>
  <c r="C19" i="11" s="1"/>
  <c r="C20" i="11" s="1"/>
  <c r="L18" i="9"/>
  <c r="M18" i="9"/>
  <c r="B118" i="9" s="1"/>
  <c r="B14" i="74" s="1"/>
  <c r="B1" i="74" s="1"/>
  <c r="C8" i="74" s="1"/>
  <c r="D37" i="11"/>
  <c r="C37" i="11" s="1"/>
  <c r="C34" i="69"/>
  <c r="C35" i="69" s="1"/>
  <c r="AC7" i="81"/>
  <c r="M16" i="1"/>
  <c r="AY6" i="3"/>
  <c r="AA7" i="81"/>
  <c r="S7" i="81"/>
  <c r="D3" i="81"/>
  <c r="C33" i="80"/>
  <c r="D3" i="80"/>
  <c r="U7" i="81"/>
  <c r="AB7" i="81"/>
  <c r="J24" i="67"/>
  <c r="J26" i="15"/>
  <c r="J29" i="15" s="1"/>
  <c r="C19" i="67"/>
  <c r="C20" i="67" s="1"/>
  <c r="C26" i="67" s="1"/>
  <c r="C19" i="15"/>
  <c r="C20" i="15" s="1"/>
  <c r="C26" i="15" s="1"/>
  <c r="AY122" i="3"/>
  <c r="AY285" i="3"/>
  <c r="AY91" i="3"/>
  <c r="AY490" i="3"/>
  <c r="AY582" i="3"/>
  <c r="AY329" i="3"/>
  <c r="AY565" i="3"/>
  <c r="AY172" i="3"/>
  <c r="AY351" i="3"/>
  <c r="AY165" i="3"/>
  <c r="AY340" i="3"/>
  <c r="AY235" i="3"/>
  <c r="AY129" i="3"/>
  <c r="AY249" i="3"/>
  <c r="AY55" i="3"/>
  <c r="AY448" i="3"/>
  <c r="AY140" i="3"/>
  <c r="AY347" i="3"/>
  <c r="AY528" i="3"/>
  <c r="AY175" i="3"/>
  <c r="AY339" i="3"/>
  <c r="AY583" i="3"/>
  <c r="AY302" i="3"/>
  <c r="AY385" i="3"/>
  <c r="AY232" i="3"/>
  <c r="AY151" i="3"/>
  <c r="AY568" i="3"/>
  <c r="AY307" i="3"/>
  <c r="AY467" i="3"/>
  <c r="AY369" i="3"/>
  <c r="AY429" i="3"/>
  <c r="AY312" i="3"/>
  <c r="AY315" i="3"/>
  <c r="AY143" i="3"/>
  <c r="BT6" i="3"/>
  <c r="AY239" i="3"/>
  <c r="AY454" i="3"/>
  <c r="AY321" i="3"/>
  <c r="AY487" i="3"/>
  <c r="AY378" i="3"/>
  <c r="AY184" i="3"/>
  <c r="AY550" i="3"/>
  <c r="AY48" i="3"/>
  <c r="AY471" i="3"/>
  <c r="AY578" i="3"/>
  <c r="AY120" i="3"/>
  <c r="AY330" i="3"/>
  <c r="AY576" i="3"/>
  <c r="AY136" i="3"/>
  <c r="AY322" i="3"/>
  <c r="AY567" i="3"/>
  <c r="BD6" i="3"/>
  <c r="AY468" i="3"/>
  <c r="AY301" i="3"/>
  <c r="AY485" i="3"/>
  <c r="AY107" i="3"/>
  <c r="AY293" i="3"/>
  <c r="AY477" i="3"/>
  <c r="AY226" i="3"/>
  <c r="AY222" i="3"/>
  <c r="AY435" i="3"/>
  <c r="AY304" i="3"/>
  <c r="AY410" i="3"/>
  <c r="AY362" i="3"/>
  <c r="AY148" i="3"/>
  <c r="AY194" i="3"/>
  <c r="AY493" i="3"/>
  <c r="AY257" i="3"/>
  <c r="BL6" i="3"/>
  <c r="AY524" i="3"/>
  <c r="AY375" i="3"/>
  <c r="AY350" i="3"/>
  <c r="AY389" i="3"/>
  <c r="AY525" i="3"/>
  <c r="AY461" i="3"/>
  <c r="D3" i="6"/>
  <c r="AY346" i="3"/>
  <c r="AY128" i="3"/>
  <c r="BC6" i="3"/>
  <c r="AY158" i="3"/>
  <c r="AY458" i="3"/>
  <c r="AY110" i="3"/>
  <c r="AY296" i="3"/>
  <c r="AY482" i="3"/>
  <c r="AY102" i="3"/>
  <c r="AY288" i="3"/>
  <c r="AY474" i="3"/>
  <c r="AY71" i="3"/>
  <c r="AY544" i="3"/>
  <c r="AY135" i="3"/>
  <c r="AY494" i="3"/>
  <c r="AY13" i="3"/>
  <c r="AY53" i="3"/>
  <c r="BS6" i="3"/>
  <c r="BN6" i="3"/>
  <c r="AY418" i="3"/>
  <c r="AY531" i="3"/>
  <c r="AY469" i="3"/>
  <c r="AY277" i="3"/>
  <c r="AY511" i="3"/>
  <c r="AY137" i="3"/>
  <c r="AY426" i="3"/>
  <c r="AY79" i="3"/>
  <c r="AY265" i="3"/>
  <c r="AY451" i="3"/>
  <c r="AY443" i="3"/>
  <c r="AY584" i="3"/>
  <c r="AY364" i="3"/>
  <c r="AY195" i="3"/>
  <c r="AY230" i="3"/>
  <c r="AY93" i="3"/>
  <c r="AY518" i="3"/>
  <c r="AY399" i="3"/>
  <c r="AY63" i="3"/>
  <c r="AY456" i="3"/>
  <c r="AY241" i="3"/>
  <c r="AY504" i="3"/>
  <c r="AY287" i="3"/>
  <c r="AY439" i="3"/>
  <c r="AY47" i="3"/>
  <c r="AY233" i="3"/>
  <c r="AY440" i="3"/>
  <c r="AY39" i="3"/>
  <c r="AY272" i="3"/>
  <c r="AY432" i="3"/>
  <c r="AY332" i="3"/>
  <c r="AY40" i="3"/>
  <c r="AY508" i="3"/>
  <c r="AY564" i="3"/>
  <c r="AY46" i="3"/>
  <c r="AY224" i="3"/>
  <c r="AY586" i="3"/>
  <c r="AY251" i="3"/>
  <c r="AY407" i="3"/>
  <c r="AY62" i="3"/>
  <c r="AY248" i="3"/>
  <c r="AY408" i="3"/>
  <c r="AY54" i="3"/>
  <c r="AY240" i="3"/>
  <c r="AY400" i="3"/>
  <c r="AY200" i="3"/>
  <c r="AY203" i="3"/>
  <c r="AY437" i="3"/>
  <c r="AY510" i="3"/>
  <c r="AY150" i="3"/>
  <c r="AY577" i="3"/>
  <c r="AY537" i="3"/>
  <c r="AY192" i="3"/>
  <c r="AY558" i="3"/>
  <c r="AY391" i="3"/>
  <c r="AY498" i="3"/>
  <c r="AY234" i="3"/>
  <c r="AY506" i="3"/>
  <c r="AY30" i="3"/>
  <c r="AY216" i="3"/>
  <c r="AY421" i="3"/>
  <c r="AY22" i="3"/>
  <c r="AY208" i="3"/>
  <c r="AY413" i="3"/>
  <c r="AY156" i="3"/>
  <c r="AY500" i="3"/>
  <c r="AY521" i="3"/>
  <c r="AY205" i="3"/>
  <c r="AY338" i="3"/>
  <c r="AY383" i="3"/>
  <c r="AY15" i="3"/>
  <c r="AY217" i="3"/>
  <c r="AY279" i="3"/>
  <c r="AY49" i="3"/>
  <c r="AY548" i="3"/>
  <c r="AY560" i="3"/>
  <c r="AY354" i="3"/>
  <c r="AY501" i="3"/>
  <c r="AY380" i="3"/>
  <c r="AY14" i="3"/>
  <c r="AY19" i="3"/>
  <c r="AY394" i="3"/>
  <c r="AY386" i="3"/>
  <c r="D3" i="33"/>
  <c r="C34" i="34"/>
  <c r="L45" i="34" s="1"/>
  <c r="I3" i="78"/>
  <c r="D3" i="34"/>
  <c r="E6" i="6"/>
  <c r="D14" i="12"/>
  <c r="C17" i="4"/>
  <c r="B4" i="52" s="1"/>
  <c r="B43" i="72" s="1"/>
  <c r="D3" i="21"/>
  <c r="D3" i="37"/>
  <c r="K16" i="1"/>
  <c r="P13" i="1"/>
  <c r="P16" i="1" s="1"/>
  <c r="C11" i="12" s="1"/>
  <c r="O16" i="1"/>
  <c r="G34" i="77"/>
  <c r="I34" i="77" s="1"/>
  <c r="E34" i="77"/>
  <c r="G38" i="77"/>
  <c r="I38" i="77" s="1"/>
  <c r="E38" i="77"/>
  <c r="G35" i="77"/>
  <c r="I35" i="77" s="1"/>
  <c r="E35" i="77"/>
  <c r="G39" i="77"/>
  <c r="I39" i="77" s="1"/>
  <c r="E39" i="77"/>
  <c r="C38" i="43"/>
  <c r="C39" i="43"/>
  <c r="C115" i="77"/>
  <c r="D113" i="77" s="1"/>
  <c r="F10" i="39"/>
  <c r="H10" i="39"/>
  <c r="J10" i="39"/>
  <c r="J10" i="40"/>
  <c r="F10" i="40"/>
  <c r="H10" i="40"/>
  <c r="N16" i="1"/>
  <c r="C34" i="68"/>
  <c r="C34" i="11"/>
  <c r="L16" i="1"/>
  <c r="C37" i="43"/>
  <c r="C33" i="43"/>
  <c r="B10" i="71"/>
  <c r="B9" i="71" s="1"/>
  <c r="B8" i="71" s="1"/>
  <c r="B7" i="71" s="1"/>
  <c r="S11" i="71"/>
  <c r="C30" i="77"/>
  <c r="E30" i="77" s="1"/>
  <c r="E29" i="77"/>
  <c r="G36" i="77"/>
  <c r="I36" i="77" s="1"/>
  <c r="E36" i="77"/>
  <c r="G33" i="77"/>
  <c r="I33" i="77" s="1"/>
  <c r="E33" i="77"/>
  <c r="G37" i="77"/>
  <c r="I37" i="77" s="1"/>
  <c r="E37" i="77"/>
  <c r="E35" i="43"/>
  <c r="G35" i="43"/>
  <c r="I35" i="43" s="1"/>
  <c r="T15" i="43"/>
  <c r="V15" i="43" s="1"/>
  <c r="T13" i="43"/>
  <c r="V13" i="43" s="1"/>
  <c r="T11" i="43"/>
  <c r="V11" i="43" s="1"/>
  <c r="T8" i="43"/>
  <c r="V8" i="43" s="1"/>
  <c r="T10" i="43"/>
  <c r="V10" i="43" s="1"/>
  <c r="G68" i="39"/>
  <c r="F70" i="39"/>
  <c r="D17" i="71"/>
  <c r="C16" i="71"/>
  <c r="F27" i="69"/>
  <c r="F27" i="11"/>
  <c r="F27" i="68"/>
  <c r="F28" i="12"/>
  <c r="C29" i="12" s="1"/>
  <c r="D28" i="12" s="1"/>
  <c r="C34" i="43"/>
  <c r="T9" i="43"/>
  <c r="V9" i="43" s="1"/>
  <c r="C36" i="43"/>
  <c r="T16" i="43"/>
  <c r="V16" i="43" s="1"/>
  <c r="T14" i="43"/>
  <c r="V14" i="43" s="1"/>
  <c r="AQ12" i="1"/>
  <c r="AR12" i="1"/>
  <c r="T12" i="1"/>
  <c r="E6" i="3"/>
  <c r="S7" i="1"/>
  <c r="M20" i="6"/>
  <c r="I20" i="6" s="1"/>
  <c r="S10" i="1"/>
  <c r="M23" i="6"/>
  <c r="I23" i="6" s="1"/>
  <c r="S6" i="1"/>
  <c r="K27" i="6"/>
  <c r="M19" i="6"/>
  <c r="AQ11" i="1"/>
  <c r="T11" i="1"/>
  <c r="AR11" i="1"/>
  <c r="AR8" i="1"/>
  <c r="AQ8" i="1"/>
  <c r="T8" i="1"/>
  <c r="AR9" i="1"/>
  <c r="AQ9" i="1"/>
  <c r="T9" i="1"/>
  <c r="E40" i="36"/>
  <c r="F40" i="36" s="1"/>
  <c r="E41" i="36"/>
  <c r="F41" i="36" s="1"/>
  <c r="H48" i="35"/>
  <c r="I41" i="36"/>
  <c r="J41" i="36" s="1"/>
  <c r="R43" i="37"/>
  <c r="E42" i="37"/>
  <c r="G63" i="40"/>
  <c r="F65" i="40"/>
  <c r="C37" i="36"/>
  <c r="B2" i="36" s="1"/>
  <c r="B3" i="36" s="1"/>
  <c r="C36" i="36"/>
  <c r="G58" i="21"/>
  <c r="C60" i="15"/>
  <c r="C66" i="15"/>
  <c r="C38" i="67"/>
  <c r="C38" i="15"/>
  <c r="C44" i="68" l="1"/>
  <c r="D41" i="68" s="1"/>
  <c r="C26" i="68"/>
  <c r="D22" i="68" s="1"/>
  <c r="C44" i="69"/>
  <c r="D41" i="69" s="1"/>
  <c r="C26" i="69"/>
  <c r="D22" i="69" s="1"/>
  <c r="C24" i="11"/>
  <c r="C23" i="11"/>
  <c r="C44" i="11"/>
  <c r="D41" i="11" s="1"/>
  <c r="C26" i="11"/>
  <c r="D22" i="11" s="1"/>
  <c r="C25" i="11"/>
  <c r="C66" i="67"/>
  <c r="C38" i="69"/>
  <c r="AY463" i="3"/>
  <c r="AY243" i="3"/>
  <c r="AY32" i="3"/>
  <c r="AY563" i="3"/>
  <c r="AY167" i="3"/>
  <c r="AY512" i="3"/>
  <c r="AY323" i="3"/>
  <c r="AY427" i="3"/>
  <c r="AY371" i="3"/>
  <c r="AY123" i="3"/>
  <c r="AY66" i="3"/>
  <c r="AY229" i="3"/>
  <c r="AY105" i="3"/>
  <c r="AY51" i="3"/>
  <c r="AY553" i="3"/>
  <c r="AY392" i="3"/>
  <c r="AY334" i="3"/>
  <c r="AY535" i="3"/>
  <c r="AY358" i="3"/>
  <c r="AY73" i="3"/>
  <c r="AY316" i="3"/>
  <c r="BG6" i="3"/>
  <c r="AY533" i="3"/>
  <c r="AY227" i="3"/>
  <c r="AY275" i="3"/>
  <c r="AY419" i="3"/>
  <c r="AY64" i="3"/>
  <c r="AY479" i="3"/>
  <c r="BP6" i="3"/>
  <c r="AY423" i="3"/>
  <c r="AY152" i="3"/>
  <c r="AY197" i="3"/>
  <c r="AY89" i="3"/>
  <c r="AY43" i="3"/>
  <c r="AY300" i="3"/>
  <c r="AY130" i="3"/>
  <c r="AY530" i="3"/>
  <c r="AY238" i="3"/>
  <c r="AY92" i="3"/>
  <c r="AY393" i="3"/>
  <c r="AY142" i="3"/>
  <c r="AY519" i="3"/>
  <c r="AY127" i="3"/>
  <c r="AY587" i="3"/>
  <c r="AY306" i="3"/>
  <c r="AY446" i="3"/>
  <c r="AY488" i="3"/>
  <c r="AY425" i="3"/>
  <c r="AY261" i="3"/>
  <c r="AY176" i="3"/>
  <c r="AY212" i="3"/>
  <c r="AY100" i="3"/>
  <c r="AY124" i="3"/>
  <c r="AY77" i="3"/>
  <c r="AY381" i="3"/>
  <c r="AY444" i="3"/>
  <c r="AY574" i="3"/>
  <c r="AY433" i="3"/>
  <c r="AY56" i="3"/>
  <c r="AY475" i="3"/>
  <c r="AY34" i="3"/>
  <c r="AY97" i="3"/>
  <c r="AY384" i="3"/>
  <c r="AY258" i="3"/>
  <c r="AY503" i="3"/>
  <c r="AY21" i="3"/>
  <c r="AY476" i="3"/>
  <c r="AY16" i="3"/>
  <c r="AY499" i="3"/>
  <c r="AY87" i="3"/>
  <c r="AY41" i="3"/>
  <c r="AY562" i="3"/>
  <c r="AY571" i="3"/>
  <c r="BF6" i="3"/>
  <c r="AY569" i="3"/>
  <c r="AY495" i="3"/>
  <c r="AY81" i="3"/>
  <c r="AY36" i="3"/>
  <c r="AY185" i="3"/>
  <c r="AY325" i="3"/>
  <c r="AY298" i="3"/>
  <c r="AY189" i="3"/>
  <c r="AY280" i="3"/>
  <c r="AY86" i="3"/>
  <c r="AY459" i="3"/>
  <c r="AY210" i="3"/>
  <c r="AY349" i="3"/>
  <c r="AY147" i="3"/>
  <c r="AY204" i="3"/>
  <c r="AY115" i="3"/>
  <c r="AY379" i="3"/>
  <c r="AY69" i="3"/>
  <c r="AY281" i="3"/>
  <c r="AY60" i="3"/>
  <c r="AY357" i="3"/>
  <c r="AY83" i="3"/>
  <c r="AY555" i="3"/>
  <c r="AY541" i="3"/>
  <c r="AY202" i="3"/>
  <c r="AY472" i="3"/>
  <c r="AY95" i="3"/>
  <c r="AY61" i="3"/>
  <c r="AY373" i="3"/>
  <c r="AY215" i="3"/>
  <c r="AY580" i="3"/>
  <c r="AY174" i="3"/>
  <c r="AY445" i="3"/>
  <c r="AY514" i="3"/>
  <c r="AY502" i="3"/>
  <c r="AY546" i="3"/>
  <c r="BJ6" i="3"/>
  <c r="AY481" i="3"/>
  <c r="AY199" i="3"/>
  <c r="AY450" i="3"/>
  <c r="AY314" i="3"/>
  <c r="AY395" i="3"/>
  <c r="AY157" i="3"/>
  <c r="AY483" i="3"/>
  <c r="AY491" i="3"/>
  <c r="AY214" i="3"/>
  <c r="AY320" i="3"/>
  <c r="AY125" i="3"/>
  <c r="AY308" i="3"/>
  <c r="AY218" i="3"/>
  <c r="AY266" i="3"/>
  <c r="AY264" i="3"/>
  <c r="AY70" i="3"/>
  <c r="AY416" i="3"/>
  <c r="AY104" i="3"/>
  <c r="AY290" i="3"/>
  <c r="AY103" i="3"/>
  <c r="AY284" i="3"/>
  <c r="AY188" i="3"/>
  <c r="AY343" i="3"/>
  <c r="AY84" i="3"/>
  <c r="AY236" i="3"/>
  <c r="AY206" i="3"/>
  <c r="AY554" i="3"/>
  <c r="AY155" i="3"/>
  <c r="AY85" i="3"/>
  <c r="AY45" i="3"/>
  <c r="AY166" i="3"/>
  <c r="AY462" i="3"/>
  <c r="AY111" i="3"/>
  <c r="AY44" i="3"/>
  <c r="AY368" i="3"/>
  <c r="AY370" i="3"/>
  <c r="AY572" i="3"/>
  <c r="AY153" i="3"/>
  <c r="AY434" i="3"/>
  <c r="AY96" i="3"/>
  <c r="BR6" i="3"/>
  <c r="AY561" i="3"/>
  <c r="AY397" i="3"/>
  <c r="AY244" i="3"/>
  <c r="AY516" i="3"/>
  <c r="AY417" i="3"/>
  <c r="AY526" i="3"/>
  <c r="AY260" i="3"/>
  <c r="AY396" i="3"/>
  <c r="BE6" i="3"/>
  <c r="AY486" i="3"/>
  <c r="AY556" i="3"/>
  <c r="AY237" i="3"/>
  <c r="AY484" i="3"/>
  <c r="AY253" i="3"/>
  <c r="AY112" i="3"/>
  <c r="AY517" i="3"/>
  <c r="AY183" i="3"/>
  <c r="AY134" i="3"/>
  <c r="AY387" i="3"/>
  <c r="AY348" i="3"/>
  <c r="AY406" i="3"/>
  <c r="AY114" i="3"/>
  <c r="AY271" i="3"/>
  <c r="AY464" i="3"/>
  <c r="AY352" i="3"/>
  <c r="AY313" i="3"/>
  <c r="AY221" i="3"/>
  <c r="AY27" i="3"/>
  <c r="AY28" i="3"/>
  <c r="AY24" i="3"/>
  <c r="AY67" i="3"/>
  <c r="AY252" i="3"/>
  <c r="AY276" i="3"/>
  <c r="AY326" i="3"/>
  <c r="AY52" i="3"/>
  <c r="AY473" i="3"/>
  <c r="AY170" i="3"/>
  <c r="AY98" i="3"/>
  <c r="AY131" i="3"/>
  <c r="AY68" i="3"/>
  <c r="AY201" i="3"/>
  <c r="AY145" i="3"/>
  <c r="AY430" i="3"/>
  <c r="AY382" i="3"/>
  <c r="AY190" i="3"/>
  <c r="AY507" i="3"/>
  <c r="AY341" i="3"/>
  <c r="AY536" i="3"/>
  <c r="AY113" i="3"/>
  <c r="AY402" i="3"/>
  <c r="AY37" i="3"/>
  <c r="BA6" i="3"/>
  <c r="AY581" i="3"/>
  <c r="AY247" i="3"/>
  <c r="AY428" i="3"/>
  <c r="AY119" i="3"/>
  <c r="AY59" i="3"/>
  <c r="BK6" i="3"/>
  <c r="AY160" i="3"/>
  <c r="AY335" i="3"/>
  <c r="AY193" i="3"/>
  <c r="AY90" i="3"/>
  <c r="AY262" i="3"/>
  <c r="AY291" i="3"/>
  <c r="AY223" i="3"/>
  <c r="AY405" i="3"/>
  <c r="AY412" i="3"/>
  <c r="AY513" i="3"/>
  <c r="BH6" i="3"/>
  <c r="AY161" i="3"/>
  <c r="AY305" i="3"/>
  <c r="AY132" i="3"/>
  <c r="AY497" i="3"/>
  <c r="AY121" i="3"/>
  <c r="AY82" i="3"/>
  <c r="AY254" i="3"/>
  <c r="AY422" i="3"/>
  <c r="AY336" i="3"/>
  <c r="AY453" i="3"/>
  <c r="AY376" i="3"/>
  <c r="AY179" i="3"/>
  <c r="AY126" i="3"/>
  <c r="AY360" i="3"/>
  <c r="AY50" i="3"/>
  <c r="AY209" i="3"/>
  <c r="AY297" i="3"/>
  <c r="AY478" i="3"/>
  <c r="AY20" i="3"/>
  <c r="AY106" i="3"/>
  <c r="AY149" i="3"/>
  <c r="AY18" i="3"/>
  <c r="AY268" i="3"/>
  <c r="AY25" i="3"/>
  <c r="AY118" i="3"/>
  <c r="AY295" i="3"/>
  <c r="AY398" i="3"/>
  <c r="AY460" i="3"/>
  <c r="AY154" i="3"/>
  <c r="BB6" i="3"/>
  <c r="AY309" i="3"/>
  <c r="AY520" i="3"/>
  <c r="AY267" i="3"/>
  <c r="AY415" i="3"/>
  <c r="AY169" i="3"/>
  <c r="AY94" i="3"/>
  <c r="AY414" i="3"/>
  <c r="AY138" i="3"/>
  <c r="AY58" i="3"/>
  <c r="AY365" i="3"/>
  <c r="AY294" i="3"/>
  <c r="BQ6" i="3"/>
  <c r="AY543" i="3"/>
  <c r="AY538" i="3"/>
  <c r="AY465" i="3"/>
  <c r="AY246" i="3"/>
  <c r="AY367" i="3"/>
  <c r="AY539" i="3"/>
  <c r="AY447" i="3"/>
  <c r="AY549" i="3"/>
  <c r="AY303" i="3"/>
  <c r="AY191" i="3"/>
  <c r="AY211" i="3"/>
  <c r="AY403" i="3"/>
  <c r="AY492" i="3"/>
  <c r="AY579" i="3"/>
  <c r="AY331" i="3"/>
  <c r="AY159" i="3"/>
  <c r="AY404" i="3"/>
  <c r="AY283" i="3"/>
  <c r="AY196" i="3"/>
  <c r="AY363" i="3"/>
  <c r="AY225" i="3"/>
  <c r="AY436" i="3"/>
  <c r="AY198" i="3"/>
  <c r="AY245" i="3"/>
  <c r="AY299" i="3"/>
  <c r="AY171" i="3"/>
  <c r="AY318" i="3"/>
  <c r="AY178" i="3"/>
  <c r="AY278" i="3"/>
  <c r="AY259" i="3"/>
  <c r="AY411" i="3"/>
  <c r="AY26" i="3"/>
  <c r="AY133" i="3"/>
  <c r="AY88" i="3"/>
  <c r="AY324" i="3"/>
  <c r="AY552" i="3"/>
  <c r="AY250" i="3"/>
  <c r="AY505" i="3"/>
  <c r="AY282" i="3"/>
  <c r="AY76" i="3"/>
  <c r="AY457" i="3"/>
  <c r="AY108" i="3"/>
  <c r="AY23" i="3"/>
  <c r="AY72" i="3"/>
  <c r="BM6" i="3"/>
  <c r="AY74" i="3"/>
  <c r="AY311" i="3"/>
  <c r="AY420" i="3"/>
  <c r="AY551" i="3"/>
  <c r="AY355" i="3"/>
  <c r="AY180" i="3"/>
  <c r="AY545" i="3"/>
  <c r="AY509" i="3"/>
  <c r="AY319" i="3"/>
  <c r="AY242" i="3"/>
  <c r="AY228" i="3"/>
  <c r="BI6" i="3"/>
  <c r="AY527" i="3"/>
  <c r="AY431" i="3"/>
  <c r="AY99" i="3"/>
  <c r="AY466" i="3"/>
  <c r="AY273" i="3"/>
  <c r="AY31" i="3"/>
  <c r="AY168" i="3"/>
  <c r="AY139" i="3"/>
  <c r="AY489" i="3"/>
  <c r="AY470" i="3"/>
  <c r="AY557" i="3"/>
  <c r="AY162" i="3"/>
  <c r="AY342" i="3"/>
  <c r="AY263" i="3"/>
  <c r="AY163" i="3"/>
  <c r="AY269" i="3"/>
  <c r="AY117" i="3"/>
  <c r="AY219" i="3"/>
  <c r="AY388" i="3"/>
  <c r="AY585" i="3"/>
  <c r="AY372" i="3"/>
  <c r="AY286" i="3"/>
  <c r="AY29" i="3"/>
  <c r="AY480" i="3"/>
  <c r="AY532" i="3"/>
  <c r="AY361" i="3"/>
  <c r="AY522" i="3"/>
  <c r="AY345" i="3"/>
  <c r="AY401" i="3"/>
  <c r="AY317" i="3"/>
  <c r="AY441" i="3"/>
  <c r="AY220" i="3"/>
  <c r="AY35" i="3"/>
  <c r="AY144" i="3"/>
  <c r="AY141" i="3"/>
  <c r="AY333" i="3"/>
  <c r="AY438" i="3"/>
  <c r="AY274" i="3"/>
  <c r="AY177" i="3"/>
  <c r="AY57" i="3"/>
  <c r="AY559" i="3"/>
  <c r="AY17" i="3"/>
  <c r="AY78" i="3"/>
  <c r="AY424" i="3"/>
  <c r="AY256" i="3"/>
  <c r="AY529" i="3"/>
  <c r="AY182" i="3"/>
  <c r="AY289" i="3"/>
  <c r="AY455" i="3"/>
  <c r="AY409" i="3"/>
  <c r="AY573" i="3"/>
  <c r="AY173" i="3"/>
  <c r="AY452" i="3"/>
  <c r="AY231" i="3"/>
  <c r="AY75" i="3"/>
  <c r="AY390" i="3"/>
  <c r="AY42" i="3"/>
  <c r="AY374" i="3"/>
  <c r="AY353" i="3"/>
  <c r="AY534" i="3"/>
  <c r="AY310" i="3"/>
  <c r="AY255" i="3"/>
  <c r="AY181" i="3"/>
  <c r="AY449" i="3"/>
  <c r="AY496" i="3"/>
  <c r="AY337" i="3"/>
  <c r="AY515" i="3"/>
  <c r="AY328" i="3"/>
  <c r="AY327" i="3"/>
  <c r="AY377" i="3"/>
  <c r="AY207" i="3"/>
  <c r="AY292" i="3"/>
  <c r="AY186" i="3"/>
  <c r="AY575" i="3"/>
  <c r="AY213" i="3"/>
  <c r="BO6" i="3"/>
  <c r="AY540" i="3"/>
  <c r="AY366" i="3"/>
  <c r="AY270" i="3"/>
  <c r="AY523" i="3"/>
  <c r="AY146" i="3"/>
  <c r="AY187" i="3"/>
  <c r="AY116" i="3"/>
  <c r="AY109" i="3"/>
  <c r="AY442" i="3"/>
  <c r="AY566" i="3"/>
  <c r="AY80" i="3"/>
  <c r="AY570" i="3"/>
  <c r="AY542" i="3"/>
  <c r="AY164" i="3"/>
  <c r="AY356" i="3"/>
  <c r="AY65" i="3"/>
  <c r="AY344" i="3"/>
  <c r="AY547" i="3"/>
  <c r="AY33" i="3"/>
  <c r="AY38" i="3"/>
  <c r="AY101" i="3"/>
  <c r="AY359" i="3"/>
  <c r="C7" i="74"/>
  <c r="J33" i="85"/>
  <c r="F33" i="85"/>
  <c r="H33" i="85"/>
  <c r="J33" i="33"/>
  <c r="F33" i="33"/>
  <c r="H33" i="33"/>
  <c r="J33" i="80"/>
  <c r="F33" i="80"/>
  <c r="H33" i="80"/>
  <c r="J34" i="81"/>
  <c r="F34" i="81"/>
  <c r="H34" i="81"/>
  <c r="C23" i="15"/>
  <c r="C29" i="15" s="1"/>
  <c r="C57" i="15" s="1"/>
  <c r="C61" i="15" s="1"/>
  <c r="C23" i="67"/>
  <c r="C29" i="67" s="1"/>
  <c r="C13" i="67" s="1"/>
  <c r="C15" i="12"/>
  <c r="C12" i="12"/>
  <c r="C14" i="12"/>
  <c r="D17" i="12"/>
  <c r="C17" i="12" s="1"/>
  <c r="D5" i="6"/>
  <c r="C18" i="4"/>
  <c r="D12" i="6"/>
  <c r="D8" i="6"/>
  <c r="D11" i="6"/>
  <c r="D23" i="6"/>
  <c r="M19" i="9"/>
  <c r="C118" i="9" s="1"/>
  <c r="C14" i="74" s="1"/>
  <c r="B2" i="74" s="1"/>
  <c r="D13" i="6"/>
  <c r="D14" i="6"/>
  <c r="H25" i="6"/>
  <c r="D28" i="6"/>
  <c r="D6" i="6"/>
  <c r="D26" i="6"/>
  <c r="E61" i="40"/>
  <c r="D9" i="6"/>
  <c r="D25" i="6"/>
  <c r="R25" i="6" s="1"/>
  <c r="R12" i="1" s="1"/>
  <c r="H22" i="6"/>
  <c r="D10" i="6"/>
  <c r="D21" i="6"/>
  <c r="D15" i="6"/>
  <c r="H21" i="6"/>
  <c r="L19" i="9"/>
  <c r="D22" i="6"/>
  <c r="H24" i="6"/>
  <c r="D29" i="6"/>
  <c r="D20" i="6"/>
  <c r="D24" i="6"/>
  <c r="D19" i="6"/>
  <c r="H26" i="6"/>
  <c r="D10" i="11"/>
  <c r="C10" i="11" s="1"/>
  <c r="D20" i="12"/>
  <c r="C20" i="12" s="1"/>
  <c r="C18" i="12" s="1"/>
  <c r="D10" i="68"/>
  <c r="D10" i="69"/>
  <c r="C8" i="78"/>
  <c r="C11" i="78"/>
  <c r="J34" i="34"/>
  <c r="H34" i="34"/>
  <c r="F34" i="34"/>
  <c r="C26" i="77"/>
  <c r="B2" i="77" s="1"/>
  <c r="B3" i="77" s="1"/>
  <c r="E36" i="43"/>
  <c r="G36" i="43"/>
  <c r="I36" i="43" s="1"/>
  <c r="E34" i="43"/>
  <c r="G34" i="43"/>
  <c r="I34" i="43" s="1"/>
  <c r="C29" i="68"/>
  <c r="D27" i="68" s="1"/>
  <c r="C47" i="68"/>
  <c r="D45" i="68" s="1"/>
  <c r="F45" i="68"/>
  <c r="C29" i="69"/>
  <c r="D27" i="69" s="1"/>
  <c r="C47" i="69"/>
  <c r="D45" i="69" s="1"/>
  <c r="F45" i="69"/>
  <c r="G70" i="39"/>
  <c r="H68" i="39"/>
  <c r="B6" i="71"/>
  <c r="B5" i="71" s="1"/>
  <c r="S7" i="71"/>
  <c r="E33" i="43"/>
  <c r="G33" i="43"/>
  <c r="I33" i="43" s="1"/>
  <c r="C38" i="68"/>
  <c r="C35" i="68"/>
  <c r="AB10" i="40"/>
  <c r="U10" i="40"/>
  <c r="W10" i="40"/>
  <c r="AC10" i="40"/>
  <c r="U10" i="39"/>
  <c r="AB10" i="39"/>
  <c r="E39" i="43"/>
  <c r="G39" i="43"/>
  <c r="I39" i="43" s="1"/>
  <c r="C29" i="11"/>
  <c r="D27" i="11" s="1"/>
  <c r="C47" i="11"/>
  <c r="D45" i="11" s="1"/>
  <c r="D16" i="71"/>
  <c r="C15" i="71"/>
  <c r="C27" i="77"/>
  <c r="C28" i="11"/>
  <c r="C27" i="11" s="1"/>
  <c r="E37" i="43"/>
  <c r="G37" i="43"/>
  <c r="I37" i="43" s="1"/>
  <c r="C35" i="11"/>
  <c r="C38" i="11"/>
  <c r="F50" i="68"/>
  <c r="F50" i="69"/>
  <c r="F50" i="11"/>
  <c r="S10" i="40"/>
  <c r="AA10" i="40"/>
  <c r="AC10" i="39"/>
  <c r="W10" i="39"/>
  <c r="S10" i="39"/>
  <c r="AA10" i="39"/>
  <c r="E38" i="43"/>
  <c r="G38" i="43"/>
  <c r="I38" i="43" s="1"/>
  <c r="S23" i="6"/>
  <c r="H23" i="6"/>
  <c r="R23" i="6" s="1"/>
  <c r="R10" i="1" s="1"/>
  <c r="S20" i="6"/>
  <c r="H20" i="6"/>
  <c r="I19" i="6"/>
  <c r="M27" i="6"/>
  <c r="AQ6" i="1"/>
  <c r="S16" i="1"/>
  <c r="T6" i="1"/>
  <c r="AR6" i="1"/>
  <c r="AQ10" i="1"/>
  <c r="T10" i="1"/>
  <c r="AR10" i="1"/>
  <c r="T7" i="1"/>
  <c r="T16" i="1" s="1"/>
  <c r="AQ7" i="1"/>
  <c r="AR7" i="1"/>
  <c r="C19" i="68"/>
  <c r="G65" i="40"/>
  <c r="H63" i="40"/>
  <c r="C43" i="37"/>
  <c r="B2" i="37" s="1"/>
  <c r="B3" i="37" s="1"/>
  <c r="C42" i="37"/>
  <c r="I48" i="35"/>
  <c r="H58" i="21"/>
  <c r="E47" i="37"/>
  <c r="F47" i="37" s="1"/>
  <c r="E46" i="37"/>
  <c r="F46" i="37" s="1"/>
  <c r="I47" i="37"/>
  <c r="J47" i="37" s="1"/>
  <c r="B7" i="76"/>
  <c r="C22" i="11" l="1"/>
  <c r="C31" i="11" s="1"/>
  <c r="W33" i="85"/>
  <c r="AC33" i="85"/>
  <c r="V48" i="85" s="1"/>
  <c r="I48" i="85" s="1"/>
  <c r="R20" i="6"/>
  <c r="R7" i="1" s="1"/>
  <c r="J14" i="15"/>
  <c r="J22" i="15" s="1"/>
  <c r="AB33" i="85"/>
  <c r="T48" i="85" s="1"/>
  <c r="G48" i="85" s="1"/>
  <c r="U33" i="85"/>
  <c r="AA33" i="85"/>
  <c r="R48" i="85" s="1"/>
  <c r="S33" i="85"/>
  <c r="C13" i="15"/>
  <c r="Q70" i="15" s="1"/>
  <c r="J19" i="15"/>
  <c r="J17" i="15" s="1"/>
  <c r="C36" i="15"/>
  <c r="J59" i="15"/>
  <c r="J60" i="15" s="1"/>
  <c r="Q48" i="15" s="1"/>
  <c r="Q49" i="15"/>
  <c r="C33" i="15"/>
  <c r="C31" i="15" s="1"/>
  <c r="R21" i="6"/>
  <c r="R8" i="1" s="1"/>
  <c r="D30" i="6"/>
  <c r="U34" i="81"/>
  <c r="AB34" i="81"/>
  <c r="T49" i="81" s="1"/>
  <c r="G49" i="81" s="1"/>
  <c r="AC34" i="81"/>
  <c r="V49" i="81" s="1"/>
  <c r="I49" i="81" s="1"/>
  <c r="W34" i="81"/>
  <c r="U33" i="80"/>
  <c r="AB33" i="80"/>
  <c r="T48" i="80" s="1"/>
  <c r="G48" i="80" s="1"/>
  <c r="AC33" i="80"/>
  <c r="V48" i="80" s="1"/>
  <c r="I48" i="80" s="1"/>
  <c r="W33" i="80"/>
  <c r="AA33" i="33"/>
  <c r="R48" i="33" s="1"/>
  <c r="S33" i="33"/>
  <c r="S34" i="81"/>
  <c r="AA34" i="81"/>
  <c r="R49" i="81" s="1"/>
  <c r="S33" i="80"/>
  <c r="AA33" i="80"/>
  <c r="R48" i="80" s="1"/>
  <c r="U33" i="33"/>
  <c r="AB33" i="33"/>
  <c r="T48" i="33" s="1"/>
  <c r="G48" i="33" s="1"/>
  <c r="AC33" i="33"/>
  <c r="V48" i="33" s="1"/>
  <c r="I48" i="33" s="1"/>
  <c r="I52" i="33" s="1"/>
  <c r="J52" i="33" s="1"/>
  <c r="W33" i="33"/>
  <c r="J14" i="67"/>
  <c r="J22" i="67" s="1"/>
  <c r="C33" i="67"/>
  <c r="C31" i="67" s="1"/>
  <c r="C36" i="67"/>
  <c r="C57" i="67"/>
  <c r="C61" i="67" s="1"/>
  <c r="C59" i="67" s="1"/>
  <c r="J59" i="67"/>
  <c r="J60" i="67" s="1"/>
  <c r="Q48" i="67" s="1"/>
  <c r="Q49" i="67"/>
  <c r="J19" i="67"/>
  <c r="J17" i="67" s="1"/>
  <c r="C10" i="68"/>
  <c r="D19" i="68"/>
  <c r="D37" i="68" s="1"/>
  <c r="C37" i="68" s="1"/>
  <c r="C33" i="68" s="1"/>
  <c r="C42" i="68" s="1"/>
  <c r="D8" i="74"/>
  <c r="D7" i="74"/>
  <c r="D16" i="6"/>
  <c r="AA34" i="34"/>
  <c r="R49" i="34" s="1"/>
  <c r="S34" i="34"/>
  <c r="A7" i="51"/>
  <c r="B7" i="72" s="1"/>
  <c r="A10" i="51"/>
  <c r="B9" i="72" s="1"/>
  <c r="C4" i="52"/>
  <c r="B45" i="72" s="1"/>
  <c r="AB34" i="34"/>
  <c r="T49" i="34" s="1"/>
  <c r="G49" i="34" s="1"/>
  <c r="U34" i="34"/>
  <c r="R26" i="6"/>
  <c r="AC34" i="34"/>
  <c r="V49" i="34" s="1"/>
  <c r="I49" i="34" s="1"/>
  <c r="W34" i="34"/>
  <c r="R24" i="6"/>
  <c r="R11" i="1" s="1"/>
  <c r="R22" i="6"/>
  <c r="R9" i="1" s="1"/>
  <c r="C12" i="78"/>
  <c r="C9" i="78"/>
  <c r="C10" i="78"/>
  <c r="C16" i="12"/>
  <c r="C21" i="12" s="1"/>
  <c r="C22" i="12" s="1"/>
  <c r="C27" i="12" s="1"/>
  <c r="C25" i="12" s="1"/>
  <c r="D27" i="6"/>
  <c r="D31" i="6" s="1"/>
  <c r="I6" i="6" s="1"/>
  <c r="G3" i="43" s="1"/>
  <c r="AG11" i="43" s="1"/>
  <c r="AG13" i="43" s="1"/>
  <c r="C10" i="69"/>
  <c r="C8" i="69" s="1"/>
  <c r="C5" i="69" s="1"/>
  <c r="C23" i="69" s="1"/>
  <c r="D19" i="69"/>
  <c r="C33" i="11"/>
  <c r="C14" i="71"/>
  <c r="T15" i="71"/>
  <c r="D15" i="71"/>
  <c r="U15" i="71" s="1"/>
  <c r="I68" i="39"/>
  <c r="H70" i="39"/>
  <c r="H19" i="6"/>
  <c r="I27" i="6"/>
  <c r="S19" i="6"/>
  <c r="S27" i="6" s="1"/>
  <c r="C24" i="68"/>
  <c r="I63" i="40"/>
  <c r="H65" i="40"/>
  <c r="I58" i="21"/>
  <c r="J58" i="21" s="1"/>
  <c r="K58" i="21" s="1"/>
  <c r="L58" i="21" s="1"/>
  <c r="M58" i="21" s="1"/>
  <c r="N58" i="21" s="1"/>
  <c r="O58" i="21" s="1"/>
  <c r="H7" i="21" s="1"/>
  <c r="J48" i="35"/>
  <c r="C64" i="15"/>
  <c r="C59" i="15"/>
  <c r="C56" i="67"/>
  <c r="C65" i="67" s="1"/>
  <c r="C75" i="67"/>
  <c r="Q70" i="67"/>
  <c r="C37" i="67"/>
  <c r="J13" i="15" l="1"/>
  <c r="J23" i="15" s="1"/>
  <c r="J16" i="15" s="1"/>
  <c r="J25" i="15" s="1"/>
  <c r="R49" i="85"/>
  <c r="E48" i="85"/>
  <c r="I53" i="85" s="1"/>
  <c r="J53" i="85" s="1"/>
  <c r="G53" i="85"/>
  <c r="H53" i="85" s="1"/>
  <c r="G52" i="85"/>
  <c r="H52" i="85" s="1"/>
  <c r="I52" i="85"/>
  <c r="J52" i="85" s="1"/>
  <c r="C13" i="78"/>
  <c r="C14" i="78" s="1"/>
  <c r="C20" i="78" s="1"/>
  <c r="C19" i="78" s="1"/>
  <c r="C56" i="15"/>
  <c r="C65" i="15" s="1"/>
  <c r="C58" i="15" s="1"/>
  <c r="C67" i="15" s="1"/>
  <c r="C68" i="15" s="1"/>
  <c r="C71" i="15" s="1"/>
  <c r="C37" i="15"/>
  <c r="C30" i="15" s="1"/>
  <c r="C39" i="15" s="1"/>
  <c r="Q69" i="15" s="1"/>
  <c r="Q68" i="15" s="1"/>
  <c r="C75" i="15"/>
  <c r="F7" i="21"/>
  <c r="AA7" i="21" s="1"/>
  <c r="R48" i="21" s="1"/>
  <c r="G52" i="33"/>
  <c r="H52" i="33" s="1"/>
  <c r="G53" i="33"/>
  <c r="H53" i="33" s="1"/>
  <c r="R49" i="80"/>
  <c r="E48" i="80"/>
  <c r="I53" i="80" s="1"/>
  <c r="J53" i="80" s="1"/>
  <c r="E49" i="81"/>
  <c r="I54" i="81" s="1"/>
  <c r="J54" i="81" s="1"/>
  <c r="R50" i="81"/>
  <c r="G52" i="80"/>
  <c r="H52" i="80" s="1"/>
  <c r="G53" i="80"/>
  <c r="H53" i="80" s="1"/>
  <c r="G53" i="81"/>
  <c r="H53" i="81" s="1"/>
  <c r="G54" i="81"/>
  <c r="H54" i="81" s="1"/>
  <c r="E48" i="33"/>
  <c r="R49" i="33"/>
  <c r="I52" i="80"/>
  <c r="J52" i="80" s="1"/>
  <c r="I53" i="81"/>
  <c r="J53" i="81" s="1"/>
  <c r="J13" i="67"/>
  <c r="J23" i="67" s="1"/>
  <c r="J16" i="67" s="1"/>
  <c r="J25" i="67" s="1"/>
  <c r="C30" i="67"/>
  <c r="C39" i="67" s="1"/>
  <c r="C40" i="67" s="1"/>
  <c r="C64" i="67"/>
  <c r="C58" i="67" s="1"/>
  <c r="C67" i="67" s="1"/>
  <c r="C68" i="67" s="1"/>
  <c r="C30" i="12"/>
  <c r="C28" i="12" s="1"/>
  <c r="C32" i="12" s="1"/>
  <c r="B2" i="12" s="1"/>
  <c r="B3" i="12" s="1"/>
  <c r="G22" i="43"/>
  <c r="I101" i="43"/>
  <c r="L101" i="43"/>
  <c r="AB11" i="43"/>
  <c r="AB13" i="43" s="1"/>
  <c r="G53" i="34"/>
  <c r="H53" i="34" s="1"/>
  <c r="G54" i="34"/>
  <c r="H54" i="34" s="1"/>
  <c r="D101" i="43"/>
  <c r="D109" i="43" s="1"/>
  <c r="J101" i="43"/>
  <c r="AF11" i="43"/>
  <c r="AF13" i="43" s="1"/>
  <c r="E22" i="43"/>
  <c r="G101" i="43"/>
  <c r="AJ11" i="43"/>
  <c r="AJ13" i="43" s="1"/>
  <c r="J22" i="43"/>
  <c r="F101" i="43"/>
  <c r="E101" i="43"/>
  <c r="H101" i="43"/>
  <c r="H105" i="43" s="1"/>
  <c r="F22" i="43"/>
  <c r="N104" i="46"/>
  <c r="S3" i="43"/>
  <c r="T3" i="43" s="1"/>
  <c r="V3" i="43" s="1"/>
  <c r="M101" i="43"/>
  <c r="S4" i="43"/>
  <c r="T4" i="43" s="1"/>
  <c r="V4" i="43" s="1"/>
  <c r="AA11" i="43"/>
  <c r="AA13" i="43" s="1"/>
  <c r="H22" i="43"/>
  <c r="C101" i="43"/>
  <c r="R50" i="34"/>
  <c r="E49" i="34"/>
  <c r="I54" i="34" s="1"/>
  <c r="J54" i="34" s="1"/>
  <c r="Z7" i="43"/>
  <c r="I5" i="6"/>
  <c r="S7" i="43"/>
  <c r="T7" i="43" s="1"/>
  <c r="V7" i="43" s="1"/>
  <c r="AE11" i="43"/>
  <c r="AE13" i="43" s="1"/>
  <c r="N101" i="43"/>
  <c r="N102" i="43" s="1"/>
  <c r="B113" i="43"/>
  <c r="AI11" i="43"/>
  <c r="AI13" i="43" s="1"/>
  <c r="C23" i="43"/>
  <c r="K101" i="43"/>
  <c r="K107" i="43" s="1"/>
  <c r="S5" i="43"/>
  <c r="T5" i="43" s="1"/>
  <c r="V5" i="43" s="1"/>
  <c r="Z11" i="43"/>
  <c r="Z13" i="43" s="1"/>
  <c r="Y11" i="43"/>
  <c r="Y13" i="43" s="1"/>
  <c r="S6" i="43"/>
  <c r="T6" i="43" s="1"/>
  <c r="V6" i="43" s="1"/>
  <c r="AD11" i="43"/>
  <c r="AD13" i="43" s="1"/>
  <c r="AC11" i="43"/>
  <c r="AC13" i="43" s="1"/>
  <c r="C19" i="69"/>
  <c r="D37" i="69"/>
  <c r="C37" i="69" s="1"/>
  <c r="C33" i="69" s="1"/>
  <c r="I53" i="34"/>
  <c r="J53" i="34" s="1"/>
  <c r="S2" i="43"/>
  <c r="T2" i="43" s="1"/>
  <c r="V2" i="43" s="1"/>
  <c r="AH11" i="43"/>
  <c r="AH13" i="43" s="1"/>
  <c r="J7" i="21"/>
  <c r="W7" i="21" s="1"/>
  <c r="C39" i="68"/>
  <c r="C43" i="68" s="1"/>
  <c r="C41" i="68" s="1"/>
  <c r="I70" i="39"/>
  <c r="J68" i="39"/>
  <c r="C39" i="11"/>
  <c r="C42" i="11"/>
  <c r="D103" i="43"/>
  <c r="D104" i="43"/>
  <c r="D105" i="43"/>
  <c r="D102" i="43"/>
  <c r="F104" i="43"/>
  <c r="F105" i="43"/>
  <c r="F106" i="43"/>
  <c r="F109" i="43"/>
  <c r="F102" i="43"/>
  <c r="F107" i="43"/>
  <c r="F103" i="43"/>
  <c r="J107" i="43"/>
  <c r="J104" i="43"/>
  <c r="J103" i="43"/>
  <c r="J109" i="43"/>
  <c r="J102" i="43"/>
  <c r="J105" i="43"/>
  <c r="J106" i="43"/>
  <c r="E104" i="43"/>
  <c r="E105" i="43"/>
  <c r="E102" i="43"/>
  <c r="E103" i="43"/>
  <c r="E107" i="43"/>
  <c r="E109" i="43"/>
  <c r="E106" i="43"/>
  <c r="H107" i="43"/>
  <c r="H103" i="43"/>
  <c r="H106" i="43"/>
  <c r="H102" i="43"/>
  <c r="C103" i="43"/>
  <c r="C104" i="43"/>
  <c r="C105" i="43"/>
  <c r="C107" i="43"/>
  <c r="C109" i="43"/>
  <c r="C106" i="43"/>
  <c r="C102" i="43"/>
  <c r="C13" i="71"/>
  <c r="D14" i="71"/>
  <c r="I109" i="43"/>
  <c r="I106" i="43"/>
  <c r="I107" i="43"/>
  <c r="I105" i="43"/>
  <c r="I102" i="43"/>
  <c r="I103" i="43"/>
  <c r="I104" i="43"/>
  <c r="L106" i="43"/>
  <c r="L103" i="43"/>
  <c r="L105" i="43"/>
  <c r="L109" i="43"/>
  <c r="L107" i="43"/>
  <c r="L102" i="43"/>
  <c r="L104" i="43"/>
  <c r="G104" i="43"/>
  <c r="G109" i="43"/>
  <c r="G102" i="43"/>
  <c r="G107" i="43"/>
  <c r="G106" i="43"/>
  <c r="G105" i="43"/>
  <c r="G103" i="43"/>
  <c r="M104" i="43"/>
  <c r="M105" i="43"/>
  <c r="M102" i="43"/>
  <c r="M109" i="43"/>
  <c r="M107" i="43"/>
  <c r="M106" i="43"/>
  <c r="M103" i="43"/>
  <c r="N103" i="43"/>
  <c r="I115" i="43"/>
  <c r="J115" i="43" s="1"/>
  <c r="K115" i="43" s="1"/>
  <c r="L115" i="43" s="1"/>
  <c r="M115" i="43" s="1"/>
  <c r="G118" i="43"/>
  <c r="H118" i="43" s="1"/>
  <c r="B118" i="43"/>
  <c r="C118" i="43" s="1"/>
  <c r="B117" i="43"/>
  <c r="C117" i="43" s="1"/>
  <c r="B115" i="43"/>
  <c r="C115" i="43" s="1"/>
  <c r="I118" i="43"/>
  <c r="J118" i="43" s="1"/>
  <c r="K118" i="43" s="1"/>
  <c r="L118" i="43" s="1"/>
  <c r="M118" i="43" s="1"/>
  <c r="D115" i="43"/>
  <c r="E115" i="43" s="1"/>
  <c r="F115" i="43" s="1"/>
  <c r="G115" i="43" s="1"/>
  <c r="H115" i="43" s="1"/>
  <c r="D116" i="43"/>
  <c r="E116" i="43" s="1"/>
  <c r="F116" i="43" s="1"/>
  <c r="G116" i="43" s="1"/>
  <c r="H116" i="43" s="1"/>
  <c r="B116" i="43"/>
  <c r="C116" i="43" s="1"/>
  <c r="I117" i="43"/>
  <c r="J117" i="43" s="1"/>
  <c r="K117" i="43" s="1"/>
  <c r="L117" i="43" s="1"/>
  <c r="M117" i="43" s="1"/>
  <c r="I116" i="43"/>
  <c r="J116" i="43" s="1"/>
  <c r="K116" i="43" s="1"/>
  <c r="L116" i="43" s="1"/>
  <c r="M116" i="43" s="1"/>
  <c r="D117" i="43"/>
  <c r="E117" i="43" s="1"/>
  <c r="F117" i="43" s="1"/>
  <c r="G117" i="43" s="1"/>
  <c r="H117" i="43" s="1"/>
  <c r="D118" i="43"/>
  <c r="E118" i="43" s="1"/>
  <c r="F118" i="43" s="1"/>
  <c r="H27" i="6"/>
  <c r="R19" i="6"/>
  <c r="U7" i="21"/>
  <c r="AB7" i="21"/>
  <c r="T48" i="21" s="1"/>
  <c r="G48" i="21" s="1"/>
  <c r="J63" i="40"/>
  <c r="I65" i="40"/>
  <c r="K48" i="35"/>
  <c r="L48" i="35" s="1"/>
  <c r="M48" i="35" s="1"/>
  <c r="N48" i="35" s="1"/>
  <c r="O48" i="35" s="1"/>
  <c r="H7" i="35" s="1"/>
  <c r="H109" i="43" l="1"/>
  <c r="S7" i="21"/>
  <c r="H104" i="43"/>
  <c r="E53" i="85"/>
  <c r="F53" i="85" s="1"/>
  <c r="E52" i="85"/>
  <c r="F52" i="85" s="1"/>
  <c r="C49" i="85"/>
  <c r="C48" i="85"/>
  <c r="I14" i="83" s="1"/>
  <c r="C80" i="15"/>
  <c r="C79" i="15" s="1"/>
  <c r="C40" i="15"/>
  <c r="Q65" i="15" s="1"/>
  <c r="AC7" i="21"/>
  <c r="V48" i="21" s="1"/>
  <c r="I48" i="21" s="1"/>
  <c r="G53" i="21" s="1"/>
  <c r="H53" i="21" s="1"/>
  <c r="K102" i="43"/>
  <c r="I53" i="33"/>
  <c r="J53" i="33" s="1"/>
  <c r="E53" i="33"/>
  <c r="F53" i="33" s="1"/>
  <c r="E52" i="33"/>
  <c r="F52" i="33" s="1"/>
  <c r="E54" i="81"/>
  <c r="F54" i="81" s="1"/>
  <c r="E53" i="81"/>
  <c r="F53" i="81" s="1"/>
  <c r="C49" i="80"/>
  <c r="C48" i="80"/>
  <c r="C48" i="33"/>
  <c r="C49" i="33"/>
  <c r="B2" i="33" s="1"/>
  <c r="B3" i="33" s="1"/>
  <c r="C50" i="81"/>
  <c r="C49" i="81"/>
  <c r="E53" i="80"/>
  <c r="F53" i="80" s="1"/>
  <c r="E52" i="80"/>
  <c r="F52" i="80" s="1"/>
  <c r="C80" i="67"/>
  <c r="C79" i="67" s="1"/>
  <c r="Q69" i="67"/>
  <c r="Q68" i="67" s="1"/>
  <c r="C46" i="68"/>
  <c r="C45" i="68" s="1"/>
  <c r="C49" i="68" s="1"/>
  <c r="C51" i="68" s="1"/>
  <c r="N107" i="43"/>
  <c r="D106" i="43"/>
  <c r="N106" i="43"/>
  <c r="K104" i="43"/>
  <c r="C39" i="69"/>
  <c r="C43" i="69" s="1"/>
  <c r="C42" i="69"/>
  <c r="N109" i="43"/>
  <c r="K109" i="43"/>
  <c r="N105" i="43"/>
  <c r="N104" i="43"/>
  <c r="K103" i="43"/>
  <c r="E53" i="34"/>
  <c r="F53" i="34" s="1"/>
  <c r="E54" i="34"/>
  <c r="F54" i="34" s="1"/>
  <c r="C24" i="69"/>
  <c r="C20" i="69"/>
  <c r="C25" i="69" s="1"/>
  <c r="K105" i="43"/>
  <c r="K106" i="43"/>
  <c r="D107" i="43"/>
  <c r="C50" i="34"/>
  <c r="B2" i="34" s="1"/>
  <c r="B3" i="34" s="1"/>
  <c r="C49" i="34"/>
  <c r="C17" i="78"/>
  <c r="C16" i="78" s="1"/>
  <c r="D22" i="43"/>
  <c r="C21" i="43" s="1"/>
  <c r="C29" i="43" s="1"/>
  <c r="J7" i="35"/>
  <c r="W7" i="35" s="1"/>
  <c r="D113" i="43"/>
  <c r="J70" i="39"/>
  <c r="K68" i="39"/>
  <c r="C12" i="71"/>
  <c r="D13" i="71"/>
  <c r="C46" i="11"/>
  <c r="C45" i="11" s="1"/>
  <c r="C43" i="11"/>
  <c r="C41" i="11" s="1"/>
  <c r="R6" i="1"/>
  <c r="R16" i="1" s="1"/>
  <c r="R27" i="6"/>
  <c r="J65" i="40"/>
  <c r="K63" i="40"/>
  <c r="I52" i="21"/>
  <c r="J52" i="21" s="1"/>
  <c r="U7" i="35"/>
  <c r="AB7" i="35"/>
  <c r="T38" i="35" s="1"/>
  <c r="G38" i="35" s="1"/>
  <c r="R49" i="21"/>
  <c r="E48" i="21"/>
  <c r="G52" i="21"/>
  <c r="H52" i="21" s="1"/>
  <c r="F7" i="35"/>
  <c r="C45" i="67"/>
  <c r="C46" i="67" s="1"/>
  <c r="C71" i="67"/>
  <c r="C43" i="67"/>
  <c r="Q47" i="67"/>
  <c r="Q53" i="67" s="1"/>
  <c r="Q56" i="67"/>
  <c r="Q65" i="67"/>
  <c r="C83" i="67"/>
  <c r="C82" i="67" s="1"/>
  <c r="L51" i="67"/>
  <c r="L51" i="15"/>
  <c r="Q67" i="15" l="1"/>
  <c r="L57" i="15"/>
  <c r="L60" i="15" s="1"/>
  <c r="L46" i="15" s="1"/>
  <c r="B2" i="15" s="1"/>
  <c r="B3" i="15" s="1"/>
  <c r="O14" i="83"/>
  <c r="N14" i="83"/>
  <c r="S19" i="83"/>
  <c r="S20" i="83"/>
  <c r="AB1" i="83"/>
  <c r="AA3" i="83" s="1"/>
  <c r="L50" i="81"/>
  <c r="L49" i="81"/>
  <c r="B2" i="85"/>
  <c r="B3" i="85"/>
  <c r="I2" i="83"/>
  <c r="O2" i="83" s="1"/>
  <c r="I8" i="83"/>
  <c r="Q56" i="15"/>
  <c r="C46" i="15"/>
  <c r="C83" i="15"/>
  <c r="C82" i="15" s="1"/>
  <c r="C43" i="15"/>
  <c r="Q47" i="15"/>
  <c r="Q53" i="15" s="1"/>
  <c r="B3" i="81"/>
  <c r="B2" i="81"/>
  <c r="B2" i="80"/>
  <c r="B3" i="80"/>
  <c r="Q67" i="67"/>
  <c r="L57" i="67"/>
  <c r="L60" i="67" s="1"/>
  <c r="L46" i="67" s="1"/>
  <c r="D2" i="67" s="1"/>
  <c r="B2" i="67" s="1"/>
  <c r="C22" i="69"/>
  <c r="C46" i="69"/>
  <c r="C45" i="69" s="1"/>
  <c r="C28" i="69"/>
  <c r="C27" i="69" s="1"/>
  <c r="C41" i="69"/>
  <c r="C23" i="78"/>
  <c r="AC7" i="35"/>
  <c r="V38" i="35" s="1"/>
  <c r="I38" i="35" s="1"/>
  <c r="G43" i="35" s="1"/>
  <c r="H43" i="35" s="1"/>
  <c r="C49" i="11"/>
  <c r="C51" i="11" s="1"/>
  <c r="C52" i="11" s="1"/>
  <c r="B2" i="11" s="1"/>
  <c r="B3" i="11" s="1"/>
  <c r="L68" i="39"/>
  <c r="K70" i="39"/>
  <c r="C30" i="43"/>
  <c r="E30" i="43" s="1"/>
  <c r="C27" i="43" s="1"/>
  <c r="E29" i="43"/>
  <c r="C26" i="43" s="1"/>
  <c r="D12" i="71"/>
  <c r="C11" i="71"/>
  <c r="S7" i="35"/>
  <c r="AA7" i="35"/>
  <c r="R38" i="35" s="1"/>
  <c r="C49" i="21"/>
  <c r="B2" i="21" s="1"/>
  <c r="B3" i="21" s="1"/>
  <c r="C48" i="21"/>
  <c r="E52" i="21"/>
  <c r="F52" i="21" s="1"/>
  <c r="E53" i="21"/>
  <c r="F53" i="21" s="1"/>
  <c r="G42" i="35"/>
  <c r="H42" i="35" s="1"/>
  <c r="I53" i="21"/>
  <c r="J53" i="21" s="1"/>
  <c r="K65" i="40"/>
  <c r="L63" i="40"/>
  <c r="E6" i="76"/>
  <c r="M49" i="81" l="1"/>
  <c r="S22" i="83"/>
  <c r="Q57" i="15"/>
  <c r="Q62" i="15" s="1"/>
  <c r="Q66" i="15"/>
  <c r="Q75" i="15" s="1"/>
  <c r="N10" i="83"/>
  <c r="O10" i="83" s="1"/>
  <c r="N11" i="83"/>
  <c r="N12" i="83"/>
  <c r="N5" i="83"/>
  <c r="O5" i="83" s="1"/>
  <c r="N7" i="83"/>
  <c r="O7" i="83" s="1"/>
  <c r="N8" i="83"/>
  <c r="O8" i="83" s="1"/>
  <c r="N2" i="83"/>
  <c r="I42" i="35"/>
  <c r="J42" i="35" s="1"/>
  <c r="Q57" i="67"/>
  <c r="Q62" i="67" s="1"/>
  <c r="Q66" i="67"/>
  <c r="Q75" i="67" s="1"/>
  <c r="B3" i="67"/>
  <c r="C31" i="69"/>
  <c r="C49" i="69"/>
  <c r="C51" i="69" s="1"/>
  <c r="C7" i="78"/>
  <c r="C27" i="78" s="1"/>
  <c r="C26" i="78"/>
  <c r="E2" i="76"/>
  <c r="L70" i="39"/>
  <c r="M68" i="39"/>
  <c r="C56" i="11"/>
  <c r="C57" i="11" s="1"/>
  <c r="C10" i="71"/>
  <c r="T11" i="71"/>
  <c r="D11" i="71"/>
  <c r="U11" i="71" s="1"/>
  <c r="B2" i="43"/>
  <c r="R39" i="35"/>
  <c r="E38" i="35"/>
  <c r="M63" i="40"/>
  <c r="L65" i="40"/>
  <c r="B6" i="76"/>
  <c r="O11" i="83" l="1"/>
  <c r="O12" i="83"/>
  <c r="C52" i="69"/>
  <c r="B2" i="69" s="1"/>
  <c r="B3" i="69" s="1"/>
  <c r="C24" i="78"/>
  <c r="B2" i="76"/>
  <c r="B3" i="43"/>
  <c r="D10" i="71"/>
  <c r="C9" i="71"/>
  <c r="N68" i="39"/>
  <c r="M70" i="39"/>
  <c r="C39" i="35"/>
  <c r="B2" i="35" s="1"/>
  <c r="B3" i="35" s="1"/>
  <c r="C38" i="35"/>
  <c r="I17" i="83" s="1"/>
  <c r="O17" i="83" s="1"/>
  <c r="N63" i="40"/>
  <c r="M65" i="40"/>
  <c r="E43" i="35"/>
  <c r="F43" i="35" s="1"/>
  <c r="E42" i="35"/>
  <c r="F42" i="35" s="1"/>
  <c r="I43" i="35"/>
  <c r="J43" i="35" s="1"/>
  <c r="O13" i="83" l="1"/>
  <c r="N13" i="83" s="1"/>
  <c r="N17" i="83"/>
  <c r="C57" i="69"/>
  <c r="C56" i="69" s="1"/>
  <c r="C8" i="71"/>
  <c r="D9" i="71"/>
  <c r="N70" i="39"/>
  <c r="O68" i="39"/>
  <c r="O70" i="39" s="1"/>
  <c r="C6" i="68"/>
  <c r="C7" i="68" s="1"/>
  <c r="C5" i="68" s="1"/>
  <c r="B3" i="76"/>
  <c r="O63" i="40"/>
  <c r="O65" i="40" s="1"/>
  <c r="N65" i="40"/>
  <c r="O20" i="83" l="1"/>
  <c r="P20" i="83" s="1"/>
  <c r="Q19" i="83" s="1"/>
  <c r="F7" i="39"/>
  <c r="AA7" i="39" s="1"/>
  <c r="R47" i="39" s="1"/>
  <c r="C23" i="68"/>
  <c r="C20" i="68"/>
  <c r="C25" i="68" s="1"/>
  <c r="J7" i="39"/>
  <c r="S7" i="39"/>
  <c r="C7" i="71"/>
  <c r="D8" i="71"/>
  <c r="H7" i="39"/>
  <c r="J7" i="40"/>
  <c r="F7" i="40"/>
  <c r="H7" i="40"/>
  <c r="Q21" i="83" l="1"/>
  <c r="R15" i="83"/>
  <c r="Q20" i="83"/>
  <c r="C28" i="68"/>
  <c r="C27" i="68" s="1"/>
  <c r="W7" i="39"/>
  <c r="AC7" i="39"/>
  <c r="V47" i="39" s="1"/>
  <c r="I47" i="39" s="1"/>
  <c r="U7" i="39"/>
  <c r="AB7" i="39"/>
  <c r="T47" i="39" s="1"/>
  <c r="G47" i="39" s="1"/>
  <c r="C6" i="71"/>
  <c r="T7" i="71"/>
  <c r="D7" i="71"/>
  <c r="U7" i="71" s="1"/>
  <c r="E47" i="39"/>
  <c r="R48" i="39"/>
  <c r="C22" i="68"/>
  <c r="U7" i="40"/>
  <c r="AB7" i="40"/>
  <c r="T42" i="40" s="1"/>
  <c r="G42" i="40" s="1"/>
  <c r="AA7" i="40"/>
  <c r="R42" i="40" s="1"/>
  <c r="S7" i="40"/>
  <c r="AC7" i="40"/>
  <c r="V42" i="40" s="1"/>
  <c r="I42" i="40" s="1"/>
  <c r="W7" i="40"/>
  <c r="U20" i="83" l="1"/>
  <c r="U22" i="83" s="1"/>
  <c r="Q22" i="83"/>
  <c r="Y3" i="83"/>
  <c r="AC3" i="83" s="1"/>
  <c r="U19" i="83"/>
  <c r="U21" i="83" s="1"/>
  <c r="C31" i="68"/>
  <c r="C52" i="68" s="1"/>
  <c r="B2" i="68" s="1"/>
  <c r="E51" i="39"/>
  <c r="F51" i="39" s="1"/>
  <c r="E52" i="39"/>
  <c r="F52" i="39" s="1"/>
  <c r="G52" i="39"/>
  <c r="H52" i="39" s="1"/>
  <c r="G51" i="39"/>
  <c r="H51" i="39" s="1"/>
  <c r="I52" i="39"/>
  <c r="J52" i="39" s="1"/>
  <c r="I51" i="39"/>
  <c r="J51" i="39" s="1"/>
  <c r="C47" i="39"/>
  <c r="C48" i="39"/>
  <c r="D6" i="71"/>
  <c r="C5" i="71"/>
  <c r="I46" i="40"/>
  <c r="J46" i="40" s="1"/>
  <c r="R43" i="40"/>
  <c r="E42" i="40"/>
  <c r="G47" i="40"/>
  <c r="H47" i="40" s="1"/>
  <c r="G46" i="40"/>
  <c r="H46" i="40" s="1"/>
  <c r="D19" i="9"/>
  <c r="C19" i="9"/>
  <c r="Q2" i="83" l="1"/>
  <c r="C57" i="68"/>
  <c r="C56" i="68" s="1"/>
  <c r="D102" i="9"/>
  <c r="D21" i="9"/>
  <c r="G19" i="9"/>
  <c r="G21" i="9" s="1"/>
  <c r="D22" i="9"/>
  <c r="C102" i="9"/>
  <c r="C21" i="9"/>
  <c r="B3" i="68"/>
  <c r="D5" i="71"/>
  <c r="M20" i="43"/>
  <c r="M20" i="77"/>
  <c r="B57" i="39"/>
  <c r="F57" i="39" s="1"/>
  <c r="B58" i="39"/>
  <c r="F58" i="39" s="1"/>
  <c r="B63" i="39"/>
  <c r="F63" i="39" s="1"/>
  <c r="B59" i="39"/>
  <c r="F59" i="39" s="1"/>
  <c r="B62" i="39"/>
  <c r="F62" i="39" s="1"/>
  <c r="B56" i="39"/>
  <c r="F56" i="39" s="1"/>
  <c r="F66" i="39" s="1"/>
  <c r="B2" i="39" s="1"/>
  <c r="B3" i="39" s="1"/>
  <c r="B64" i="39"/>
  <c r="F64" i="39" s="1"/>
  <c r="B65" i="39"/>
  <c r="F65" i="39" s="1"/>
  <c r="B61" i="39"/>
  <c r="F61" i="39" s="1"/>
  <c r="B60" i="39"/>
  <c r="F60" i="39" s="1"/>
  <c r="C42" i="40"/>
  <c r="C43" i="40"/>
  <c r="E47" i="40"/>
  <c r="F47" i="40" s="1"/>
  <c r="E46" i="40"/>
  <c r="F46" i="40" s="1"/>
  <c r="I47" i="40"/>
  <c r="J47" i="40" s="1"/>
  <c r="D20" i="9"/>
  <c r="C20" i="9"/>
  <c r="Q5" i="83" l="1"/>
  <c r="T5" i="83"/>
  <c r="S5" i="83"/>
  <c r="S8" i="83" s="1"/>
  <c r="R5" i="83"/>
  <c r="D103" i="9"/>
  <c r="C103" i="9"/>
  <c r="G20" i="9"/>
  <c r="C3" i="78"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U5" i="83" l="1"/>
  <c r="C4" i="78"/>
  <c r="C29" i="78" s="1"/>
  <c r="C30" i="78" s="1"/>
  <c r="D36" i="78" s="1"/>
  <c r="C32" i="9"/>
  <c r="C35" i="9" l="1"/>
  <c r="C34" i="9" s="1"/>
  <c r="G35" i="78"/>
  <c r="D37" i="78"/>
  <c r="J9" i="78"/>
  <c r="E38" i="78" l="1"/>
  <c r="E39" i="78" s="1"/>
  <c r="G37" i="78"/>
  <c r="C38" i="78"/>
  <c r="C39" i="78" s="1"/>
  <c r="J10" i="78"/>
  <c r="G118" i="9"/>
  <c r="F118" i="9" s="1"/>
  <c r="I118" i="9"/>
  <c r="I4" i="52" s="1"/>
  <c r="F119" i="9" l="1"/>
  <c r="F5" i="52" s="1"/>
  <c r="B53" i="72" s="1"/>
  <c r="F4" i="52"/>
  <c r="B51" i="72" s="1"/>
  <c r="H118" i="9"/>
  <c r="G4" i="52"/>
  <c r="B52" i="72" s="1"/>
  <c r="E118" i="9"/>
  <c r="H102" i="9"/>
  <c r="D7" i="53" s="1"/>
  <c r="B21" i="72" s="1"/>
  <c r="C105" i="9"/>
  <c r="D118" i="9" l="1"/>
  <c r="E4" i="52"/>
  <c r="B48" i="72" s="1"/>
  <c r="H4" i="52"/>
  <c r="C104" i="9"/>
  <c r="H101" i="9"/>
  <c r="H119" i="9"/>
  <c r="H5" i="52" s="1"/>
  <c r="D14" i="74"/>
  <c r="E14" i="74" l="1"/>
  <c r="B5" i="74"/>
  <c r="F14" i="74"/>
  <c r="D45" i="9"/>
  <c r="D5" i="53"/>
  <c r="H107" i="9"/>
  <c r="M48" i="9"/>
  <c r="D4" i="52"/>
  <c r="B47" i="72" s="1"/>
  <c r="D119" i="9"/>
  <c r="D5" i="52" s="1"/>
  <c r="B49" i="72" s="1"/>
  <c r="D53" i="9" l="1"/>
  <c r="C85" i="9"/>
  <c r="D52" i="9"/>
  <c r="C78" i="9"/>
  <c r="C73" i="9" s="1"/>
  <c r="C72" i="9"/>
  <c r="D55" i="9"/>
  <c r="M53" i="9" s="1"/>
  <c r="C64" i="9"/>
  <c r="C63" i="9" s="1"/>
  <c r="C67" i="9" s="1"/>
  <c r="C93" i="9"/>
  <c r="C86" i="9" s="1"/>
  <c r="B20" i="72"/>
  <c r="D6" i="53"/>
  <c r="B22" i="72" s="1"/>
  <c r="C5" i="74"/>
  <c r="D5" i="74"/>
  <c r="D13" i="53"/>
  <c r="H108" i="9"/>
  <c r="D15" i="53" s="1"/>
  <c r="B31" i="72" s="1"/>
  <c r="D122" i="9"/>
  <c r="C79" i="9" l="1"/>
  <c r="C80" i="9" s="1"/>
  <c r="E80" i="9" s="1"/>
  <c r="E81" i="9" s="1"/>
  <c r="C68" i="9"/>
  <c r="D54" i="9" s="1"/>
  <c r="D59" i="9"/>
  <c r="M55" i="9" s="1"/>
  <c r="D8" i="52"/>
  <c r="G14" i="74"/>
  <c r="B6" i="74" s="1"/>
  <c r="D123" i="9"/>
  <c r="D9" i="52" s="1"/>
  <c r="C95" i="9"/>
  <c r="D14" i="53"/>
  <c r="B32" i="72" s="1"/>
  <c r="B30" i="72"/>
  <c r="C96" i="9" l="1"/>
  <c r="E96" i="9" s="1"/>
  <c r="E97" i="9" s="1"/>
  <c r="D6" i="74"/>
  <c r="C6" i="74"/>
  <c r="C81" i="9"/>
  <c r="C97" i="9" l="1"/>
  <c r="D58" i="9" s="1"/>
  <c r="D56" i="9" s="1"/>
  <c r="M54" i="9" s="1"/>
  <c r="N57" i="9" s="1"/>
  <c r="N59" i="9" l="1"/>
  <c r="N58" i="9"/>
  <c r="P57"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B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B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B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B00-000004000000}">
      <text>
        <r>
          <rPr>
            <b/>
            <sz val="12"/>
            <color indexed="81"/>
            <rFont val="宋体"/>
            <family val="3"/>
            <charset val="134"/>
          </rPr>
          <t>所属项目品质或
物业管理</t>
        </r>
      </text>
    </comment>
    <comment ref="B86" authorId="0" shapeId="0" xr:uid="{00000000-0006-0000-1B00-000005000000}">
      <text>
        <r>
          <rPr>
            <b/>
            <sz val="12"/>
            <color indexed="81"/>
            <rFont val="宋体"/>
            <family val="3"/>
            <charset val="134"/>
          </rPr>
          <t>所属项目品质</t>
        </r>
      </text>
    </comment>
    <comment ref="B89" authorId="0" shapeId="0" xr:uid="{00000000-0006-0000-1B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C00-000003000000}">
      <text>
        <r>
          <rPr>
            <sz val="11"/>
            <color indexed="81"/>
            <rFont val="宋体"/>
            <family val="3"/>
            <charset val="134"/>
          </rPr>
          <t xml:space="preserve">北京市公示数据计算的平均涨幅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D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D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F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F00-000002000000}">
      <text>
        <r>
          <rPr>
            <sz val="11"/>
            <color indexed="81"/>
            <rFont val="宋体"/>
            <family val="3"/>
            <charset val="134"/>
          </rPr>
          <t xml:space="preserve">录入层数，将对应的结果录入至左侧相应层的楼层修正系数单元格中
</t>
        </r>
      </text>
    </comment>
    <comment ref="D17" authorId="2" shapeId="0" xr:uid="{00000000-0006-0000-1F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F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F00-000005000000}">
      <text>
        <r>
          <rPr>
            <sz val="9"/>
            <color indexed="81"/>
            <rFont val="宋体"/>
            <family val="3"/>
            <charset val="134"/>
          </rPr>
          <t xml:space="preserve">需在此处填写剩余土地年限
</t>
        </r>
      </text>
    </comment>
    <comment ref="C99" authorId="0" shapeId="0" xr:uid="{00000000-0006-0000-1F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F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F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F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F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F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F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F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F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F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F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F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F00-000012000000}">
      <text>
        <r>
          <rPr>
            <b/>
            <sz val="9"/>
            <color indexed="81"/>
            <rFont val="宋体"/>
            <family val="3"/>
            <charset val="134"/>
          </rPr>
          <t xml:space="preserve">容积率
</t>
        </r>
      </text>
    </comment>
    <comment ref="D101" authorId="0" shapeId="0" xr:uid="{00000000-0006-0000-1F00-000013000000}">
      <text>
        <r>
          <rPr>
            <b/>
            <sz val="9"/>
            <color indexed="81"/>
            <rFont val="宋体"/>
            <family val="3"/>
            <charset val="134"/>
          </rPr>
          <t xml:space="preserve">容积率
</t>
        </r>
      </text>
    </comment>
    <comment ref="E101" authorId="0" shapeId="0" xr:uid="{00000000-0006-0000-1F00-000014000000}">
      <text>
        <r>
          <rPr>
            <b/>
            <sz val="9"/>
            <color indexed="81"/>
            <rFont val="宋体"/>
            <family val="3"/>
            <charset val="134"/>
          </rPr>
          <t xml:space="preserve">容积率
</t>
        </r>
      </text>
    </comment>
    <comment ref="F101" authorId="0" shapeId="0" xr:uid="{00000000-0006-0000-1F00-000015000000}">
      <text>
        <r>
          <rPr>
            <b/>
            <sz val="9"/>
            <color indexed="81"/>
            <rFont val="宋体"/>
            <family val="3"/>
            <charset val="134"/>
          </rPr>
          <t xml:space="preserve">容积率
</t>
        </r>
      </text>
    </comment>
    <comment ref="G101" authorId="0" shapeId="0" xr:uid="{00000000-0006-0000-1F00-000016000000}">
      <text>
        <r>
          <rPr>
            <b/>
            <sz val="9"/>
            <color indexed="81"/>
            <rFont val="宋体"/>
            <family val="3"/>
            <charset val="134"/>
          </rPr>
          <t xml:space="preserve">容积率
</t>
        </r>
      </text>
    </comment>
    <comment ref="H101" authorId="0" shapeId="0" xr:uid="{00000000-0006-0000-1F00-000017000000}">
      <text>
        <r>
          <rPr>
            <b/>
            <sz val="9"/>
            <color indexed="81"/>
            <rFont val="宋体"/>
            <family val="3"/>
            <charset val="134"/>
          </rPr>
          <t xml:space="preserve">容积率
</t>
        </r>
      </text>
    </comment>
    <comment ref="I101" authorId="0" shapeId="0" xr:uid="{00000000-0006-0000-1F00-000018000000}">
      <text>
        <r>
          <rPr>
            <b/>
            <sz val="9"/>
            <color indexed="81"/>
            <rFont val="宋体"/>
            <family val="3"/>
            <charset val="134"/>
          </rPr>
          <t xml:space="preserve">容积率
</t>
        </r>
      </text>
    </comment>
    <comment ref="J101" authorId="0" shapeId="0" xr:uid="{00000000-0006-0000-1F00-000019000000}">
      <text>
        <r>
          <rPr>
            <b/>
            <sz val="9"/>
            <color indexed="81"/>
            <rFont val="宋体"/>
            <family val="3"/>
            <charset val="134"/>
          </rPr>
          <t xml:space="preserve">容积率
</t>
        </r>
      </text>
    </comment>
    <comment ref="K101" authorId="0" shapeId="0" xr:uid="{00000000-0006-0000-1F00-00001A000000}">
      <text>
        <r>
          <rPr>
            <b/>
            <sz val="9"/>
            <color indexed="81"/>
            <rFont val="宋体"/>
            <family val="3"/>
            <charset val="134"/>
          </rPr>
          <t xml:space="preserve">容积率
</t>
        </r>
      </text>
    </comment>
    <comment ref="L101" authorId="0" shapeId="0" xr:uid="{00000000-0006-0000-1F00-00001B000000}">
      <text>
        <r>
          <rPr>
            <b/>
            <sz val="9"/>
            <color indexed="81"/>
            <rFont val="宋体"/>
            <family val="3"/>
            <charset val="134"/>
          </rPr>
          <t xml:space="preserve">容积率
</t>
        </r>
      </text>
    </comment>
    <comment ref="M101" authorId="0" shapeId="0" xr:uid="{00000000-0006-0000-1F00-00001C000000}">
      <text>
        <r>
          <rPr>
            <b/>
            <sz val="9"/>
            <color indexed="81"/>
            <rFont val="宋体"/>
            <family val="3"/>
            <charset val="134"/>
          </rPr>
          <t xml:space="preserve">容积率
</t>
        </r>
      </text>
    </comment>
    <comment ref="N101" authorId="0" shapeId="0" xr:uid="{00000000-0006-0000-1F00-00001D000000}">
      <text>
        <r>
          <rPr>
            <b/>
            <sz val="9"/>
            <color indexed="81"/>
            <rFont val="宋体"/>
            <family val="3"/>
            <charset val="134"/>
          </rPr>
          <t xml:space="preserve">容积率
</t>
        </r>
      </text>
    </comment>
    <comment ref="C108" authorId="0" shapeId="0" xr:uid="{00000000-0006-0000-1F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F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F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F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F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F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F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F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F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F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F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F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F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200-000002000000}">
      <text>
        <r>
          <rPr>
            <sz val="11"/>
            <color indexed="81"/>
            <rFont val="宋体"/>
            <family val="3"/>
            <charset val="134"/>
          </rPr>
          <t xml:space="preserve">录入层数，将对应的结果录入至左侧相应层的楼层修正系数单元格中
</t>
        </r>
      </text>
    </comment>
    <comment ref="D17" authorId="2" shapeId="0" xr:uid="{00000000-0006-0000-22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2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200-000005000000}">
      <text>
        <r>
          <rPr>
            <sz val="9"/>
            <color indexed="81"/>
            <rFont val="宋体"/>
            <family val="3"/>
            <charset val="134"/>
          </rPr>
          <t xml:space="preserve">需在此处填写剩余土地年限
</t>
        </r>
      </text>
    </comment>
    <comment ref="C99" authorId="0" shapeId="0" xr:uid="{00000000-0006-0000-22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2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2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2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2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2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2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2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2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2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2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2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200-000012000000}">
      <text>
        <r>
          <rPr>
            <b/>
            <sz val="9"/>
            <color indexed="81"/>
            <rFont val="宋体"/>
            <family val="3"/>
            <charset val="134"/>
          </rPr>
          <t xml:space="preserve">容积率
</t>
        </r>
      </text>
    </comment>
    <comment ref="D101" authorId="0" shapeId="0" xr:uid="{00000000-0006-0000-2200-000013000000}">
      <text>
        <r>
          <rPr>
            <b/>
            <sz val="9"/>
            <color indexed="81"/>
            <rFont val="宋体"/>
            <family val="3"/>
            <charset val="134"/>
          </rPr>
          <t xml:space="preserve">容积率
</t>
        </r>
      </text>
    </comment>
    <comment ref="E101" authorId="0" shapeId="0" xr:uid="{00000000-0006-0000-2200-000014000000}">
      <text>
        <r>
          <rPr>
            <b/>
            <sz val="9"/>
            <color indexed="81"/>
            <rFont val="宋体"/>
            <family val="3"/>
            <charset val="134"/>
          </rPr>
          <t xml:space="preserve">容积率
</t>
        </r>
      </text>
    </comment>
    <comment ref="F101" authorId="0" shapeId="0" xr:uid="{00000000-0006-0000-2200-000015000000}">
      <text>
        <r>
          <rPr>
            <b/>
            <sz val="9"/>
            <color indexed="81"/>
            <rFont val="宋体"/>
            <family val="3"/>
            <charset val="134"/>
          </rPr>
          <t xml:space="preserve">容积率
</t>
        </r>
      </text>
    </comment>
    <comment ref="G101" authorId="0" shapeId="0" xr:uid="{00000000-0006-0000-2200-000016000000}">
      <text>
        <r>
          <rPr>
            <b/>
            <sz val="9"/>
            <color indexed="81"/>
            <rFont val="宋体"/>
            <family val="3"/>
            <charset val="134"/>
          </rPr>
          <t xml:space="preserve">容积率
</t>
        </r>
      </text>
    </comment>
    <comment ref="H101" authorId="0" shapeId="0" xr:uid="{00000000-0006-0000-2200-000017000000}">
      <text>
        <r>
          <rPr>
            <b/>
            <sz val="9"/>
            <color indexed="81"/>
            <rFont val="宋体"/>
            <family val="3"/>
            <charset val="134"/>
          </rPr>
          <t xml:space="preserve">容积率
</t>
        </r>
      </text>
    </comment>
    <comment ref="I101" authorId="0" shapeId="0" xr:uid="{00000000-0006-0000-2200-000018000000}">
      <text>
        <r>
          <rPr>
            <b/>
            <sz val="9"/>
            <color indexed="81"/>
            <rFont val="宋体"/>
            <family val="3"/>
            <charset val="134"/>
          </rPr>
          <t xml:space="preserve">容积率
</t>
        </r>
      </text>
    </comment>
    <comment ref="J101" authorId="0" shapeId="0" xr:uid="{00000000-0006-0000-2200-000019000000}">
      <text>
        <r>
          <rPr>
            <b/>
            <sz val="9"/>
            <color indexed="81"/>
            <rFont val="宋体"/>
            <family val="3"/>
            <charset val="134"/>
          </rPr>
          <t xml:space="preserve">容积率
</t>
        </r>
      </text>
    </comment>
    <comment ref="K101" authorId="0" shapeId="0" xr:uid="{00000000-0006-0000-2200-00001A000000}">
      <text>
        <r>
          <rPr>
            <b/>
            <sz val="9"/>
            <color indexed="81"/>
            <rFont val="宋体"/>
            <family val="3"/>
            <charset val="134"/>
          </rPr>
          <t xml:space="preserve">容积率
</t>
        </r>
      </text>
    </comment>
    <comment ref="L101" authorId="0" shapeId="0" xr:uid="{00000000-0006-0000-2200-00001B000000}">
      <text>
        <r>
          <rPr>
            <b/>
            <sz val="9"/>
            <color indexed="81"/>
            <rFont val="宋体"/>
            <family val="3"/>
            <charset val="134"/>
          </rPr>
          <t xml:space="preserve">容积率
</t>
        </r>
      </text>
    </comment>
    <comment ref="M101" authorId="0" shapeId="0" xr:uid="{00000000-0006-0000-2200-00001C000000}">
      <text>
        <r>
          <rPr>
            <b/>
            <sz val="9"/>
            <color indexed="81"/>
            <rFont val="宋体"/>
            <family val="3"/>
            <charset val="134"/>
          </rPr>
          <t xml:space="preserve">容积率
</t>
        </r>
      </text>
    </comment>
    <comment ref="N101" authorId="0" shapeId="0" xr:uid="{00000000-0006-0000-2200-00001D000000}">
      <text>
        <r>
          <rPr>
            <b/>
            <sz val="9"/>
            <color indexed="81"/>
            <rFont val="宋体"/>
            <family val="3"/>
            <charset val="134"/>
          </rPr>
          <t xml:space="preserve">容积率
</t>
        </r>
      </text>
    </comment>
    <comment ref="C108" authorId="0" shapeId="0" xr:uid="{00000000-0006-0000-22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2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2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2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2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2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2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2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2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2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2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2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2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3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3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3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300-000004000000}">
      <text>
        <r>
          <rPr>
            <sz val="11"/>
            <color indexed="81"/>
            <rFont val="宋体"/>
            <family val="3"/>
            <charset val="134"/>
          </rPr>
          <t>在建项目均选择“是”</t>
        </r>
      </text>
    </comment>
    <comment ref="F59" authorId="1" shapeId="0" xr:uid="{00000000-0006-0000-23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300-000006000000}">
      <text>
        <r>
          <rPr>
            <sz val="10"/>
            <color indexed="81"/>
            <rFont val="宋体"/>
            <family val="3"/>
            <charset val="134"/>
          </rPr>
          <t xml:space="preserve">在建
</t>
        </r>
      </text>
    </comment>
    <comment ref="N59" authorId="0" shapeId="0" xr:uid="{00000000-0006-0000-2300-000007000000}">
      <text>
        <r>
          <rPr>
            <sz val="10"/>
            <color indexed="81"/>
            <rFont val="宋体"/>
            <family val="3"/>
            <charset val="134"/>
          </rPr>
          <t xml:space="preserve">土地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7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7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8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8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Windows User</author>
    <author>崔锴</author>
  </authors>
  <commentList>
    <comment ref="B1" authorId="0" shapeId="0" xr:uid="{00000000-0006-0000-2900-000001000000}">
      <text>
        <r>
          <rPr>
            <b/>
            <sz val="12"/>
            <color indexed="81"/>
            <rFont val="宋体"/>
            <family val="3"/>
            <charset val="134"/>
          </rPr>
          <t>主用途</t>
        </r>
        <r>
          <rPr>
            <sz val="12"/>
            <color indexed="81"/>
            <rFont val="宋体"/>
            <family val="3"/>
            <charset val="134"/>
          </rPr>
          <t xml:space="preserve">
</t>
        </r>
      </text>
    </comment>
    <comment ref="B27" authorId="1" shapeId="0" xr:uid="{00000000-0006-0000-2900-000002000000}">
      <text>
        <r>
          <rPr>
            <b/>
            <sz val="9"/>
            <color indexed="81"/>
            <rFont val="宋体"/>
            <family val="3"/>
            <charset val="134"/>
          </rPr>
          <t>Windows User:</t>
        </r>
        <r>
          <rPr>
            <sz val="9"/>
            <color indexed="81"/>
            <rFont val="宋体"/>
            <family val="3"/>
            <charset val="134"/>
          </rPr>
          <t xml:space="preserve">
车位配比是对整栋的影响因素，整层租赁或者车位单独租赁影响不大</t>
        </r>
      </text>
    </comment>
    <comment ref="K38" authorId="2" shapeId="0" xr:uid="{00000000-0006-0000-2900-000003000000}">
      <text>
        <r>
          <rPr>
            <b/>
            <sz val="9"/>
            <color indexed="81"/>
            <rFont val="宋体"/>
            <family val="3"/>
            <charset val="134"/>
          </rPr>
          <t>权重验证</t>
        </r>
        <r>
          <rPr>
            <sz val="9"/>
            <color indexed="81"/>
            <rFont val="宋体"/>
            <family val="3"/>
            <charset val="134"/>
          </rPr>
          <t xml:space="preserve">
</t>
        </r>
      </text>
    </comment>
    <comment ref="C48" authorId="0" shapeId="0" xr:uid="{00000000-0006-0000-2900-000004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900-000005000000}">
      <text>
        <r>
          <rPr>
            <b/>
            <sz val="12"/>
            <color indexed="81"/>
            <rFont val="宋体"/>
            <family val="3"/>
            <charset val="134"/>
          </rPr>
          <t>所属项目品质或
物业管理</t>
        </r>
      </text>
    </comment>
    <comment ref="B90" authorId="0" shapeId="0" xr:uid="{00000000-0006-0000-29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TianHui Wang/CHN</author>
  </authors>
  <commentList>
    <comment ref="R11" authorId="0" shapeId="0" xr:uid="{00000000-0006-0000-2C00-000001000000}">
      <text>
        <r>
          <rPr>
            <b/>
            <sz val="9"/>
            <color rgb="FF000000"/>
            <rFont val="宋体"/>
            <family val="3"/>
            <charset val="134"/>
          </rPr>
          <t>TianHui Wang/CHN:</t>
        </r>
        <r>
          <rPr>
            <sz val="9"/>
            <color rgb="FF000000"/>
            <rFont val="宋体"/>
            <family val="3"/>
            <charset val="134"/>
          </rPr>
          <t xml:space="preserve">
2010年8月，在北京经营了20年的凯莱大酒店主体正式拆除，经4年的开发建设之后，正式变身为W酒店，而酒店管理方也成为全球知名酒店管理集团喜达屋</t>
        </r>
      </text>
    </comment>
    <comment ref="S11" authorId="0" shapeId="0" xr:uid="{00000000-0006-0000-2C00-000002000000}">
      <text>
        <r>
          <rPr>
            <b/>
            <sz val="9"/>
            <color rgb="FF000000"/>
            <rFont val="宋体"/>
            <family val="3"/>
            <charset val="134"/>
          </rPr>
          <t>TianHui Wang/CHN:</t>
        </r>
        <r>
          <rPr>
            <sz val="9"/>
            <color rgb="FF000000"/>
            <rFont val="宋体"/>
            <family val="3"/>
            <charset val="134"/>
          </rPr>
          <t xml:space="preserve">
11月1日，中粮酒店（北京）有限公司100%股权以9.95亿元挂牌价格在上海联合产权交易所挂牌转让，挂牌期满日期2017年11月27日。挂牌公告显示，受让方须书面承诺同意代标的企业向转让方的关联企业偿还借款人民币142858万元及2017年4月30日至偿还之日的利息。据了解，截止2017年9月30日，中粮酒店应付工程款金额为人民币3537.006203万元，欠股东共计89.55648万元债务。标的企业原有的债权债务，由股权转让后的新标的企业继续承担和享有。</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3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<sst xmlns="http://schemas.openxmlformats.org/spreadsheetml/2006/main" count="10931" uniqueCount="4330">
  <si>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</si>
  <si>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</si>
  <si>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</si>
  <si>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</si>
  <si>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</si>
  <si>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</si>
  <si>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</si>
  <si>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</si>
  <si>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</si>
  <si>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</si>
  <si>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</si>
  <si>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</si>
  <si>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</si>
  <si>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</si>
  <si>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</si>
  <si>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</si>
  <si>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</si>
  <si>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</si>
  <si>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</si>
  <si>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</si>
  <si>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</si>
  <si>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</si>
  <si>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</si>
  <si>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</si>
  <si>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</si>
  <si>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</si>
  <si>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</si>
  <si>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</si>
  <si>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</si>
  <si>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</si>
  <si>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</si>
  <si>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</si>
  <si>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</si>
  <si>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</si>
  <si>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</si>
  <si>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</si>
  <si>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</si>
  <si>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</si>
  <si>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</si>
  <si>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</si>
  <si>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</si>
  <si>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</si>
  <si>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</si>
  <si>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</si>
  <si>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</si>
  <si>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</si>
  <si>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</si>
  <si>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</si>
  <si>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</si>
  <si>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</si>
  <si>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</si>
  <si>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</si>
  <si>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</si>
  <si>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</si>
  <si>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</si>
  <si>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</si>
  <si>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</si>
  <si>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</si>
  <si>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</si>
  <si>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</si>
  <si>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</si>
  <si>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</si>
  <si>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</si>
  <si>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</si>
  <si>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</si>
  <si>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</si>
  <si>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</si>
  <si>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</si>
  <si>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</si>
  <si>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</si>
  <si>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</si>
  <si>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</si>
  <si>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</si>
  <si>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</si>
  <si>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</si>
  <si>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</si>
  <si>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</si>
  <si>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</si>
  <si>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</si>
  <si>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</si>
  <si>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</si>
  <si>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</si>
  <si>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</si>
  <si>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</si>
  <si>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</si>
  <si>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</si>
  <si>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</si>
  <si>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</si>
  <si>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</si>
  <si>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</si>
  <si>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</si>
  <si>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</si>
  <si>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</si>
  <si>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</si>
  <si>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</si>
  <si>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</si>
  <si>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</si>
  <si>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</si>
  <si>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</si>
  <si>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</si>
  <si>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</si>
  <si>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</si>
  <si>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</si>
  <si>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</si>
  <si>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</si>
  <si>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</si>
  <si>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</si>
  <si>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</si>
  <si>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</si>
  <si>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</si>
  <si>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</si>
  <si>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</si>
  <si>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</si>
  <si>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</si>
  <si>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</si>
  <si>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</si>
  <si>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</si>
  <si>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</si>
  <si>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</si>
  <si>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</si>
  <si>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</si>
  <si>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</si>
  <si>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</si>
  <si>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</si>
  <si>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</si>
  <si>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</si>
  <si>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</si>
  <si>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</si>
  <si>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</si>
  <si>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</si>
  <si>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</si>
  <si>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</si>
  <si>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</si>
  <si>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</si>
  <si>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</si>
  <si>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</si>
  <si>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</si>
  <si>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</si>
  <si>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</si>
  <si>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</si>
  <si>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</si>
  <si>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</si>
  <si>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</si>
  <si>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</si>
  <si>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</si>
  <si>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</si>
  <si>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</si>
  <si>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</si>
  <si>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</si>
  <si>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</si>
  <si>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</si>
  <si>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</si>
  <si>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</si>
  <si>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</si>
  <si>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</si>
  <si>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</si>
  <si>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</si>
  <si>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</si>
  <si>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</si>
  <si>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</si>
  <si>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</si>
  <si>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</si>
  <si>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</si>
  <si>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</si>
  <si>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</si>
  <si>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</si>
  <si>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</si>
  <si>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</si>
  <si>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</si>
  <si>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</si>
  <si>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</si>
  <si>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</si>
  <si>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</si>
  <si>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</si>
  <si>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</si>
  <si>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</si>
  <si>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</si>
  <si>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</si>
  <si>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</si>
  <si>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</si>
  <si>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</si>
  <si>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</si>
  <si>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</si>
  <si>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</si>
  <si>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</si>
  <si>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</si>
  <si>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</si>
  <si>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</si>
  <si>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</si>
  <si>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</si>
  <si>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</si>
  <si>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</si>
  <si>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</si>
  <si>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</si>
  <si>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</si>
  <si>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</si>
  <si>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</si>
  <si>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</si>
  <si>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</si>
  <si>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</si>
  <si>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</si>
  <si>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</si>
  <si>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</si>
  <si>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</si>
  <si>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</si>
  <si>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</si>
  <si>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</si>
  <si>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</si>
  <si>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</si>
  <si>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</si>
  <si>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</si>
  <si>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</si>
  <si>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</si>
  <si>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</si>
  <si>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</si>
  <si>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</si>
  <si>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</si>
  <si>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</si>
  <si>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</si>
  <si>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</si>
  <si>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</si>
  <si>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</si>
  <si>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</si>
  <si>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</si>
  <si>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</si>
  <si>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</si>
  <si>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</si>
  <si>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</si>
  <si>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</si>
  <si>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</si>
  <si>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</si>
  <si>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</si>
  <si>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</si>
  <si>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</si>
  <si>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</si>
  <si>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</si>
  <si>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</si>
  <si>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</si>
  <si>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</si>
  <si>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</si>
  <si>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</si>
  <si>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</si>
  <si>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</si>
  <si>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</si>
  <si>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</si>
  <si>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</si>
  <si>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</si>
  <si>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</si>
  <si>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</si>
  <si>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</si>
  <si>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</si>
  <si>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</si>
  <si>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</si>
  <si>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</si>
  <si>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</si>
  <si>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</si>
  <si>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</si>
  <si>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</si>
  <si>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</si>
  <si>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</si>
  <si>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</si>
  <si>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</si>
  <si>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</si>
  <si>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</si>
  <si>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</si>
  <si>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</si>
  <si>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</si>
  <si>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</si>
  <si>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</si>
  <si>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</si>
  <si>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</si>
  <si>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</si>
  <si>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</si>
  <si>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</si>
  <si>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</si>
  <si>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</si>
  <si>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</si>
  <si>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</si>
  <si>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</si>
  <si>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</si>
  <si>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</si>
  <si>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</si>
  <si>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</si>
  <si>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</si>
  <si>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</si>
  <si>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</si>
  <si>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</si>
  <si>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</si>
  <si>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</si>
  <si>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</si>
  <si>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</si>
  <si>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</si>
  <si>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</si>
  <si>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</si>
  <si>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</si>
  <si>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</si>
  <si>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</si>
  <si>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</si>
  <si>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</si>
  <si>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</si>
  <si>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</si>
  <si>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</si>
  <si>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</si>
  <si>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</si>
  <si>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</si>
  <si>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</si>
  <si>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</si>
  <si>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</si>
  <si>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</si>
  <si>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</si>
  <si>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</si>
  <si>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</si>
  <si>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</si>
  <si>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</si>
  <si>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</si>
  <si>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</si>
  <si>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</si>
  <si>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</si>
  <si>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</si>
  <si>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</si>
  <si>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</si>
  <si>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</si>
  <si>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</si>
  <si>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</si>
  <si>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</si>
  <si>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</si>
  <si>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</si>
  <si>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</si>
  <si>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</si>
  <si>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</si>
  <si>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</si>
  <si>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</si>
  <si>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</si>
  <si>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</si>
  <si>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</si>
  <si>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</si>
  <si>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</si>
  <si>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</si>
  <si>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</si>
  <si>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</si>
  <si>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</si>
  <si>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</si>
  <si>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</si>
  <si>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</si>
  <si>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</si>
  <si>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</si>
  <si>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</si>
  <si>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</si>
  <si>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</si>
  <si>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</si>
  <si>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</si>
  <si>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</si>
  <si>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</si>
  <si>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</si>
  <si>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</si>
  <si>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</si>
  <si>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</si>
  <si>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</si>
  <si>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</si>
  <si>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</si>
  <si>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</si>
  <si>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</si>
  <si>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</si>
  <si>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</si>
  <si>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</si>
  <si>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</si>
  <si>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</si>
  <si>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</si>
  <si>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</si>
  <si>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</si>
  <si>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</si>
  <si>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</si>
  <si>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</si>
  <si>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</si>
  <si>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</si>
  <si>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</si>
  <si>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</si>
  <si>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</si>
  <si>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</si>
  <si>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</si>
  <si>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</si>
  <si>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</si>
  <si>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</si>
  <si>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</si>
  <si>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</si>
  <si>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</si>
  <si>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</si>
  <si>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</si>
  <si>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</si>
  <si>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</si>
  <si>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</si>
  <si>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</si>
  <si>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</si>
  <si>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</si>
  <si>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</si>
  <si>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</si>
  <si>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</si>
  <si>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</si>
  <si>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</si>
  <si>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</si>
  <si>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</si>
  <si>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</si>
  <si>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</si>
  <si>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</si>
  <si>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</si>
  <si>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</si>
  <si>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</si>
  <si>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</si>
  <si>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</si>
  <si>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</si>
  <si>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</si>
  <si>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</si>
  <si>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</si>
  <si>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</si>
  <si>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</si>
  <si>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</si>
  <si>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</si>
  <si>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</si>
  <si>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</si>
  <si>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</si>
  <si>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</si>
  <si>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</si>
  <si>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</si>
  <si>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</si>
  <si>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</si>
  <si>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</si>
  <si>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</si>
  <si>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</si>
  <si>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</si>
  <si>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</si>
  <si>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</si>
  <si>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</si>
  <si>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</si>
  <si>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</si>
  <si>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</si>
  <si>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</si>
  <si>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</si>
  <si>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</si>
  <si>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</si>
  <si>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</si>
  <si>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</si>
  <si>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</si>
  <si>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</si>
  <si>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</si>
  <si>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</si>
  <si>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</si>
  <si>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</si>
  <si>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</si>
  <si>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</si>
  <si>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</si>
  <si>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</si>
  <si>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</si>
  <si>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</si>
  <si>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</si>
  <si>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</si>
  <si>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</si>
  <si>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</si>
  <si>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</si>
  <si>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</si>
  <si>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</si>
  <si>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</si>
  <si>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</si>
  <si>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</si>
  <si>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</si>
  <si>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</si>
  <si>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</si>
  <si>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</si>
  <si>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</si>
  <si>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</si>
  <si>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</si>
  <si>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</si>
  <si>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</si>
  <si>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</si>
  <si>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</si>
  <si>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</si>
  <si>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</si>
  <si>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</si>
  <si>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</si>
  <si>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</si>
  <si>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</si>
  <si>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</si>
  <si>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</si>
  <si>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</si>
  <si>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</si>
  <si>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</si>
  <si>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</si>
  <si>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</si>
  <si>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</si>
  <si>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</si>
  <si>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</si>
  <si>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</si>
  <si>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</si>
  <si>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</si>
  <si>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</si>
  <si>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</si>
  <si>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</si>
  <si>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</si>
  <si>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</si>
  <si>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</si>
  <si>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</si>
  <si>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</si>
  <si>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</si>
  <si>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</si>
  <si>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</si>
  <si>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</si>
  <si>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</si>
  <si>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</si>
  <si>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</si>
  <si>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</si>
  <si>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</si>
  <si>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</si>
  <si>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</si>
  <si>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</si>
  <si>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</si>
  <si>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</si>
  <si>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</si>
  <si>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</si>
  <si>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</si>
  <si>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</si>
  <si>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</si>
  <si>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</si>
  <si>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</si>
  <si>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</si>
  <si>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</si>
  <si>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</si>
  <si>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</si>
  <si>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</si>
  <si>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</si>
  <si>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</si>
  <si>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</si>
  <si>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</si>
  <si>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</si>
  <si>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</si>
  <si>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</si>
  <si>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</si>
  <si>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</si>
  <si>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</si>
  <si>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</si>
  <si>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</si>
  <si>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</si>
  <si>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</si>
  <si>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</si>
  <si>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</si>
  <si>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</si>
  <si>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</si>
  <si>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</si>
  <si>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</si>
  <si>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</si>
  <si>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</si>
  <si>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</si>
  <si>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</si>
  <si>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</si>
  <si>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</si>
  <si>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</si>
  <si>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</si>
  <si>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</si>
  <si>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</si>
  <si>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</si>
  <si>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</si>
  <si>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</si>
  <si>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</si>
  <si>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</si>
  <si>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</si>
  <si>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</si>
  <si>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</si>
  <si>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</si>
  <si>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</si>
  <si>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</si>
  <si>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</si>
  <si>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</si>
  <si>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</si>
  <si>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</si>
  <si>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</si>
  <si>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</si>
  <si>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</si>
  <si>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</si>
  <si>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</si>
  <si>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</si>
  <si>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</si>
  <si>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</si>
  <si>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</si>
  <si>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</si>
  <si>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</si>
  <si>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</si>
  <si>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</si>
  <si>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</si>
  <si>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</si>
  <si>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</si>
  <si>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</si>
  <si>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</si>
  <si>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</si>
  <si>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</si>
  <si>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</si>
  <si>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</si>
  <si>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</si>
  <si>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</si>
  <si>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</si>
  <si>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</si>
  <si>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</si>
  <si>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</si>
  <si>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</si>
  <si>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</si>
  <si>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</si>
  <si>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</si>
  <si>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</si>
  <si>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</si>
  <si>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</si>
  <si>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</si>
  <si>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</si>
  <si>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</si>
  <si>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</si>
  <si>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</si>
  <si>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</si>
  <si>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</si>
  <si>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</si>
  <si>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</si>
  <si>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</si>
  <si>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</si>
  <si>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</si>
  <si>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</si>
  <si>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</si>
  <si>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</si>
  <si>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</si>
  <si>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</si>
  <si>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</si>
  <si>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</si>
  <si>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</si>
  <si>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</si>
  <si>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</si>
  <si>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</si>
  <si>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</si>
  <si>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</si>
  <si>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</si>
  <si>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</si>
  <si>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</si>
  <si>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</si>
  <si>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</si>
  <si>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</si>
  <si>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</si>
  <si>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</si>
  <si>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</si>
  <si>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</si>
  <si>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</si>
  <si>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</si>
  <si>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</si>
  <si>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</si>
  <si>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</si>
  <si>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</si>
  <si>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</si>
  <si>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</si>
  <si>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</si>
  <si>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</si>
  <si>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</si>
  <si>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</si>
  <si>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</si>
  <si>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</si>
  <si>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</si>
  <si>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</si>
  <si>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</si>
  <si>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</si>
  <si>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</si>
  <si>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</si>
  <si>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</si>
  <si>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</si>
  <si>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</si>
  <si>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</si>
  <si>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</si>
  <si>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</si>
  <si>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</si>
  <si>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</si>
  <si>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</si>
  <si>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</si>
  <si>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</si>
  <si>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</si>
  <si>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</si>
  <si>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</si>
  <si>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</si>
  <si>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</si>
  <si>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</si>
  <si>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</si>
  <si>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</si>
  <si>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</si>
  <si>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</si>
  <si>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</si>
  <si>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</si>
  <si>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</si>
  <si>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</si>
  <si>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</si>
  <si>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</si>
  <si>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</si>
  <si>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</si>
  <si>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</si>
  <si>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</si>
  <si>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</si>
  <si>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</si>
  <si>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</si>
  <si>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</si>
  <si>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</si>
  <si>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</si>
  <si>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</si>
  <si>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</si>
  <si>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</si>
  <si>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</si>
  <si>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</si>
  <si>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</si>
  <si>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</si>
  <si>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</si>
  <si>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</si>
  <si>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</si>
  <si>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</si>
  <si>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</si>
  <si>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</si>
  <si>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</si>
  <si>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</si>
  <si>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</si>
  <si>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</si>
  <si>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</si>
  <si>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</si>
  <si>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</si>
  <si>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</si>
  <si>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</si>
  <si>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</si>
  <si>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</si>
  <si>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</si>
  <si>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</si>
  <si>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</si>
  <si>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</si>
  <si>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</si>
  <si>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</si>
  <si>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</si>
  <si>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</si>
  <si>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</si>
  <si>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</si>
  <si>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</si>
  <si>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</si>
  <si>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</si>
  <si>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</si>
  <si>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</si>
  <si>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</si>
  <si>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</si>
  <si>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</si>
  <si>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</si>
  <si>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</si>
  <si>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</si>
  <si>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</si>
  <si>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</si>
  <si>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</si>
  <si>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</si>
  <si>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</si>
  <si>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</si>
  <si>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</si>
  <si>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</si>
  <si>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</si>
  <si>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</si>
  <si>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</si>
  <si>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</si>
  <si>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</si>
  <si>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</si>
  <si>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</si>
  <si>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</si>
  <si>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</si>
  <si>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</si>
  <si>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</si>
  <si>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</si>
  <si>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</si>
  <si>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</si>
  <si>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</si>
  <si>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</si>
  <si>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</si>
  <si>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</si>
  <si>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</si>
  <si>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</si>
  <si>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</si>
  <si>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</si>
  <si>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</si>
  <si>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</si>
  <si>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</si>
  <si>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</si>
  <si>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</si>
  <si>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</si>
  <si>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</si>
  <si>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</si>
  <si>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</si>
  <si>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</si>
  <si>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</si>
  <si>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</si>
  <si>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</si>
  <si>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</si>
  <si>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</si>
  <si>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</si>
  <si>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</si>
  <si>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</si>
  <si>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</si>
  <si>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</si>
  <si>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</si>
  <si>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</si>
  <si>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</si>
  <si>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</si>
  <si>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</si>
  <si>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</si>
  <si>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</si>
  <si>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</si>
  <si>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</si>
  <si>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</si>
  <si>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</si>
  <si>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</si>
  <si>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</si>
  <si>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</si>
  <si>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</si>
  <si>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</si>
  <si>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</si>
  <si>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</si>
  <si>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</si>
  <si>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</si>
  <si>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</si>
  <si>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</si>
  <si>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</si>
  <si>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</si>
  <si>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</si>
  <si>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</si>
  <si>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</si>
  <si>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</si>
  <si>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</si>
  <si>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</si>
  <si>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</si>
  <si>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</si>
  <si>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</si>
  <si>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</si>
  <si>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</si>
  <si>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</si>
  <si>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</si>
  <si>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</si>
  <si>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</si>
  <si>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</si>
  <si>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</si>
  <si>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</si>
  <si>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</si>
  <si>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</si>
  <si>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</si>
  <si>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</si>
  <si>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</si>
  <si>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</si>
  <si>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</si>
  <si>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</si>
  <si>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</si>
  <si>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</si>
  <si>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</si>
  <si>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</si>
  <si>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</si>
  <si>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</si>
  <si>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</si>
  <si>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</si>
  <si>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</si>
  <si>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</si>
  <si>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</si>
  <si>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</si>
  <si>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</si>
  <si>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</si>
  <si>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</si>
  <si>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</si>
  <si>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</si>
  <si>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</si>
  <si>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</si>
  <si>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</si>
  <si>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</si>
  <si>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</si>
  <si>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</si>
  <si>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</si>
  <si>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</si>
  <si>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</si>
  <si>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</si>
  <si>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</si>
  <si>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</si>
  <si>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</si>
  <si>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</si>
  <si>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</si>
  <si>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</si>
  <si>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</si>
  <si>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</si>
  <si>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</si>
  <si>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</si>
  <si>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</si>
  <si>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</si>
  <si>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</si>
  <si>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</si>
  <si>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</si>
  <si>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</si>
  <si>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</si>
  <si>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</si>
  <si>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</si>
  <si>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</si>
  <si>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</si>
  <si>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</si>
  <si>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</si>
  <si>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</si>
  <si>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</si>
  <si>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</si>
  <si>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</si>
  <si>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</si>
  <si>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</si>
  <si>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</si>
  <si>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</si>
  <si>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</si>
  <si>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</si>
  <si>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</si>
  <si>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</si>
  <si>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</si>
  <si>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</si>
  <si>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</si>
  <si>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</si>
  <si>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</si>
  <si>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</si>
  <si>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</si>
  <si>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</si>
  <si>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</si>
  <si>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</si>
  <si>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</si>
  <si>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</si>
  <si>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</si>
  <si>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</si>
  <si>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</si>
  <si>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</si>
  <si>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</si>
  <si>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</si>
  <si>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</si>
  <si>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</si>
  <si>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</si>
  <si>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</si>
  <si>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</si>
  <si>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</si>
  <si>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</si>
  <si>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</si>
  <si>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</si>
  <si>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</si>
  <si>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</si>
  <si>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</si>
  <si>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</si>
  <si>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</si>
  <si>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</si>
  <si>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</si>
  <si>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</si>
  <si>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</si>
  <si>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</si>
  <si>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</si>
  <si>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</si>
  <si>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</si>
  <si>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</si>
  <si>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</si>
  <si>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</si>
  <si>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</si>
  <si>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</si>
  <si>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</si>
  <si>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</si>
  <si>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</si>
  <si>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</si>
  <si>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</si>
  <si>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</si>
  <si>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</si>
  <si>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</si>
  <si>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</si>
  <si>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</si>
  <si>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</si>
  <si>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</si>
  <si>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</si>
  <si>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</si>
  <si>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</si>
  <si>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</si>
  <si>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</si>
  <si>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</si>
  <si>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</si>
  <si>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</si>
  <si>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</si>
  <si>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</si>
  <si>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</si>
  <si>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</si>
  <si>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</si>
  <si>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</si>
  <si>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</si>
  <si>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</si>
  <si>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</si>
  <si>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</si>
  <si>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</si>
  <si>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</si>
  <si>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</si>
  <si>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</si>
  <si>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</si>
  <si>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</si>
  <si>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</si>
  <si>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</si>
  <si>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</si>
  <si>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</si>
  <si>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</si>
  <si>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</si>
  <si>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</si>
  <si>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</si>
  <si>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</si>
  <si>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</si>
  <si>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</si>
  <si>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</si>
  <si>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</si>
  <si>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</si>
  <si>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</si>
  <si>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</si>
  <si>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</si>
  <si>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</si>
  <si>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</si>
  <si>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</si>
  <si>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</si>
  <si>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</si>
  <si>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</si>
  <si>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</si>
  <si>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</si>
  <si>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</si>
  <si>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</si>
  <si>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</si>
  <si>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</si>
  <si>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</si>
  <si>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</si>
  <si>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</si>
  <si>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</si>
  <si>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</si>
  <si>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</si>
  <si>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</si>
  <si>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</si>
  <si>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</si>
  <si>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</si>
  <si>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</si>
  <si>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</si>
  <si>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</si>
  <si>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</si>
  <si>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</si>
  <si>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</si>
  <si>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</si>
  <si>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</si>
  <si>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</si>
  <si>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</si>
  <si>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</si>
  <si>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</si>
  <si>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</si>
  <si>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</si>
  <si>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</si>
  <si>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</si>
  <si>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</si>
  <si>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</si>
  <si>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</si>
  <si>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</si>
  <si>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</si>
  <si>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</si>
  <si>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</si>
  <si>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</si>
  <si>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</si>
  <si>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</si>
  <si>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</si>
  <si>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</si>
  <si>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</si>
  <si>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</si>
  <si>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</si>
  <si>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</si>
  <si>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</si>
  <si>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</si>
  <si>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</si>
  <si>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</si>
  <si>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</si>
  <si>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</si>
  <si>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</si>
  <si>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</si>
  <si>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</si>
  <si>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</si>
  <si>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</si>
  <si>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</si>
  <si>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</si>
  <si>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</si>
  <si>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</si>
  <si>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</si>
  <si>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</si>
  <si>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</si>
  <si>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</si>
  <si>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</si>
  <si>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</si>
  <si>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</si>
  <si>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</si>
  <si>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</si>
  <si>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</si>
  <si>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</si>
  <si>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</si>
  <si>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</si>
  <si>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</si>
  <si>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</si>
  <si>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</si>
  <si>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</si>
  <si>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</si>
  <si>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</si>
  <si>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</si>
  <si>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</si>
  <si>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</si>
  <si>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</si>
  <si>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</si>
  <si>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</si>
  <si>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</si>
  <si>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</si>
  <si>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</si>
  <si>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</si>
  <si>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</si>
  <si>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</si>
  <si>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</si>
  <si>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</si>
  <si>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</si>
  <si>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</si>
  <si>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</si>
  <si>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</si>
  <si>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</si>
  <si>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</si>
  <si>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</si>
  <si>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</si>
  <si>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</si>
  <si>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</si>
  <si>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</si>
  <si>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</si>
  <si>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</si>
  <si>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</si>
  <si>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</si>
  <si>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</si>
  <si>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</si>
  <si>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</si>
  <si>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</si>
  <si>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</si>
  <si>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</si>
  <si>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</si>
  <si>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</si>
  <si>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</si>
  <si>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</si>
  <si>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</si>
  <si>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</si>
  <si>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</si>
  <si>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</si>
  <si>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</si>
  <si>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</si>
  <si>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</si>
  <si>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</si>
  <si>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</si>
  <si>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</si>
  <si>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</si>
  <si>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</si>
  <si>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</si>
  <si>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</si>
  <si>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</si>
  <si>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</si>
  <si>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</si>
  <si>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</si>
  <si>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</si>
  <si>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</si>
  <si>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</si>
  <si>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</si>
  <si>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</si>
  <si>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</si>
  <si>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</si>
  <si>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</si>
  <si>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</si>
  <si>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</si>
  <si>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</si>
  <si>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</si>
  <si>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</si>
  <si>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</si>
  <si>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</si>
  <si>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</si>
  <si>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</si>
  <si>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</si>
  <si>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</si>
  <si>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</si>
  <si>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</si>
  <si>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</si>
  <si>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</si>
  <si>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</si>
  <si>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</si>
  <si>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</si>
  <si>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</si>
  <si>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</si>
  <si>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</si>
  <si>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</si>
  <si>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</si>
  <si>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</si>
  <si>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</si>
  <si>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</si>
  <si>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</si>
  <si>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</si>
  <si>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</si>
  <si>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</si>
  <si>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</si>
  <si>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</si>
  <si>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</si>
  <si>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</si>
  <si>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</si>
  <si>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</si>
  <si>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</si>
  <si>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</si>
  <si>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</si>
  <si>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</si>
  <si>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</si>
  <si>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</si>
  <si>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</si>
  <si>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</si>
  <si>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</si>
  <si>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</si>
  <si>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</si>
  <si>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</si>
  <si>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</si>
  <si>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</si>
  <si>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</si>
  <si>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</si>
  <si>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</si>
  <si>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</si>
  <si>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</si>
  <si>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</si>
  <si>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</si>
  <si>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</si>
  <si>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</si>
  <si>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</si>
  <si>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</si>
  <si>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</si>
  <si>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</si>
  <si>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</si>
  <si>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</si>
  <si>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</si>
  <si>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</si>
  <si>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</si>
  <si>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</si>
  <si>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</si>
  <si>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</si>
  <si>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</si>
  <si>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</si>
  <si>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</si>
  <si>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</si>
  <si>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</si>
  <si>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</si>
  <si>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</si>
  <si>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</si>
  <si>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</si>
  <si>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</si>
  <si>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</si>
  <si>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</si>
  <si>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</si>
  <si>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</si>
  <si>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</si>
  <si>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</si>
  <si>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</si>
  <si>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</si>
  <si>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</si>
  <si>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</si>
  <si>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</si>
  <si>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</si>
  <si>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</si>
  <si>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</si>
  <si>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</si>
  <si>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</si>
  <si>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</si>
  <si>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</si>
  <si>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</si>
  <si>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</si>
  <si>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</si>
  <si>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</si>
  <si>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</si>
  <si>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</si>
  <si>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</si>
  <si>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</si>
  <si>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</si>
  <si>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</si>
  <si>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</si>
  <si>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</si>
  <si>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</si>
  <si>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</si>
  <si>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</si>
  <si>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</si>
  <si>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</si>
  <si>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</si>
  <si>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</si>
  <si>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</si>
  <si>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</si>
  <si>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</si>
  <si>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</si>
  <si>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</si>
  <si>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</si>
  <si>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</si>
  <si>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</si>
  <si>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</si>
  <si>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</si>
  <si>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</si>
  <si>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</si>
  <si>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</si>
  <si>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</si>
  <si>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</si>
  <si>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</si>
  <si>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</si>
  <si>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</si>
  <si>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</si>
  <si>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</si>
  <si>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</si>
  <si>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</si>
  <si>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</si>
  <si>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</si>
  <si>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</si>
  <si>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</si>
  <si>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</si>
  <si>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</si>
  <si>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</si>
  <si>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</si>
  <si>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</si>
  <si>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1"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</si>
  <si>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</si>
  <si>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</si>
  <si>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</si>
  <si>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</si>
  <si>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</si>
  <si>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</si>
  <si>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</si>
  <si>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</si>
  <si>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</si>
  <si>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</si>
  <si>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</si>
  <si>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</si>
  <si>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</si>
  <si>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</si>
  <si>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</si>
  <si>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</si>
  <si>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</si>
  <si>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</si>
  <si>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</si>
  <si>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</si>
  <si>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</si>
  <si>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</si>
  <si>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</si>
  <si>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</si>
  <si>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</si>
  <si>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</si>
  <si>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</si>
  <si>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</si>
  <si>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</si>
  <si>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</si>
  <si>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</si>
  <si>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</si>
  <si>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</si>
  <si>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</si>
  <si>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</si>
  <si>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</si>
  <si>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</si>
  <si>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</si>
  <si>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</si>
  <si>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</si>
  <si>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</si>
  <si>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</si>
  <si>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</si>
  <si>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</si>
  <si>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</si>
  <si>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</si>
  <si>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</si>
  <si>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</si>
  <si>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</si>
  <si>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</si>
  <si>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</si>
  <si>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</si>
  <si>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</si>
  <si>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</si>
  <si>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</si>
  <si>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</si>
  <si>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</si>
  <si>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</si>
  <si>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</si>
  <si>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</si>
  <si>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</si>
  <si>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</si>
  <si>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</si>
  <si>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</si>
  <si>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</si>
  <si>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</si>
  <si>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</si>
  <si>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</si>
  <si>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</si>
  <si>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</si>
  <si>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</si>
  <si>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</si>
  <si>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</si>
  <si>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</si>
  <si>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</si>
  <si>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</si>
  <si>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</si>
  <si>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</si>
  <si>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</si>
  <si>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</si>
  <si>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</si>
  <si>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</si>
  <si>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</si>
  <si>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</si>
  <si>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</si>
  <si>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</si>
  <si>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</si>
  <si>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</si>
  <si>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</si>
  <si>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</si>
  <si>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</si>
  <si>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</si>
  <si>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</si>
  <si>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</si>
  <si>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</si>
  <si>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</si>
  <si>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</si>
  <si>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</si>
  <si>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</si>
  <si>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</si>
  <si>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</si>
  <si>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</si>
  <si>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</si>
  <si>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</si>
  <si>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</si>
  <si>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</si>
  <si>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</si>
  <si>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</si>
  <si>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</si>
  <si>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</si>
  <si>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</si>
  <si>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</si>
  <si>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</si>
  <si>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</si>
  <si>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</si>
  <si>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</si>
  <si>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</si>
  <si>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</si>
  <si>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</si>
  <si>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</si>
  <si>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</si>
  <si>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</si>
  <si>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</si>
  <si>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</si>
  <si>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</si>
  <si>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</si>
  <si>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</si>
  <si>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</si>
  <si>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</si>
  <si>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</si>
  <si>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</si>
  <si>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</si>
  <si>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</si>
  <si>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</si>
  <si>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</si>
  <si>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</si>
  <si>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</si>
  <si>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</si>
  <si>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</si>
  <si>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</si>
  <si>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</si>
  <si>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</si>
  <si>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</si>
  <si>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</si>
  <si>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</si>
  <si>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</si>
  <si>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</si>
  <si>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</si>
  <si>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</si>
  <si>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</si>
  <si>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</si>
  <si>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</si>
  <si>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</si>
  <si>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</si>
  <si>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</si>
  <si>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</si>
  <si>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</si>
  <si>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</si>
  <si>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</si>
  <si>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</si>
  <si>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</si>
  <si>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</si>
  <si>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</si>
  <si>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</si>
  <si>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</si>
  <si>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</si>
  <si>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</si>
  <si>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</si>
  <si>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</si>
  <si>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</si>
  <si>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</si>
  <si>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</si>
  <si>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</si>
  <si>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</si>
  <si>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</si>
  <si>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</si>
  <si>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</si>
  <si>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</si>
  <si>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</si>
  <si>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</si>
  <si>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</si>
  <si>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</si>
  <si>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</si>
  <si>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</si>
  <si>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</si>
  <si>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</si>
  <si>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</si>
  <si>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</si>
  <si>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</si>
  <si>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</si>
  <si>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</si>
  <si>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</si>
  <si>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</si>
  <si>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</si>
  <si>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</si>
  <si>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</si>
  <si>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</si>
  <si>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</si>
  <si>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</si>
  <si>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</si>
  <si>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</si>
  <si>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</si>
  <si>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</si>
  <si>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</si>
  <si>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</si>
  <si>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</si>
  <si>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</si>
  <si>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</si>
  <si>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</si>
  <si>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</si>
  <si>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</si>
  <si>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</si>
  <si>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</si>
  <si>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</si>
  <si>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</si>
  <si>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</si>
  <si>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</si>
  <si>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</si>
  <si>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</si>
  <si>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</si>
  <si>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</si>
  <si>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</si>
  <si>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</si>
  <si>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</si>
  <si>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</si>
  <si>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</si>
  <si>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</si>
  <si>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</si>
  <si>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</si>
  <si>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</si>
  <si>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</si>
  <si>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</si>
  <si>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</si>
  <si>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</si>
  <si>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</si>
  <si>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</si>
  <si>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</si>
  <si>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</si>
  <si>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</si>
  <si>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</si>
  <si>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</si>
  <si>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</si>
  <si>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</si>
  <si>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</si>
  <si>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</si>
  <si>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</si>
  <si>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</si>
  <si>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</si>
  <si>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</si>
  <si>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</si>
  <si>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</si>
  <si>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</si>
  <si>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</si>
  <si>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</si>
  <si>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</si>
  <si>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</si>
  <si>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</si>
  <si>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</si>
  <si>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</si>
  <si>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</si>
  <si>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</si>
  <si>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</si>
  <si>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</si>
  <si>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</si>
  <si>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</si>
  <si>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</si>
  <si>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</si>
  <si>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</si>
  <si>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</si>
  <si>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</si>
  <si>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</si>
  <si>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</si>
  <si>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</si>
  <si>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</si>
  <si>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</si>
  <si>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</si>
  <si>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</si>
  <si>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</si>
  <si>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</si>
  <si>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</si>
  <si>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</si>
  <si>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</si>
  <si>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</si>
  <si>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</si>
  <si>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</si>
  <si>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</si>
  <si>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</si>
  <si>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</si>
  <si>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</si>
  <si>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</si>
  <si>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</si>
  <si>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</si>
  <si>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</si>
  <si>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</si>
  <si>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</si>
  <si>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</si>
  <si>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</si>
  <si>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</si>
  <si>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</si>
  <si>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</si>
  <si>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</si>
  <si>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</si>
  <si>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</si>
  <si>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</si>
  <si>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</si>
  <si>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</si>
  <si>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</si>
  <si>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</si>
  <si>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</si>
  <si>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</si>
  <si>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</si>
  <si>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</si>
  <si>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</si>
  <si>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</si>
  <si>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</si>
  <si>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</si>
  <si>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</si>
  <si>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</si>
  <si>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</si>
  <si>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</si>
  <si>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</si>
  <si>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</si>
  <si>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</si>
  <si>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</si>
  <si>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</si>
  <si>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</si>
  <si>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</si>
  <si>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</si>
  <si>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</si>
  <si>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</si>
  <si>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</si>
  <si>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</si>
  <si>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</si>
  <si>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</si>
  <si>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</si>
  <si>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</si>
  <si>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</si>
  <si>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</si>
  <si>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</si>
  <si>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</si>
  <si>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</si>
  <si>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</si>
  <si>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</si>
  <si>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</si>
  <si>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</si>
  <si>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</si>
  <si>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</si>
  <si>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</si>
  <si>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</si>
  <si>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</si>
  <si>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</si>
  <si>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</si>
  <si>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</si>
  <si>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</si>
  <si>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</si>
  <si>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</si>
  <si>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</si>
  <si>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</si>
  <si>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</si>
  <si>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</si>
  <si>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</si>
  <si>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</si>
  <si>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</si>
  <si>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</si>
  <si>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</si>
  <si>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</si>
  <si>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</si>
  <si>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</si>
  <si>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</si>
  <si>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</si>
  <si>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</si>
  <si>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</si>
  <si>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</si>
  <si>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</si>
  <si>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</si>
  <si>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</si>
  <si>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</si>
  <si>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</si>
  <si>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</si>
  <si>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</si>
  <si>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</si>
  <si>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</si>
  <si>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</si>
  <si>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</si>
  <si>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</si>
  <si>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</si>
  <si>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</si>
  <si>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</si>
  <si>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</si>
  <si>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</si>
  <si>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</si>
  <si>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</si>
  <si>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</si>
  <si>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</si>
  <si>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</si>
  <si>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</si>
  <si>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</si>
  <si>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</si>
  <si>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</si>
  <si>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</si>
  <si>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</si>
  <si>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</si>
  <si>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</si>
  <si>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</si>
  <si>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</si>
  <si>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</si>
  <si>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</si>
  <si>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</si>
  <si>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</si>
  <si>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</si>
  <si>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</si>
  <si>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</si>
  <si>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</si>
  <si>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</si>
  <si>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</si>
  <si>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</si>
  <si>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</si>
  <si>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</si>
  <si>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</si>
  <si>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</si>
  <si>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</si>
  <si>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</si>
  <si>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</si>
  <si>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</si>
  <si>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</si>
  <si>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</si>
  <si>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</si>
  <si>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</si>
  <si>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</si>
  <si>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</si>
  <si>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</si>
  <si>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</si>
  <si>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</si>
  <si>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</si>
  <si>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</si>
  <si>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</si>
  <si>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</si>
  <si>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</si>
  <si>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</si>
  <si>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</si>
  <si>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</si>
  <si>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</si>
  <si>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</si>
  <si>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</si>
  <si>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</si>
  <si>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</si>
  <si>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</si>
  <si>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</si>
  <si>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</si>
  <si>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</si>
  <si>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</si>
  <si>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</si>
  <si>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</si>
  <si>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</si>
  <si>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</si>
  <si>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</si>
  <si>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</si>
  <si>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</si>
  <si>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</si>
  <si>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</si>
  <si>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</si>
  <si>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</si>
  <si>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</si>
  <si>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</si>
  <si>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</si>
  <si>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</si>
  <si>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</si>
  <si>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</si>
  <si>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</si>
  <si>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</si>
  <si>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</si>
  <si>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</si>
  <si>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</si>
  <si>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</si>
  <si>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</si>
  <si>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</si>
  <si>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</si>
  <si>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</si>
  <si>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</si>
  <si>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</si>
  <si>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</si>
  <si>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</si>
  <si>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</si>
  <si>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</si>
  <si>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</si>
  <si>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</si>
  <si>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</si>
  <si>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</si>
  <si>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</si>
  <si>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</si>
  <si>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</si>
  <si>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</si>
  <si>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</si>
  <si>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</si>
  <si>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</si>
  <si>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</si>
  <si>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</si>
  <si>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</si>
  <si>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</si>
  <si>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</si>
  <si>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</si>
  <si>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</si>
  <si>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</si>
  <si>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</si>
  <si>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</si>
  <si>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</si>
  <si>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</si>
  <si>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</si>
  <si>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</si>
  <si>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</si>
  <si>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</si>
  <si>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</si>
  <si>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</si>
  <si>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</si>
  <si>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</si>
  <si>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</si>
  <si>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</si>
  <si>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</si>
  <si>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</si>
  <si>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</si>
  <si>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</si>
  <si>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</si>
  <si>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</si>
  <si>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</si>
  <si>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</si>
  <si>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</si>
  <si>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</si>
  <si>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</si>
  <si>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</si>
  <si>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</si>
  <si>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</si>
  <si>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</si>
  <si>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</si>
  <si>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</si>
  <si>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</si>
  <si>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</si>
  <si>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</si>
  <si>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</si>
  <si>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</si>
  <si>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</si>
  <si>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</si>
  <si>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</si>
  <si>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</si>
  <si>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</si>
  <si>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</si>
  <si>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</si>
  <si>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</si>
  <si>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</si>
  <si>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</si>
  <si>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</si>
  <si>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</si>
  <si>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</si>
  <si>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</si>
  <si>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</si>
  <si>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</si>
  <si>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</si>
  <si>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</si>
  <si>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</si>
  <si>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</si>
  <si>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</si>
  <si>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</si>
  <si>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</si>
  <si>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</si>
  <si>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</si>
  <si>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</si>
  <si>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</si>
  <si>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</si>
  <si>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</si>
  <si>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</si>
  <si>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</si>
  <si>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</si>
  <si>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</si>
  <si>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</si>
  <si>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</si>
  <si>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</si>
  <si>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</si>
  <si>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</si>
  <si>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</si>
  <si>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</si>
  <si>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</si>
  <si>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</si>
  <si>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</si>
  <si>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</si>
  <si>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</si>
  <si>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</si>
  <si>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</si>
  <si>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</si>
  <si>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</si>
  <si>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</si>
  <si>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</si>
  <si>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</si>
  <si>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</si>
  <si>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</si>
  <si>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</si>
  <si>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</si>
  <si>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</si>
  <si>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</si>
  <si>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</si>
  <si>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</si>
  <si>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</si>
  <si>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</si>
  <si>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</si>
  <si>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</si>
  <si>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</si>
  <si>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</si>
  <si>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</si>
  <si>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</si>
  <si>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</si>
  <si>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</si>
  <si>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</si>
  <si>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</si>
  <si>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</si>
  <si>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</si>
  <si>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</si>
  <si>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</si>
  <si>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</si>
  <si>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</si>
  <si>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</si>
  <si>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</si>
  <si>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</si>
  <si>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</si>
  <si>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</si>
  <si>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</si>
  <si>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</si>
  <si>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</si>
  <si>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</si>
  <si>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</si>
  <si>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</si>
  <si>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</si>
  <si>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</si>
  <si>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</si>
  <si>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</si>
  <si>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</si>
  <si>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</si>
  <si>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</si>
  <si>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</si>
  <si>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</si>
  <si>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</si>
  <si>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</si>
  <si>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</si>
  <si>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</si>
  <si>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</si>
  <si>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</si>
  <si>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</si>
  <si>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</si>
  <si>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</si>
  <si>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</si>
  <si>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</si>
  <si>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</si>
  <si>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</si>
  <si>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</si>
  <si>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</si>
  <si>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</si>
  <si>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</si>
  <si>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</si>
  <si>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</si>
  <si>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</si>
  <si>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</si>
  <si>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</si>
  <si>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</si>
  <si>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</si>
  <si>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</si>
  <si>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</si>
  <si>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</si>
  <si>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</si>
  <si>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</si>
  <si>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</si>
  <si>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</si>
  <si>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</si>
  <si>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</si>
  <si>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</si>
  <si>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</si>
  <si>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</si>
  <si>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</si>
  <si>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</si>
  <si>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</si>
  <si>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</si>
  <si>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</si>
  <si>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</si>
  <si>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</si>
  <si>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</si>
  <si>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</si>
  <si>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</si>
  <si>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</si>
  <si>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</si>
  <si>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</si>
  <si>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</si>
  <si>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</si>
  <si>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</si>
  <si>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</si>
  <si>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</si>
  <si>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</si>
  <si>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</si>
  <si>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</si>
  <si>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</si>
  <si>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</si>
  <si>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</si>
  <si>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</si>
  <si>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</si>
  <si>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</si>
  <si>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</si>
  <si>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</si>
  <si>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</si>
  <si>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</si>
  <si>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</si>
  <si>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</si>
  <si>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</si>
  <si>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</si>
  <si>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</si>
  <si>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</si>
  <si>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</si>
  <si>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</si>
  <si>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</si>
  <si>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</si>
  <si>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</si>
  <si>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</si>
  <si>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</si>
  <si>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</si>
  <si>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</si>
  <si>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</si>
  <si>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</si>
  <si>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</si>
  <si>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</si>
  <si>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</si>
  <si>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</si>
  <si>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</si>
  <si>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</si>
  <si>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</si>
  <si>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</si>
  <si>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</si>
  <si>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</si>
  <si>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</si>
  <si>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</si>
  <si>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</si>
  <si>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</si>
  <si>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</si>
  <si>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</si>
  <si>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</si>
  <si>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</si>
  <si>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</si>
  <si>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</si>
  <si>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</si>
  <si>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</si>
  <si>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</si>
  <si>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</si>
  <si>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</si>
  <si>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</si>
  <si>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</si>
  <si>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</si>
  <si>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</si>
  <si>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</si>
  <si>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</si>
  <si>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</si>
  <si>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</si>
  <si>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</si>
  <si>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</si>
  <si>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</si>
  <si>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</si>
  <si>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</si>
  <si>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</si>
  <si>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</si>
  <si>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</si>
  <si>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</si>
  <si>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</si>
  <si>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</si>
  <si>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</si>
  <si>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</si>
  <si>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</si>
  <si>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</si>
  <si>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</si>
  <si>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</si>
  <si>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</si>
  <si>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</si>
  <si>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</si>
  <si>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</si>
  <si>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</si>
  <si>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</si>
  <si>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</si>
  <si>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</si>
  <si>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</si>
  <si>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</si>
  <si>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</si>
  <si>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</si>
  <si>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</si>
  <si>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</si>
  <si>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</si>
  <si>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</si>
  <si>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</si>
  <si>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</si>
  <si>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</si>
  <si>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</si>
  <si>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</si>
  <si>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</si>
  <si>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</si>
  <si>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</si>
  <si>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</si>
  <si>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</si>
  <si>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</si>
  <si>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</si>
  <si>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</si>
  <si>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</si>
  <si>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</si>
  <si>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</si>
  <si>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</si>
  <si>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</si>
  <si>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</si>
  <si>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</si>
  <si>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</si>
  <si>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</si>
  <si>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</si>
  <si>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</si>
  <si>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</si>
  <si>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</si>
  <si>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</si>
  <si>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</si>
  <si>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</si>
  <si>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</si>
  <si>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</si>
  <si>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</si>
  <si>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</si>
  <si>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</si>
  <si>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</si>
  <si>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</si>
  <si>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</si>
  <si>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</si>
  <si>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</si>
  <si>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</si>
  <si>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</si>
  <si>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</si>
  <si>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</si>
  <si>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</si>
  <si>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</si>
  <si>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</si>
  <si>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</si>
  <si>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</si>
  <si>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</si>
  <si>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</si>
  <si>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</si>
  <si>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</si>
  <si>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</si>
  <si>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</si>
  <si>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</si>
  <si>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</si>
  <si>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</si>
  <si>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</si>
  <si>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</si>
  <si>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</si>
  <si>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</si>
  <si>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</si>
  <si>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</si>
  <si>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</si>
  <si>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</si>
  <si>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</si>
  <si>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</si>
  <si>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</si>
  <si>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</si>
  <si>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</si>
  <si>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</si>
  <si>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</si>
  <si>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</si>
  <si>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</si>
  <si>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</si>
  <si>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</si>
  <si>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</si>
  <si>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</si>
  <si>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</si>
  <si>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</si>
  <si>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</si>
  <si>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</si>
  <si>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</si>
  <si>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</si>
  <si>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</si>
  <si>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</si>
  <si>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</si>
  <si>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</si>
  <si>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</si>
  <si>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</si>
  <si>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</si>
  <si>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</si>
  <si>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</si>
  <si>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</si>
  <si>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</si>
  <si>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</si>
  <si>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</si>
  <si>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</si>
  <si>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</si>
  <si>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</si>
  <si>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</si>
  <si>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</si>
  <si>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</si>
  <si>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</si>
  <si>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</si>
  <si>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</si>
  <si>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</si>
  <si>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</si>
  <si>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</si>
  <si>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</si>
  <si>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</si>
  <si>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</si>
  <si>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</si>
  <si>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</si>
  <si>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</si>
  <si>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</si>
  <si>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</si>
  <si>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</si>
  <si>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</si>
  <si>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</si>
  <si>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</si>
  <si>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</si>
  <si>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</si>
  <si>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</si>
  <si>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</si>
  <si>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</si>
  <si>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</si>
  <si>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</si>
  <si>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</si>
  <si>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</si>
  <si>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</si>
  <si>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</si>
  <si>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</si>
  <si>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</si>
  <si>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</si>
  <si>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</si>
  <si>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</si>
  <si>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</si>
  <si>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</si>
  <si>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</si>
  <si>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</si>
  <si>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</si>
  <si>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</si>
  <si>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</si>
  <si>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</si>
  <si>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</si>
  <si>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</si>
  <si>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</si>
  <si>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</si>
  <si>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</si>
  <si>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</si>
  <si>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</si>
  <si>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</si>
  <si>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</si>
  <si>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</si>
  <si>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</si>
  <si>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</si>
  <si>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</si>
  <si>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</si>
  <si>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</si>
  <si>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</si>
  <si>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</si>
  <si>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</si>
  <si>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</si>
  <si>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</si>
  <si>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</si>
  <si>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</si>
  <si>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</si>
  <si>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</si>
  <si>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</si>
  <si>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</si>
  <si>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</si>
  <si>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</si>
  <si>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</si>
  <si>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</si>
  <si>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</si>
  <si>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</si>
  <si>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</si>
  <si>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</si>
  <si>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</si>
  <si>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</si>
  <si>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</si>
  <si>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</si>
  <si>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</si>
  <si>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</si>
  <si>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</si>
  <si>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</si>
  <si>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</si>
  <si>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</si>
  <si>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</si>
  <si>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</si>
  <si>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</si>
  <si>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</si>
  <si>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</si>
  <si>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</si>
  <si>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</si>
  <si>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</si>
  <si>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</si>
  <si>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</si>
  <si>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</si>
  <si>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</si>
  <si>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</si>
  <si>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</si>
  <si>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</si>
  <si>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</si>
  <si>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</si>
  <si>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</si>
  <si>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</si>
  <si>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</si>
  <si>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</si>
  <si>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</si>
  <si>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</si>
  <si>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</si>
  <si>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</si>
  <si>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</si>
  <si>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</si>
  <si>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</si>
  <si>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</si>
  <si>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</si>
  <si>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</si>
  <si>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</si>
  <si>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</si>
  <si>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</si>
  <si>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</si>
  <si>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</si>
  <si>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</si>
  <si>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</si>
  <si>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</si>
  <si>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</si>
  <si>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</si>
  <si>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</si>
  <si>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</si>
  <si>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</si>
  <si>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</si>
  <si>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</si>
  <si>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</si>
  <si>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</si>
  <si>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</si>
  <si>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</si>
  <si>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</si>
  <si>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</si>
  <si>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</si>
  <si>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</si>
  <si>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</si>
  <si>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</si>
  <si>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</si>
  <si>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</si>
  <si>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</si>
  <si>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</si>
  <si>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</si>
  <si>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</si>
  <si>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</si>
  <si>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</si>
  <si>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</si>
  <si>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</si>
  <si>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</si>
  <si>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</si>
  <si>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</si>
  <si>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</si>
  <si>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</si>
  <si>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</si>
  <si>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</si>
  <si>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</si>
  <si>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</si>
  <si>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</si>
  <si>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</si>
  <si>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</si>
  <si>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</si>
  <si>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</si>
  <si>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</si>
  <si>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</si>
  <si>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</si>
  <si>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</si>
  <si>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</si>
  <si>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</si>
  <si>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</si>
  <si>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</si>
  <si>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</si>
  <si>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</si>
  <si>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</si>
  <si>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</si>
  <si>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</si>
  <si>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</si>
  <si>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</si>
  <si>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</si>
  <si>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</si>
  <si>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</si>
  <si>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</si>
  <si>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</si>
  <si>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</si>
  <si>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</si>
  <si>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</si>
  <si>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</si>
  <si>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</si>
  <si>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</si>
  <si>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</si>
  <si>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</si>
  <si>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</si>
  <si>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</si>
  <si>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</si>
  <si>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</si>
  <si>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</si>
  <si>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</si>
  <si>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</si>
  <si>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</si>
  <si>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</si>
  <si>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</si>
  <si>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</si>
  <si>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</si>
  <si>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</si>
  <si>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</si>
  <si>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</si>
  <si>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</si>
  <si>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</si>
  <si>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</si>
  <si>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</si>
  <si>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</si>
  <si>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</si>
  <si>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</si>
  <si>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</si>
  <si>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</si>
  <si>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</si>
  <si>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</si>
  <si>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</si>
  <si>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</si>
  <si>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</si>
  <si>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</si>
  <si>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</si>
  <si>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</si>
  <si>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</si>
  <si>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</si>
  <si>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</si>
  <si>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</si>
  <si>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</si>
  <si>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</si>
  <si>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</si>
  <si>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</si>
  <si>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</si>
  <si>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</si>
  <si>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</si>
  <si>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</si>
  <si>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</si>
  <si>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</si>
  <si>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</si>
  <si>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</si>
  <si>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</si>
  <si>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</si>
  <si>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</si>
  <si>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</si>
  <si>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</si>
  <si>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</si>
  <si>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</si>
  <si>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</si>
  <si>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</si>
  <si>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</si>
  <si>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</si>
  <si>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</si>
  <si>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</si>
  <si>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</si>
  <si>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</si>
  <si>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</si>
  <si>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</si>
  <si>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</si>
  <si>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</si>
  <si>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</si>
  <si>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</si>
  <si>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</si>
  <si>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</si>
  <si>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</si>
  <si>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</si>
  <si>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</si>
  <si>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</si>
  <si>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</si>
  <si>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</si>
  <si>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</si>
  <si>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</si>
  <si>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</si>
  <si>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</si>
  <si>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</si>
  <si>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</si>
  <si>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</si>
  <si>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</si>
  <si>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</si>
  <si>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</si>
  <si>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</si>
  <si>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</si>
  <si>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</si>
  <si>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</si>
  <si>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</si>
  <si>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</si>
  <si>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</si>
  <si>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</si>
  <si>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</si>
  <si>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</si>
  <si>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</si>
  <si>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</si>
  <si>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</si>
  <si>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</si>
  <si>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</si>
  <si>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</si>
  <si>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</si>
  <si>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</si>
  <si>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</si>
  <si>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</si>
  <si>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</si>
  <si>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</si>
  <si>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</si>
  <si>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</si>
  <si>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</si>
  <si>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</si>
  <si>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</si>
  <si>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</si>
  <si>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</si>
  <si>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</si>
  <si>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</si>
  <si>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</si>
  <si>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</si>
  <si>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</si>
  <si>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</si>
  <si>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</si>
  <si>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</si>
  <si>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</si>
  <si>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</si>
  <si>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</si>
  <si>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</si>
  <si>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</si>
  <si>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</si>
  <si>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</si>
  <si>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</si>
  <si>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</si>
  <si>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</si>
  <si>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</si>
  <si>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</si>
  <si>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</si>
  <si>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</si>
  <si>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</si>
  <si>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</si>
  <si>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</si>
  <si>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</si>
  <si>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</si>
  <si>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</si>
  <si>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</si>
  <si>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</si>
  <si>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</si>
  <si>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</si>
  <si>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</si>
  <si>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</si>
  <si>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</si>
  <si>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</si>
  <si>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</si>
  <si>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</si>
  <si>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</si>
  <si>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</si>
  <si>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</si>
  <si>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</si>
  <si>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</si>
  <si>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</si>
  <si>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</si>
  <si>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</si>
  <si>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</si>
  <si>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</si>
  <si>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</si>
  <si>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</si>
  <si>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</si>
  <si>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</si>
  <si>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</si>
  <si>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</si>
  <si>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</si>
  <si>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</si>
  <si>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</si>
  <si>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</si>
  <si>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</si>
  <si>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</si>
  <si>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</si>
  <si>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</si>
  <si>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</si>
  <si>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</si>
  <si>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</si>
  <si>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</si>
  <si>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</si>
  <si>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</si>
  <si>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</si>
  <si>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</si>
  <si>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</si>
  <si>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</si>
  <si>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</si>
  <si>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</si>
  <si>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</si>
  <si>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</si>
  <si>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</si>
  <si>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</si>
  <si>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</si>
  <si>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</si>
  <si>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</si>
  <si>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</si>
  <si>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</si>
  <si>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</si>
  <si>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</si>
  <si>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</si>
  <si>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</si>
  <si>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</si>
  <si>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</si>
  <si>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</si>
  <si>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</si>
  <si>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</si>
  <si>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</si>
  <si>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</si>
  <si>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</si>
  <si>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</si>
  <si>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</si>
  <si>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</si>
  <si>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</si>
  <si>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</si>
  <si>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</si>
  <si>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</si>
  <si>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</si>
  <si>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</si>
  <si>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</si>
  <si>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</si>
  <si>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</si>
  <si>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</si>
  <si>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</si>
  <si>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</si>
  <si>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</si>
  <si>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</si>
  <si>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</si>
  <si>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</si>
  <si>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</si>
  <si>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</si>
  <si>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</si>
  <si>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</si>
  <si>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</si>
  <si>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</si>
  <si>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</si>
  <si>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</si>
  <si>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</si>
  <si>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</si>
  <si>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</si>
  <si>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</si>
  <si>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</si>
  <si>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</si>
  <si>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</si>
  <si>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</si>
  <si>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</si>
  <si>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</si>
  <si>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</si>
  <si>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</si>
  <si>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</si>
  <si>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</si>
  <si>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</si>
  <si>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</si>
  <si>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</si>
  <si>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</si>
  <si>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</si>
  <si>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</si>
  <si>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</si>
  <si>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</si>
  <si>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</si>
  <si>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</si>
  <si>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</si>
  <si>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</si>
  <si>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</si>
  <si>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</si>
  <si>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</si>
  <si>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</si>
  <si>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</si>
  <si>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</si>
  <si>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</si>
  <si>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</si>
  <si>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</si>
  <si>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</si>
  <si>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</si>
  <si>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</si>
  <si>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</si>
  <si>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</si>
  <si>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</si>
  <si>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</si>
  <si>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</si>
  <si>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</si>
  <si>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</si>
  <si>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</si>
  <si>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</si>
  <si>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</si>
  <si>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</si>
  <si>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</si>
  <si>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</si>
  <si>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</si>
  <si>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</si>
  <si>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</si>
  <si>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</si>
  <si>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</si>
  <si>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</si>
  <si>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</si>
  <si>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</si>
  <si>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</si>
  <si>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</si>
  <si>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</si>
  <si>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</si>
  <si>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</si>
  <si>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</si>
  <si>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</si>
  <si>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</si>
  <si>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</si>
  <si>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</si>
  <si>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</si>
  <si>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</si>
  <si>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</si>
  <si>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</si>
  <si>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</si>
  <si>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</si>
  <si>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</si>
  <si>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</si>
  <si>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</si>
  <si>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</si>
  <si>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</si>
  <si>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</si>
  <si>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</si>
  <si>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</si>
  <si>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</si>
  <si>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</si>
  <si>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</si>
  <si>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</si>
  <si>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</si>
  <si>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</si>
  <si>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</si>
  <si>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</si>
  <si>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</si>
  <si>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</si>
  <si>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</si>
  <si>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</si>
  <si>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</si>
  <si>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</si>
  <si>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</si>
  <si>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</si>
  <si>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</si>
  <si>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</si>
  <si>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</si>
  <si>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</si>
  <si>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</si>
  <si>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</si>
  <si>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</si>
  <si>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</si>
  <si>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</si>
  <si>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</si>
  <si>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</si>
  <si>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</si>
  <si>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</si>
  <si>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</si>
  <si>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</si>
  <si>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</si>
  <si>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</si>
  <si>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</si>
  <si>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</si>
  <si>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</si>
  <si>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</si>
  <si>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</si>
  <si>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</si>
  <si>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</si>
  <si>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</si>
  <si>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</si>
  <si>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</si>
  <si>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</si>
  <si>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</si>
  <si>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</si>
  <si>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</si>
  <si>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</si>
  <si>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</si>
  <si>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</si>
  <si>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</si>
  <si>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</si>
  <si>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</si>
  <si>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</si>
  <si>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</si>
  <si>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</si>
  <si>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</si>
  <si>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</si>
  <si>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</si>
  <si>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</si>
  <si>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</si>
  <si>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</si>
  <si>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</si>
  <si>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</si>
  <si>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</si>
  <si>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</si>
  <si>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</si>
  <si>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</si>
  <si>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</si>
  <si>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</si>
  <si>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</si>
  <si>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</si>
  <si>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</si>
  <si>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</si>
  <si>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</si>
  <si>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</si>
  <si>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</si>
  <si>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</si>
  <si>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</si>
  <si>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</si>
  <si>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</si>
  <si>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</si>
  <si>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</si>
  <si>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</si>
  <si>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</si>
  <si>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</si>
  <si>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</si>
  <si>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</si>
  <si>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</si>
  <si>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</si>
  <si>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</si>
  <si>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</si>
  <si>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</si>
  <si>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</si>
  <si>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</si>
  <si>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</si>
  <si>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</si>
  <si>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</si>
  <si>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</si>
  <si>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</si>
  <si>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</si>
  <si>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</si>
  <si>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</si>
  <si>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</si>
  <si>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</si>
  <si>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</si>
  <si>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</si>
  <si>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</si>
  <si>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</si>
  <si>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</si>
  <si>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</si>
  <si>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</si>
  <si>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</si>
  <si>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</si>
  <si>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</si>
  <si>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</si>
  <si>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</si>
  <si>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</si>
  <si>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</si>
  <si>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</si>
  <si>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</si>
  <si>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</si>
  <si>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</si>
  <si>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</si>
  <si>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</si>
  <si>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</si>
  <si>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</si>
  <si>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</si>
  <si>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</si>
  <si>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</si>
  <si>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</si>
  <si>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</si>
  <si>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</si>
  <si>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</si>
  <si>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</si>
  <si>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</si>
  <si>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</si>
  <si>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</si>
  <si>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</si>
  <si>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</si>
  <si>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</si>
  <si>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</si>
  <si>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</si>
  <si>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</si>
  <si>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</si>
  <si>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</si>
  <si>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</si>
  <si>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</si>
  <si>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</si>
  <si>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</si>
  <si>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</si>
  <si>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</si>
  <si>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</si>
  <si>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</si>
  <si>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</si>
  <si>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</si>
  <si>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</si>
  <si>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</si>
  <si>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</si>
  <si>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</si>
  <si>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</si>
  <si>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</si>
  <si>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</si>
  <si>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</si>
  <si>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</si>
  <si>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</si>
  <si>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</si>
  <si>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</si>
  <si>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</si>
  <si>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</si>
  <si>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</si>
  <si>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</si>
  <si>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</si>
  <si>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</si>
  <si>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</si>
  <si>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</si>
  <si>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</si>
  <si>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</si>
  <si>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</si>
  <si>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</si>
  <si>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</si>
  <si>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</si>
  <si>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</si>
  <si>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</si>
  <si>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</si>
  <si>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</si>
  <si>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</si>
  <si>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</si>
  <si>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</si>
  <si>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</si>
  <si>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</si>
  <si>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</si>
  <si>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</si>
  <si>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</si>
  <si>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</si>
  <si>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</si>
  <si>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</si>
  <si>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</si>
  <si>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</si>
  <si>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</si>
  <si>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</si>
  <si>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</si>
  <si>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</si>
  <si>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</si>
  <si>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</si>
  <si>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</si>
  <si>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</si>
  <si>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</si>
  <si>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</si>
  <si>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</si>
  <si>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</si>
  <si>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</si>
  <si>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</si>
  <si>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</si>
  <si>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</si>
  <si>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</si>
  <si>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</si>
  <si>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</si>
  <si>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</si>
  <si>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</si>
  <si>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</si>
  <si>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</si>
  <si>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</si>
  <si>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</si>
  <si>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</si>
  <si>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</si>
  <si>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</si>
  <si>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</si>
  <si>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</si>
  <si>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</si>
  <si>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</si>
  <si>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</si>
  <si>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</si>
  <si>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</si>
  <si>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</si>
  <si>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</si>
  <si>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</si>
  <si>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</si>
  <si>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</si>
  <si>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</si>
  <si>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</si>
  <si>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</si>
  <si>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</si>
  <si>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</si>
  <si>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</si>
  <si>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</si>
  <si>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</si>
  <si>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</si>
  <si>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</si>
  <si>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</si>
  <si>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</si>
  <si>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</si>
  <si>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</si>
  <si>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</si>
  <si>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</si>
  <si>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</si>
  <si>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</si>
  <si>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</si>
  <si>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</si>
  <si>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</si>
  <si>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</si>
  <si>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</si>
  <si>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</si>
  <si>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</si>
  <si>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</si>
  <si>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</si>
  <si>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</si>
  <si>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</si>
  <si>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</si>
  <si>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</si>
  <si>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</si>
  <si>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</si>
  <si>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</si>
  <si>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</si>
  <si>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</si>
  <si>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</si>
  <si>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</si>
  <si>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</si>
  <si>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</si>
  <si>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</si>
  <si>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</si>
  <si>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</si>
  <si>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</si>
  <si>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</si>
  <si>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</si>
  <si>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</si>
  <si>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</si>
  <si>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</si>
  <si>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</si>
  <si>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</si>
  <si>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</si>
  <si>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</si>
  <si>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</si>
  <si>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</si>
  <si>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</si>
  <si>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</si>
  <si>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</si>
  <si>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</si>
  <si>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</si>
  <si>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</si>
  <si>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</si>
  <si>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</si>
  <si>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</si>
  <si>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</si>
  <si>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</si>
  <si>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</si>
  <si>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</si>
  <si>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</si>
  <si>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</si>
  <si>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</si>
  <si>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</si>
  <si>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</si>
  <si>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</si>
  <si>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</si>
  <si>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</si>
  <si>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</si>
  <si>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</si>
  <si>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</si>
  <si>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</si>
  <si>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</si>
  <si>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</si>
  <si>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</si>
  <si>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</si>
  <si>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</si>
  <si>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</si>
  <si>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</si>
  <si>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</si>
  <si>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</si>
  <si>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</si>
  <si>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</si>
  <si>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</si>
  <si>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</si>
  <si>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</si>
  <si>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</si>
  <si>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</si>
  <si>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</si>
  <si>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</si>
  <si>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</si>
  <si>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</si>
  <si>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</si>
  <si>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</si>
  <si>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</si>
  <si>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</si>
  <si>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</si>
  <si>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</si>
  <si>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141" type="noConversion"/>
  </si>
  <si>
    <t>出让</t>
  </si>
  <si>
    <t>企业</t>
  </si>
  <si>
    <t>北京市</t>
  </si>
  <si>
    <t>是</t>
  </si>
  <si>
    <t>地上</t>
  </si>
  <si>
    <t>地下</t>
  </si>
  <si>
    <t>办公楼</t>
  </si>
  <si>
    <t>车库</t>
  </si>
  <si>
    <t>底商</t>
  </si>
  <si>
    <t>5</t>
    <phoneticPr fontId="4" type="noConversion"/>
  </si>
  <si>
    <t>-1</t>
    <phoneticPr fontId="4" type="noConversion"/>
  </si>
  <si>
    <t>2</t>
    <phoneticPr fontId="4" type="noConversion"/>
  </si>
  <si>
    <t>-3</t>
    <phoneticPr fontId="4" type="noConversion"/>
  </si>
  <si>
    <t>3-4</t>
    <phoneticPr fontId="4" type="noConversion"/>
  </si>
  <si>
    <t>1</t>
    <phoneticPr fontId="4" type="noConversion"/>
  </si>
  <si>
    <t>8-9</t>
    <phoneticPr fontId="4" type="noConversion"/>
  </si>
  <si>
    <t>6</t>
    <phoneticPr fontId="4" type="noConversion"/>
  </si>
  <si>
    <t>5</t>
    <phoneticPr fontId="4" type="noConversion"/>
  </si>
  <si>
    <t>2</t>
    <phoneticPr fontId="4" type="noConversion"/>
  </si>
  <si>
    <t>1</t>
    <phoneticPr fontId="4" type="noConversion"/>
  </si>
  <si>
    <t>-1</t>
    <phoneticPr fontId="4" type="noConversion"/>
  </si>
  <si>
    <t>-2</t>
    <phoneticPr fontId="4" type="noConversion"/>
  </si>
  <si>
    <t>7</t>
    <phoneticPr fontId="4" type="noConversion"/>
  </si>
  <si>
    <t>成新度</t>
  </si>
  <si>
    <t>利息：取LPR加浮动点数</t>
  </si>
  <si>
    <t>地上办公</t>
    <phoneticPr fontId="8" type="noConversion"/>
  </si>
  <si>
    <r>
      <t>1</t>
    </r>
    <r>
      <rPr>
        <sz val="10"/>
        <color indexed="8"/>
        <rFont val="宋体"/>
        <family val="3"/>
        <charset val="134"/>
      </rPr>
      <t>层商业</t>
    </r>
    <phoneticPr fontId="8" type="noConversion"/>
  </si>
  <si>
    <r>
      <t>2</t>
    </r>
    <r>
      <rPr>
        <sz val="10"/>
        <color indexed="8"/>
        <rFont val="宋体"/>
        <family val="3"/>
        <charset val="134"/>
      </rPr>
      <t>层商业</t>
    </r>
    <phoneticPr fontId="8" type="noConversion"/>
  </si>
  <si>
    <r>
      <t>3-4</t>
    </r>
    <r>
      <rPr>
        <sz val="11"/>
        <color indexed="8"/>
        <rFont val="宋体"/>
        <family val="3"/>
        <charset val="134"/>
      </rPr>
      <t>层商业</t>
    </r>
    <phoneticPr fontId="8" type="noConversion"/>
  </si>
  <si>
    <r>
      <t>5</t>
    </r>
    <r>
      <rPr>
        <sz val="11"/>
        <color indexed="8"/>
        <rFont val="宋体"/>
        <family val="3"/>
        <charset val="134"/>
      </rPr>
      <t>层商业</t>
    </r>
    <phoneticPr fontId="8" type="noConversion"/>
  </si>
  <si>
    <t>地下车库</t>
    <phoneticPr fontId="8" type="noConversion"/>
  </si>
  <si>
    <t>地下办公</t>
    <phoneticPr fontId="8" type="noConversion"/>
  </si>
  <si>
    <t>商务金融用地（办公类）</t>
  </si>
  <si>
    <t>估价对象容积率</t>
  </si>
  <si>
    <t>与级别开发程度一致</t>
  </si>
  <si>
    <t>按公示增长率计算</t>
  </si>
  <si>
    <t>较好</t>
  </si>
  <si>
    <t>好</t>
  </si>
  <si>
    <t>容积率修正</t>
  </si>
  <si>
    <t>批发零售用地</t>
  </si>
  <si>
    <t>东四南大街</t>
  </si>
  <si>
    <t>楼层修正</t>
  </si>
  <si>
    <t>基准地价修正-办公</t>
  </si>
  <si>
    <t>基准地价修正-办公</t>
    <phoneticPr fontId="17" type="noConversion"/>
  </si>
  <si>
    <t>基准地价修正-商业</t>
  </si>
  <si>
    <t>基准地价修正-商业</t>
    <phoneticPr fontId="17" type="noConversion"/>
  </si>
  <si>
    <t>未包含在土地购买价格中</t>
  </si>
  <si>
    <t>部分缴纳</t>
  </si>
  <si>
    <t>已包含在土地取得成本中</t>
  </si>
  <si>
    <t>收益法</t>
    <phoneticPr fontId="4" type="noConversion"/>
  </si>
  <si>
    <t>直线法成新度</t>
    <phoneticPr fontId="4" type="noConversion"/>
  </si>
  <si>
    <t>结构残值率（%）</t>
    <phoneticPr fontId="4" type="noConversion"/>
  </si>
  <si>
    <t>项目</t>
    <phoneticPr fontId="4" type="noConversion"/>
  </si>
  <si>
    <t>数额（元）</t>
    <phoneticPr fontId="4" type="noConversion"/>
  </si>
  <si>
    <t>计算公式</t>
    <phoneticPr fontId="4" type="noConversion"/>
  </si>
  <si>
    <t>已经使用年限（年）</t>
    <phoneticPr fontId="4" type="noConversion"/>
  </si>
  <si>
    <t>10</t>
    <phoneticPr fontId="4" type="noConversion"/>
  </si>
  <si>
    <t>一</t>
    <phoneticPr fontId="4" type="noConversion"/>
  </si>
  <si>
    <t>房地产价值</t>
    <phoneticPr fontId="4" type="noConversion"/>
  </si>
  <si>
    <t>依据市场比较法得出</t>
    <phoneticPr fontId="4" type="noConversion"/>
  </si>
  <si>
    <t>建筑面积（㎡）</t>
    <phoneticPr fontId="4" type="noConversion"/>
  </si>
  <si>
    <t>经济耐用年限（年）</t>
    <phoneticPr fontId="4" type="noConversion"/>
  </si>
  <si>
    <t>60</t>
    <phoneticPr fontId="4" type="noConversion"/>
  </si>
  <si>
    <t>二</t>
    <phoneticPr fontId="4" type="noConversion"/>
  </si>
  <si>
    <t>房地产未来第一年净收益</t>
    <phoneticPr fontId="4"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</si>
  <si>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4" type="noConversion"/>
  </si>
  <si>
    <t>资本化率（Y）</t>
    <phoneticPr fontId="4" type="noConversion"/>
  </si>
  <si>
    <t>收益年期(n)</t>
    <phoneticPr fontId="4" type="noConversion"/>
  </si>
  <si>
    <t>权重</t>
    <phoneticPr fontId="4" type="noConversion"/>
  </si>
  <si>
    <t>年增长比率(g)</t>
    <phoneticPr fontId="4" type="noConversion"/>
  </si>
  <si>
    <t>综合观察法成新度</t>
    <phoneticPr fontId="4" type="noConversion"/>
  </si>
  <si>
    <t>项目名称</t>
    <phoneticPr fontId="4" type="noConversion"/>
  </si>
  <si>
    <t>标准分</t>
    <phoneticPr fontId="4" type="noConversion"/>
  </si>
  <si>
    <t>基本情况</t>
    <phoneticPr fontId="4" type="noConversion"/>
  </si>
  <si>
    <t>评分</t>
  </si>
  <si>
    <t>权重</t>
  </si>
  <si>
    <t>三</t>
    <phoneticPr fontId="4" type="noConversion"/>
  </si>
  <si>
    <t>建筑物现值</t>
    <phoneticPr fontId="4" type="noConversion"/>
  </si>
  <si>
    <t>V×成新度</t>
    <phoneticPr fontId="4" type="noConversion"/>
  </si>
  <si>
    <t>成新度（%）</t>
    <phoneticPr fontId="4" type="noConversion"/>
  </si>
  <si>
    <t>基础工程</t>
  </si>
  <si>
    <t>完好</t>
    <phoneticPr fontId="4" type="noConversion"/>
  </si>
  <si>
    <t>1.1</t>
    <phoneticPr fontId="4" type="noConversion"/>
  </si>
  <si>
    <t>建安费用</t>
  </si>
  <si>
    <t>建安单价×面积指标</t>
    <phoneticPr fontId="4" type="noConversion"/>
  </si>
  <si>
    <t>建安单价（元/建筑㎡）</t>
    <phoneticPr fontId="4" type="noConversion"/>
  </si>
  <si>
    <t>结构工程</t>
  </si>
  <si>
    <t>1.2</t>
    <phoneticPr fontId="4" type="noConversion"/>
  </si>
  <si>
    <t>勘察设计和前期工程费</t>
    <phoneticPr fontId="4" type="noConversion"/>
  </si>
  <si>
    <t>1.1×费率</t>
    <phoneticPr fontId="4" type="noConversion"/>
  </si>
  <si>
    <t>设备及装饰</t>
    <phoneticPr fontId="4" type="noConversion"/>
  </si>
  <si>
    <t>1.3</t>
    <phoneticPr fontId="4" type="noConversion"/>
  </si>
  <si>
    <t>公共配套设施建设费</t>
    <phoneticPr fontId="4" type="noConversion"/>
  </si>
  <si>
    <t>1.4</t>
    <phoneticPr fontId="4" type="noConversion"/>
  </si>
  <si>
    <t>基础设施建设费</t>
    <phoneticPr fontId="4" type="noConversion"/>
  </si>
  <si>
    <t>面积指标×取费标准</t>
    <phoneticPr fontId="4" type="noConversion"/>
  </si>
  <si>
    <t>取费标准（元/建筑㎡）</t>
    <phoneticPr fontId="4" type="noConversion"/>
  </si>
  <si>
    <t>1.5</t>
    <phoneticPr fontId="4" type="noConversion"/>
  </si>
  <si>
    <t>相关税费</t>
    <phoneticPr fontId="4" type="noConversion"/>
  </si>
  <si>
    <t>按建安费用3%-5%计取</t>
    <phoneticPr fontId="4" type="noConversion"/>
  </si>
  <si>
    <t>建造成本</t>
  </si>
  <si>
    <t>1.1～1.5项之和</t>
    <phoneticPr fontId="4" type="noConversion"/>
  </si>
  <si>
    <t>管理费用</t>
    <phoneticPr fontId="4" type="noConversion"/>
  </si>
  <si>
    <t>1×费率</t>
    <phoneticPr fontId="4" type="noConversion"/>
  </si>
  <si>
    <t>销售费用</t>
    <phoneticPr fontId="4" type="noConversion"/>
  </si>
  <si>
    <t>V×费率</t>
    <phoneticPr fontId="4" type="noConversion"/>
  </si>
  <si>
    <t>贷款利息</t>
  </si>
  <si>
    <t>+</t>
    <phoneticPr fontId="4" type="noConversion"/>
  </si>
  <si>
    <t>（1+2+3）×利率×（建设周期÷2）</t>
    <phoneticPr fontId="4" type="noConversion"/>
  </si>
  <si>
    <t>4.1</t>
    <phoneticPr fontId="4" type="noConversion"/>
  </si>
  <si>
    <t>1-2项产生的利息</t>
    <phoneticPr fontId="4" type="noConversion"/>
  </si>
  <si>
    <t>（1+2)×利率×（建设周期÷2）</t>
    <phoneticPr fontId="4" type="noConversion"/>
  </si>
  <si>
    <t>建设周期（年）</t>
    <phoneticPr fontId="4" type="noConversion"/>
  </si>
  <si>
    <t>按建造成本的1%-3%计取</t>
    <phoneticPr fontId="4" type="noConversion"/>
  </si>
  <si>
    <t>4.2</t>
    <phoneticPr fontId="4" type="noConversion"/>
  </si>
  <si>
    <t>销售费用产生的利息</t>
    <phoneticPr fontId="4" type="noConversion"/>
  </si>
  <si>
    <t>V</t>
    <phoneticPr fontId="4" type="noConversion"/>
  </si>
  <si>
    <t>V×3×利率×（建设周期÷2）</t>
    <phoneticPr fontId="4" type="noConversion"/>
  </si>
  <si>
    <t>利息（1-3年期）</t>
    <phoneticPr fontId="4" type="noConversion"/>
  </si>
  <si>
    <t>按在建建筑物或建筑物价值的1%-3%</t>
    <phoneticPr fontId="4" type="noConversion"/>
  </si>
  <si>
    <t>利润</t>
  </si>
  <si>
    <t>（1+2+3）×投资利润率</t>
    <phoneticPr fontId="4" type="noConversion"/>
  </si>
  <si>
    <t>5.1</t>
    <phoneticPr fontId="4" type="noConversion"/>
  </si>
  <si>
    <t>1-2项产生的利润</t>
    <phoneticPr fontId="4" type="noConversion"/>
  </si>
  <si>
    <t>（1+2)×利润率</t>
    <phoneticPr fontId="4" type="noConversion"/>
  </si>
  <si>
    <t>投资利润率（%）</t>
    <phoneticPr fontId="4" type="noConversion"/>
  </si>
  <si>
    <t>（1+2）×年利率×建设期÷2</t>
    <phoneticPr fontId="4" type="noConversion"/>
  </si>
  <si>
    <t>销售费用产生的利润</t>
    <phoneticPr fontId="4" type="noConversion"/>
  </si>
  <si>
    <t>3×利润率</t>
    <phoneticPr fontId="4" type="noConversion"/>
  </si>
  <si>
    <t>销售税费</t>
    <phoneticPr fontId="4" type="noConversion"/>
  </si>
  <si>
    <t>V×费率÷（1+5%）</t>
    <phoneticPr fontId="4" type="noConversion"/>
  </si>
  <si>
    <t>房屋重置价格（V）</t>
    <phoneticPr fontId="4" type="noConversion"/>
  </si>
  <si>
    <t>1-6项之和</t>
    <phoneticPr fontId="4" type="noConversion"/>
  </si>
  <si>
    <t>四</t>
    <phoneticPr fontId="4" type="noConversion"/>
  </si>
  <si>
    <t>年经营费用</t>
    <phoneticPr fontId="4" type="noConversion"/>
  </si>
  <si>
    <t>+X×</t>
    <phoneticPr fontId="4" type="noConversion"/>
  </si>
  <si>
    <t>税费+维修费+保险费+管理费</t>
    <phoneticPr fontId="4" type="noConversion"/>
  </si>
  <si>
    <t>税  费</t>
  </si>
  <si>
    <t>X×</t>
    <phoneticPr fontId="4" type="noConversion"/>
  </si>
  <si>
    <t>年总收益×税率</t>
    <phoneticPr fontId="4" type="noConversion"/>
  </si>
  <si>
    <t>V×维修费率</t>
    <phoneticPr fontId="4" type="noConversion"/>
  </si>
  <si>
    <t>保险费</t>
  </si>
  <si>
    <t>建筑物现值×保险费率</t>
    <phoneticPr fontId="4" type="noConversion"/>
  </si>
  <si>
    <t>管理费用</t>
  </si>
  <si>
    <t>年总收益×费率</t>
    <phoneticPr fontId="4" type="noConversion"/>
  </si>
  <si>
    <t>五</t>
    <phoneticPr fontId="4" type="noConversion"/>
  </si>
  <si>
    <t>未来第一年年总收益(X)</t>
    <phoneticPr fontId="4" type="noConversion"/>
  </si>
  <si>
    <t>房地产未来第一年净收益+年经营费用</t>
    <phoneticPr fontId="4" type="noConversion"/>
  </si>
  <si>
    <r>
      <rPr>
        <sz val="10"/>
        <color indexed="8"/>
        <rFont val="宋体"/>
        <family val="3"/>
        <charset val="134"/>
      </rPr>
      <t>0.2%-0.3%</t>
    </r>
    <phoneticPr fontId="4" type="noConversion"/>
  </si>
  <si>
    <t>六</t>
    <phoneticPr fontId="4" type="noConversion"/>
  </si>
  <si>
    <r>
      <t>市场租金（元/</t>
    </r>
    <r>
      <rPr>
        <sz val="10"/>
        <color indexed="10"/>
        <rFont val="仿宋_GB2312"/>
        <family val="3"/>
        <charset val="134"/>
      </rPr>
      <t>建筑</t>
    </r>
    <r>
      <rPr>
        <sz val="10"/>
        <color indexed="8"/>
        <rFont val="仿宋_GB2312"/>
        <family val="3"/>
        <charset val="134"/>
      </rPr>
      <t>㎡·天）</t>
    </r>
    <phoneticPr fontId="4" type="noConversion"/>
  </si>
  <si>
    <t>未来第一年年总收益租金÷天数÷面积指标÷出租率</t>
    <phoneticPr fontId="4" type="noConversion"/>
  </si>
  <si>
    <t>天数（天）</t>
    <phoneticPr fontId="4" type="noConversion"/>
  </si>
  <si>
    <t>出租率（%）</t>
    <phoneticPr fontId="4" type="noConversion"/>
  </si>
  <si>
    <r>
      <t>估价对象</t>
    </r>
    <r>
      <rPr>
        <b/>
        <sz val="9"/>
        <color indexed="10"/>
        <rFont val="宋体"/>
        <family val="3"/>
        <charset val="134"/>
      </rPr>
      <t>1层商业用房</t>
    </r>
    <r>
      <rPr>
        <b/>
        <sz val="9"/>
        <rFont val="宋体"/>
        <family val="3"/>
        <charset val="134"/>
      </rPr>
      <t>结果一览表</t>
    </r>
    <phoneticPr fontId="4" type="noConversion"/>
  </si>
  <si>
    <t>估价方法</t>
  </si>
  <si>
    <t>租金（元/㎡·天）</t>
    <phoneticPr fontId="4" type="noConversion"/>
  </si>
  <si>
    <t>比较法</t>
    <phoneticPr fontId="4" type="noConversion"/>
  </si>
  <si>
    <t>收益法</t>
  </si>
  <si>
    <t>权重单价</t>
    <phoneticPr fontId="4" type="noConversion"/>
  </si>
  <si>
    <t>市场租金水平</t>
    <phoneticPr fontId="4" type="noConversion"/>
  </si>
  <si>
    <t>~</t>
    <phoneticPr fontId="4" type="noConversion"/>
  </si>
  <si>
    <t>拟签净租金</t>
    <phoneticPr fontId="4" type="noConversion"/>
  </si>
  <si>
    <t>包含物业费的租金</t>
    <phoneticPr fontId="4" type="noConversion"/>
  </si>
  <si>
    <t>物业费</t>
    <phoneticPr fontId="4" type="noConversion"/>
  </si>
  <si>
    <t>测算：</t>
    <phoneticPr fontId="4" type="noConversion"/>
  </si>
  <si>
    <t>一审：</t>
    <phoneticPr fontId="4" type="noConversion"/>
  </si>
  <si>
    <t>二审：</t>
    <phoneticPr fontId="4" type="noConversion"/>
  </si>
  <si>
    <t>成本法</t>
  </si>
  <si>
    <t>梁津</t>
  </si>
  <si>
    <t>陈颖</t>
  </si>
  <si>
    <t>租金</t>
  </si>
  <si>
    <t>起租时间</t>
    <phoneticPr fontId="141" type="noConversion"/>
  </si>
  <si>
    <t>面积</t>
    <phoneticPr fontId="141" type="noConversion"/>
  </si>
  <si>
    <t>楼层</t>
    <phoneticPr fontId="141" type="noConversion"/>
  </si>
  <si>
    <t>用途</t>
    <phoneticPr fontId="141" type="noConversion"/>
  </si>
  <si>
    <t>租约期</t>
    <phoneticPr fontId="141" type="noConversion"/>
  </si>
  <si>
    <t>增长率</t>
    <phoneticPr fontId="141" type="noConversion"/>
  </si>
  <si>
    <t>免租期</t>
    <phoneticPr fontId="141" type="noConversion"/>
  </si>
  <si>
    <t>备注</t>
    <phoneticPr fontId="141" type="noConversion"/>
  </si>
  <si>
    <t>居然大厦</t>
    <phoneticPr fontId="141" type="noConversion"/>
  </si>
  <si>
    <t>2016.9.22</t>
    <phoneticPr fontId="141" type="noConversion"/>
  </si>
  <si>
    <t>商业</t>
    <phoneticPr fontId="141" type="noConversion"/>
  </si>
  <si>
    <t>2016.9.22-2017.9.22</t>
    <phoneticPr fontId="141" type="noConversion"/>
  </si>
  <si>
    <t>民生银行</t>
    <phoneticPr fontId="141" type="noConversion"/>
  </si>
  <si>
    <t>一年一签</t>
    <phoneticPr fontId="141" type="noConversion"/>
  </si>
  <si>
    <t>办公</t>
    <phoneticPr fontId="141" type="noConversion"/>
  </si>
  <si>
    <t>2016.8.20</t>
    <phoneticPr fontId="141" type="noConversion"/>
  </si>
  <si>
    <t>2016.8.20-2021.5.19</t>
    <phoneticPr fontId="141" type="noConversion"/>
  </si>
  <si>
    <t>家居饰品</t>
    <phoneticPr fontId="141" type="noConversion"/>
  </si>
  <si>
    <t>2017.1.1</t>
    <phoneticPr fontId="141" type="noConversion"/>
  </si>
  <si>
    <t>2017.1.1-2019.12.31</t>
    <phoneticPr fontId="141" type="noConversion"/>
  </si>
  <si>
    <t>2016.7.1</t>
    <phoneticPr fontId="141" type="noConversion"/>
  </si>
  <si>
    <t>2016.7.1-2018.8.21</t>
    <phoneticPr fontId="141" type="noConversion"/>
  </si>
  <si>
    <t>2016.8.1</t>
    <phoneticPr fontId="141" type="noConversion"/>
  </si>
  <si>
    <t>2016.8.1-2020.12.31</t>
    <phoneticPr fontId="141" type="noConversion"/>
  </si>
  <si>
    <t>2015.4.1</t>
    <phoneticPr fontId="141" type="noConversion"/>
  </si>
  <si>
    <t>2015.4.1-2018.3.31</t>
    <phoneticPr fontId="141" type="noConversion"/>
  </si>
  <si>
    <t>便利店</t>
    <phoneticPr fontId="141" type="noConversion"/>
  </si>
  <si>
    <t>丰联大厦</t>
    <phoneticPr fontId="141" type="noConversion"/>
  </si>
  <si>
    <t>2017.5.1</t>
    <phoneticPr fontId="141" type="noConversion"/>
  </si>
  <si>
    <t>2017.5.1-2020.4.30</t>
    <phoneticPr fontId="141" type="noConversion"/>
  </si>
  <si>
    <t>2017.1.1-208.12.31</t>
    <phoneticPr fontId="141" type="noConversion"/>
  </si>
  <si>
    <t>2017.2.1</t>
    <phoneticPr fontId="141" type="noConversion"/>
  </si>
  <si>
    <t>2017.2.1-2023.1.31</t>
    <phoneticPr fontId="141" type="noConversion"/>
  </si>
  <si>
    <t>2017.12.15</t>
    <phoneticPr fontId="141" type="noConversion"/>
  </si>
  <si>
    <t>2017.12.15-2020.12.14</t>
    <phoneticPr fontId="141" type="noConversion"/>
  </si>
  <si>
    <t>2018.9.1</t>
    <phoneticPr fontId="141" type="noConversion"/>
  </si>
  <si>
    <t>2018.9.1-2020.8.31</t>
    <phoneticPr fontId="141" type="noConversion"/>
  </si>
  <si>
    <t>2019.10.16</t>
    <phoneticPr fontId="141" type="noConversion"/>
  </si>
  <si>
    <t>2019.10.16-2022.10.15</t>
    <phoneticPr fontId="141" type="noConversion"/>
  </si>
  <si>
    <t>2016.9.12</t>
    <phoneticPr fontId="141" type="noConversion"/>
  </si>
  <si>
    <t>2016.9.12-2019.9.30</t>
    <phoneticPr fontId="141" type="noConversion"/>
  </si>
  <si>
    <t>2016.10.15</t>
    <phoneticPr fontId="141" type="noConversion"/>
  </si>
  <si>
    <t>2016.10.15-2019.10.14</t>
    <phoneticPr fontId="141" type="noConversion"/>
  </si>
  <si>
    <t>当代MOMA</t>
    <phoneticPr fontId="141" type="noConversion"/>
  </si>
  <si>
    <t>2018.5.6</t>
    <phoneticPr fontId="141" type="noConversion"/>
  </si>
  <si>
    <t>2018.5.6-2021.5.5</t>
    <phoneticPr fontId="141" type="noConversion"/>
  </si>
  <si>
    <t>2018.2.18</t>
    <phoneticPr fontId="141" type="noConversion"/>
  </si>
  <si>
    <t>2018.2.18-2020.2.17</t>
    <phoneticPr fontId="141" type="noConversion"/>
  </si>
  <si>
    <t>2017.11.1</t>
    <phoneticPr fontId="141" type="noConversion"/>
  </si>
  <si>
    <t>2017.11.1-2018.10.31</t>
    <phoneticPr fontId="141" type="noConversion"/>
  </si>
  <si>
    <t>2018.1.15</t>
    <phoneticPr fontId="141" type="noConversion"/>
  </si>
  <si>
    <t>2018.1.15-2020.1.14</t>
    <phoneticPr fontId="141" type="noConversion"/>
  </si>
  <si>
    <t>2017.9.8</t>
    <phoneticPr fontId="141" type="noConversion"/>
  </si>
  <si>
    <t>2017.9.8-2020.9.7</t>
    <phoneticPr fontId="141" type="noConversion"/>
  </si>
  <si>
    <t>1层</t>
    <phoneticPr fontId="141" type="noConversion"/>
  </si>
  <si>
    <t>2020.6-2022.6</t>
    <phoneticPr fontId="141" type="noConversion"/>
  </si>
  <si>
    <t>4层</t>
    <phoneticPr fontId="141" type="noConversion"/>
  </si>
  <si>
    <t>2019.1-2021.12</t>
    <phoneticPr fontId="141" type="noConversion"/>
  </si>
  <si>
    <t>5层</t>
    <phoneticPr fontId="141" type="noConversion"/>
  </si>
  <si>
    <t>2019.8-2022.7</t>
    <phoneticPr fontId="141" type="noConversion"/>
  </si>
  <si>
    <t>国瑞城</t>
    <phoneticPr fontId="141" type="noConversion"/>
  </si>
  <si>
    <t>2016.4.1</t>
    <phoneticPr fontId="141" type="noConversion"/>
  </si>
  <si>
    <t>2016.4.1-2021.3.31</t>
    <phoneticPr fontId="141" type="noConversion"/>
  </si>
  <si>
    <t>2017.5.31</t>
    <phoneticPr fontId="141" type="noConversion"/>
  </si>
  <si>
    <t>2017.5.31-2020.5.30</t>
    <phoneticPr fontId="141" type="noConversion"/>
  </si>
  <si>
    <t>2017.8.1</t>
    <phoneticPr fontId="141" type="noConversion"/>
  </si>
  <si>
    <t>2017.8.1-2020.7.31</t>
    <phoneticPr fontId="141" type="noConversion"/>
  </si>
  <si>
    <t>2017.7.21</t>
    <phoneticPr fontId="141" type="noConversion"/>
  </si>
  <si>
    <t>2017.7.21-2020.7.20</t>
    <phoneticPr fontId="141" type="noConversion"/>
  </si>
  <si>
    <t>2017.11.1-2022.10.31</t>
    <phoneticPr fontId="141" type="noConversion"/>
  </si>
  <si>
    <t>2017.11.1-2020.10.31</t>
    <phoneticPr fontId="141" type="noConversion"/>
  </si>
  <si>
    <t>2016.8.3</t>
    <phoneticPr fontId="141" type="noConversion"/>
  </si>
  <si>
    <t>2016.8.3-2021.8.2</t>
    <phoneticPr fontId="141" type="noConversion"/>
  </si>
  <si>
    <t>2016.1.1</t>
    <phoneticPr fontId="141" type="noConversion"/>
  </si>
  <si>
    <t>2016.1.1-2016.12.31</t>
    <phoneticPr fontId="141" type="noConversion"/>
  </si>
  <si>
    <t>前门大街</t>
    <phoneticPr fontId="141" type="noConversion"/>
  </si>
  <si>
    <t>2016.1.1-2016.3.31（装修期）</t>
    <phoneticPr fontId="141" type="noConversion"/>
  </si>
  <si>
    <t>药店</t>
    <phoneticPr fontId="141" type="noConversion"/>
  </si>
  <si>
    <t>信德京汇</t>
    <phoneticPr fontId="141" type="noConversion"/>
  </si>
  <si>
    <t>2016.4.5</t>
    <phoneticPr fontId="141" type="noConversion"/>
  </si>
  <si>
    <t>2016.4.5-2021.4.4</t>
    <phoneticPr fontId="141" type="noConversion"/>
  </si>
  <si>
    <t>2016.8.11</t>
    <phoneticPr fontId="141" type="noConversion"/>
  </si>
  <si>
    <t>地下</t>
    <phoneticPr fontId="141" type="noConversion"/>
  </si>
  <si>
    <t>车库</t>
    <phoneticPr fontId="141" type="noConversion"/>
  </si>
  <si>
    <t>北极阁大厦</t>
    <phoneticPr fontId="141" type="noConversion"/>
  </si>
  <si>
    <t>2007.10.1</t>
    <phoneticPr fontId="141" type="noConversion"/>
  </si>
  <si>
    <t>-1~5</t>
    <phoneticPr fontId="141" type="noConversion"/>
  </si>
  <si>
    <t>2007-2027</t>
    <phoneticPr fontId="141" type="noConversion"/>
  </si>
  <si>
    <t>每三年增长5%</t>
    <phoneticPr fontId="141" type="noConversion"/>
  </si>
  <si>
    <t>180天（装修）</t>
    <phoneticPr fontId="141" type="noConversion"/>
  </si>
  <si>
    <t>力山森堡</t>
    <phoneticPr fontId="141" type="noConversion"/>
  </si>
  <si>
    <t>2015.7.10</t>
    <phoneticPr fontId="141" type="noConversion"/>
  </si>
  <si>
    <t>-1~2</t>
    <phoneticPr fontId="141" type="noConversion"/>
  </si>
  <si>
    <t>2015.7.10-2025.7.9</t>
    <phoneticPr fontId="141" type="noConversion"/>
  </si>
  <si>
    <t>第三年起，每年增长3%</t>
    <phoneticPr fontId="141" type="noConversion"/>
  </si>
  <si>
    <t>2015.7.10-2015.10.9</t>
    <phoneticPr fontId="141" type="noConversion"/>
  </si>
  <si>
    <t>餐厅</t>
    <phoneticPr fontId="141" type="noConversion"/>
  </si>
  <si>
    <t>银河SOHO</t>
    <phoneticPr fontId="141" type="noConversion"/>
  </si>
  <si>
    <t>2016.4.28</t>
    <phoneticPr fontId="141" type="noConversion"/>
  </si>
  <si>
    <t>-1</t>
    <phoneticPr fontId="141" type="noConversion"/>
  </si>
  <si>
    <t>2016.6.1</t>
    <phoneticPr fontId="141" type="noConversion"/>
  </si>
  <si>
    <t>1</t>
    <phoneticPr fontId="141" type="noConversion"/>
  </si>
  <si>
    <t>2016.12.31</t>
    <phoneticPr fontId="141" type="noConversion"/>
  </si>
  <si>
    <t>位置</t>
  </si>
  <si>
    <t>2017.3.16</t>
    <phoneticPr fontId="141" type="noConversion"/>
  </si>
  <si>
    <t>2017.9.1</t>
    <phoneticPr fontId="141" type="noConversion"/>
  </si>
  <si>
    <t>2018.10.01</t>
    <phoneticPr fontId="141" type="noConversion"/>
  </si>
  <si>
    <t>2019.08.20</t>
    <phoneticPr fontId="141" type="noConversion"/>
  </si>
  <si>
    <t>世邦魏理仕有限公司</t>
  </si>
  <si>
    <t>2020.08.01</t>
    <phoneticPr fontId="141" type="noConversion"/>
  </si>
  <si>
    <t>2</t>
    <phoneticPr fontId="141" type="noConversion"/>
  </si>
  <si>
    <t>2019.05.04</t>
    <phoneticPr fontId="141" type="noConversion"/>
  </si>
  <si>
    <t>2019.05.15</t>
    <phoneticPr fontId="141" type="noConversion"/>
  </si>
  <si>
    <t>12</t>
    <phoneticPr fontId="141" type="noConversion"/>
  </si>
  <si>
    <t>2019.07.01</t>
    <phoneticPr fontId="141" type="noConversion"/>
  </si>
  <si>
    <t>7</t>
    <phoneticPr fontId="141" type="noConversion"/>
  </si>
  <si>
    <t>2019.11.15</t>
    <phoneticPr fontId="141" type="noConversion"/>
  </si>
  <si>
    <t>民生金融中心</t>
  </si>
  <si>
    <r>
      <t>建国门内大街</t>
    </r>
    <r>
      <rPr>
        <sz val="9"/>
        <color rgb="FF000000"/>
        <rFont val="Arial"/>
        <family val="2"/>
      </rPr>
      <t>28</t>
    </r>
    <r>
      <rPr>
        <sz val="9"/>
        <color rgb="FF000000"/>
        <rFont val="华文细黑"/>
        <family val="3"/>
        <charset val="134"/>
      </rPr>
      <t>号</t>
    </r>
  </si>
  <si>
    <t>2020.09.15</t>
    <phoneticPr fontId="141" type="noConversion"/>
  </si>
  <si>
    <t>东方广场</t>
  </si>
  <si>
    <r>
      <t>东长安街</t>
    </r>
    <r>
      <rPr>
        <sz val="9"/>
        <color rgb="FF000000"/>
        <rFont val="Arial"/>
        <family val="2"/>
      </rPr>
      <t>1</t>
    </r>
    <r>
      <rPr>
        <sz val="9"/>
        <color rgb="FF000000"/>
        <rFont val="华文细黑"/>
        <family val="3"/>
        <charset val="134"/>
      </rPr>
      <t>号</t>
    </r>
  </si>
  <si>
    <t>北京高纬世纪物业管理有限公司</t>
  </si>
  <si>
    <t>花市枣苑</t>
    <phoneticPr fontId="141" type="noConversion"/>
  </si>
  <si>
    <t>同一物业续租</t>
    <phoneticPr fontId="141" type="noConversion"/>
  </si>
  <si>
    <t>中国农业银行总行大厦</t>
  </si>
  <si>
    <r>
      <t>建国门内大街</t>
    </r>
    <r>
      <rPr>
        <sz val="9"/>
        <color rgb="FF000000"/>
        <rFont val="Arial"/>
        <family val="2"/>
      </rPr>
      <t>69</t>
    </r>
    <r>
      <rPr>
        <sz val="9"/>
        <color rgb="FF000000"/>
        <rFont val="华文细黑"/>
        <family val="3"/>
        <charset val="134"/>
      </rPr>
      <t>号</t>
    </r>
  </si>
  <si>
    <t>中国农业银行</t>
  </si>
  <si>
    <t>华夏银行大厦</t>
  </si>
  <si>
    <r>
      <t>建国门内大街</t>
    </r>
    <r>
      <rPr>
        <sz val="9"/>
        <color rgb="FF000000"/>
        <rFont val="Arial"/>
        <family val="2"/>
      </rPr>
      <t>22</t>
    </r>
    <r>
      <rPr>
        <sz val="9"/>
        <color rgb="FF000000"/>
        <rFont val="华文细黑"/>
        <family val="3"/>
        <charset val="134"/>
      </rPr>
      <t>号</t>
    </r>
  </si>
  <si>
    <t>华夏银行</t>
  </si>
  <si>
    <t>2018.1.1</t>
    <phoneticPr fontId="141" type="noConversion"/>
  </si>
  <si>
    <t>2019.1.1</t>
    <phoneticPr fontId="141" type="noConversion"/>
  </si>
  <si>
    <t>2019.7.1</t>
    <phoneticPr fontId="141" type="noConversion"/>
  </si>
  <si>
    <t>2020.1.1</t>
    <phoneticPr fontId="141" type="noConversion"/>
  </si>
  <si>
    <t>2021.1.1</t>
    <phoneticPr fontId="141" type="noConversion"/>
  </si>
  <si>
    <t>2007.9.15</t>
    <phoneticPr fontId="141" type="noConversion"/>
  </si>
  <si>
    <t>2007.9.15-2026.9.14</t>
    <phoneticPr fontId="141" type="noConversion"/>
  </si>
  <si>
    <t>60天</t>
    <phoneticPr fontId="141" type="noConversion"/>
  </si>
  <si>
    <t>2014.1.1</t>
    <phoneticPr fontId="141" type="noConversion"/>
  </si>
  <si>
    <t>2018.10.1</t>
    <phoneticPr fontId="141" type="noConversion"/>
  </si>
  <si>
    <t>2018.10.1-2021.9.30</t>
    <phoneticPr fontId="141" type="noConversion"/>
  </si>
  <si>
    <t>+</t>
    <phoneticPr fontId="141" type="noConversion"/>
  </si>
  <si>
    <t>2019.12.16</t>
    <phoneticPr fontId="141" type="noConversion"/>
  </si>
  <si>
    <t>2019.12.16-2022.12.15</t>
    <phoneticPr fontId="141" type="noConversion"/>
  </si>
  <si>
    <t>75天</t>
    <phoneticPr fontId="141" type="noConversion"/>
  </si>
  <si>
    <t>2018.3.1</t>
    <phoneticPr fontId="141" type="noConversion"/>
  </si>
  <si>
    <t>2018.3.1-2021.2.28</t>
    <phoneticPr fontId="141" type="noConversion"/>
  </si>
  <si>
    <t>30天</t>
    <phoneticPr fontId="141" type="noConversion"/>
  </si>
  <si>
    <t>2016.6.13</t>
    <phoneticPr fontId="141" type="noConversion"/>
  </si>
  <si>
    <t>2016.6.13-2019.6.30</t>
    <phoneticPr fontId="141" type="noConversion"/>
  </si>
  <si>
    <t>18天</t>
    <phoneticPr fontId="141" type="noConversion"/>
  </si>
  <si>
    <t>2018.8.5</t>
    <phoneticPr fontId="141" type="noConversion"/>
  </si>
  <si>
    <t>2018.8.5-2021.8.4</t>
    <phoneticPr fontId="141" type="noConversion"/>
  </si>
  <si>
    <t>2015.4.27</t>
    <phoneticPr fontId="141" type="noConversion"/>
  </si>
  <si>
    <t>8-12</t>
    <phoneticPr fontId="141" type="noConversion"/>
  </si>
  <si>
    <t>2015.4.27-2020.4.26</t>
    <phoneticPr fontId="141" type="noConversion"/>
  </si>
  <si>
    <t>每年一个月</t>
    <phoneticPr fontId="141" type="noConversion"/>
  </si>
  <si>
    <t>2016.3.1</t>
    <phoneticPr fontId="141" type="noConversion"/>
  </si>
  <si>
    <t>B7</t>
    <phoneticPr fontId="141" type="noConversion"/>
  </si>
  <si>
    <t>2016.3.1-2019.2.28</t>
    <phoneticPr fontId="141" type="noConversion"/>
  </si>
  <si>
    <t>B6</t>
    <phoneticPr fontId="141" type="noConversion"/>
  </si>
  <si>
    <t>2016.9.1-2019.5.31</t>
    <phoneticPr fontId="141" type="noConversion"/>
  </si>
  <si>
    <t>2017.4.20</t>
    <phoneticPr fontId="141" type="noConversion"/>
  </si>
  <si>
    <t>C3</t>
    <phoneticPr fontId="141" type="noConversion"/>
  </si>
  <si>
    <t>2017.4.20-2020.4.19</t>
    <phoneticPr fontId="141" type="noConversion"/>
  </si>
  <si>
    <t>2个月</t>
    <phoneticPr fontId="141" type="noConversion"/>
  </si>
  <si>
    <t>2017.5.16</t>
    <phoneticPr fontId="141" type="noConversion"/>
  </si>
  <si>
    <t>C7</t>
    <phoneticPr fontId="141" type="noConversion"/>
  </si>
  <si>
    <t>2017.5.16-2020.5.15</t>
    <phoneticPr fontId="141" type="noConversion"/>
  </si>
  <si>
    <t>2016.10.1</t>
    <phoneticPr fontId="141" type="noConversion"/>
  </si>
  <si>
    <t>C5</t>
    <phoneticPr fontId="141" type="noConversion"/>
  </si>
  <si>
    <t>2016.10.1-2019.9.30</t>
    <phoneticPr fontId="141" type="noConversion"/>
  </si>
  <si>
    <t>2019.2.16</t>
    <phoneticPr fontId="141" type="noConversion"/>
  </si>
  <si>
    <t>2019.2.16-2027.2.15</t>
    <phoneticPr fontId="141" type="noConversion"/>
  </si>
  <si>
    <t>四年增长6%</t>
    <phoneticPr fontId="141" type="noConversion"/>
  </si>
  <si>
    <t>4个月</t>
    <phoneticPr fontId="141" type="noConversion"/>
  </si>
  <si>
    <t>2017.9.16</t>
    <phoneticPr fontId="141" type="noConversion"/>
  </si>
  <si>
    <t>2017.9.16-2023.9.15</t>
    <phoneticPr fontId="141" type="noConversion"/>
  </si>
  <si>
    <t>兴业银行</t>
    <phoneticPr fontId="141" type="noConversion"/>
  </si>
  <si>
    <t>2018.4.2</t>
    <phoneticPr fontId="141" type="noConversion"/>
  </si>
  <si>
    <t>2018.4.2-2028.4.1</t>
    <phoneticPr fontId="141" type="noConversion"/>
  </si>
  <si>
    <t>5年增长10%</t>
    <phoneticPr fontId="141" type="noConversion"/>
  </si>
  <si>
    <t>中国银行</t>
    <phoneticPr fontId="141" type="noConversion"/>
  </si>
  <si>
    <t>民生金融大厦</t>
    <phoneticPr fontId="141" type="noConversion"/>
  </si>
  <si>
    <t>2012.8.1</t>
    <phoneticPr fontId="141" type="noConversion"/>
  </si>
  <si>
    <t>2012.8.1-2015.7.31</t>
    <phoneticPr fontId="141" type="noConversion"/>
  </si>
  <si>
    <t>2014.1.11</t>
    <phoneticPr fontId="141" type="noConversion"/>
  </si>
  <si>
    <t>办公</t>
    <phoneticPr fontId="141" type="noConversion"/>
  </si>
  <si>
    <t>2014.1.11-2017.1.10</t>
    <phoneticPr fontId="141" type="noConversion"/>
  </si>
  <si>
    <t>2014.8.1</t>
    <phoneticPr fontId="141" type="noConversion"/>
  </si>
  <si>
    <t>1、2</t>
    <phoneticPr fontId="141" type="noConversion"/>
  </si>
  <si>
    <t>2014.8.1-2022.7.31</t>
    <phoneticPr fontId="141" type="noConversion"/>
  </si>
  <si>
    <t>国有银行</t>
    <phoneticPr fontId="141" type="noConversion"/>
  </si>
  <si>
    <t>2015.1.1</t>
    <phoneticPr fontId="141" type="noConversion"/>
  </si>
  <si>
    <t>15</t>
    <phoneticPr fontId="141" type="noConversion"/>
  </si>
  <si>
    <t>2015.1.1-2017.7.31</t>
    <phoneticPr fontId="141" type="noConversion"/>
  </si>
  <si>
    <t>2017.3.1</t>
    <phoneticPr fontId="141" type="noConversion"/>
  </si>
  <si>
    <t>2017.3.1-2027.2.28</t>
    <phoneticPr fontId="141" type="noConversion"/>
  </si>
  <si>
    <t>2017.5.12</t>
    <phoneticPr fontId="141" type="noConversion"/>
  </si>
  <si>
    <t>2017.5.12-2027.5.11</t>
    <phoneticPr fontId="141" type="noConversion"/>
  </si>
  <si>
    <t>2017.8.1</t>
    <phoneticPr fontId="141" type="noConversion"/>
  </si>
  <si>
    <t>2017.8.1-2020.7.31</t>
    <phoneticPr fontId="141" type="noConversion"/>
  </si>
  <si>
    <t>2019.9.1</t>
    <phoneticPr fontId="141" type="noConversion"/>
  </si>
  <si>
    <t>2019.9.1-2022.8.31</t>
    <phoneticPr fontId="141" type="noConversion"/>
  </si>
  <si>
    <t>民生典当</t>
    <phoneticPr fontId="141" type="noConversion"/>
  </si>
  <si>
    <t>东方广场</t>
    <phoneticPr fontId="141" type="noConversion"/>
  </si>
  <si>
    <t>商业</t>
    <phoneticPr fontId="141" type="noConversion"/>
  </si>
  <si>
    <t>广告位73.9万</t>
    <phoneticPr fontId="141" type="noConversion"/>
  </si>
  <si>
    <t>冠名权24.58万/月</t>
    <phoneticPr fontId="141" type="noConversion"/>
  </si>
  <si>
    <t>车库</t>
    <phoneticPr fontId="141" type="noConversion"/>
  </si>
  <si>
    <t>广告位87.5万</t>
    <phoneticPr fontId="141" type="noConversion"/>
  </si>
  <si>
    <t>冠名权23.7万/月</t>
    <phoneticPr fontId="141" type="noConversion"/>
  </si>
  <si>
    <t>广告位104.75万/月</t>
    <phoneticPr fontId="141" type="noConversion"/>
  </si>
  <si>
    <t>冠名权26万/月</t>
    <phoneticPr fontId="141" type="noConversion"/>
  </si>
  <si>
    <t>广告位41万/月</t>
    <phoneticPr fontId="141" type="noConversion"/>
  </si>
  <si>
    <t>冠名权27万/月</t>
    <phoneticPr fontId="141" type="noConversion"/>
  </si>
  <si>
    <t>万豪中心</t>
    <phoneticPr fontId="141" type="noConversion"/>
  </si>
  <si>
    <t>2016.3.1</t>
    <phoneticPr fontId="141" type="noConversion"/>
  </si>
  <si>
    <t>18</t>
    <phoneticPr fontId="141" type="noConversion"/>
  </si>
  <si>
    <t>2016.3.1-2019.2.28</t>
    <phoneticPr fontId="141" type="noConversion"/>
  </si>
  <si>
    <t>2016.2.5</t>
    <phoneticPr fontId="141" type="noConversion"/>
  </si>
  <si>
    <t>3</t>
    <phoneticPr fontId="141" type="noConversion"/>
  </si>
  <si>
    <t>2016.2.5-2018.2.5</t>
    <phoneticPr fontId="141" type="noConversion"/>
  </si>
  <si>
    <t>2016.4.1</t>
    <phoneticPr fontId="141" type="noConversion"/>
  </si>
  <si>
    <t>5</t>
    <phoneticPr fontId="141" type="noConversion"/>
  </si>
  <si>
    <t>2016.4.1-2019.3.31</t>
    <phoneticPr fontId="141" type="noConversion"/>
  </si>
  <si>
    <t>2016.3.9</t>
    <phoneticPr fontId="141" type="noConversion"/>
  </si>
  <si>
    <t>1</t>
    <phoneticPr fontId="141" type="noConversion"/>
  </si>
  <si>
    <t>2016.3.9-2019.3.8</t>
    <phoneticPr fontId="141" type="noConversion"/>
  </si>
  <si>
    <t>2016.3.1-2021.2.28</t>
    <phoneticPr fontId="141" type="noConversion"/>
  </si>
  <si>
    <t>正常</t>
  </si>
  <si>
    <r>
      <t>2</t>
    </r>
    <r>
      <rPr>
        <sz val="11"/>
        <color theme="1"/>
        <rFont val="宋体"/>
        <family val="3"/>
        <charset val="134"/>
        <scheme val="minor"/>
      </rPr>
      <t>017.6.28办公</t>
    </r>
    <phoneticPr fontId="141" type="noConversion"/>
  </si>
  <si>
    <r>
      <t>2</t>
    </r>
    <r>
      <rPr>
        <sz val="11"/>
        <color theme="1"/>
        <rFont val="宋体"/>
        <family val="3"/>
        <charset val="134"/>
        <scheme val="minor"/>
      </rPr>
      <t>017.6.28商业</t>
    </r>
    <phoneticPr fontId="141" type="noConversion"/>
  </si>
  <si>
    <t>利生大厦</t>
    <phoneticPr fontId="141" type="noConversion"/>
  </si>
  <si>
    <t>2016.9.4</t>
    <phoneticPr fontId="141" type="noConversion"/>
  </si>
  <si>
    <t>6</t>
    <phoneticPr fontId="141" type="noConversion"/>
  </si>
  <si>
    <t>2016.9.4-2017.9.3</t>
    <phoneticPr fontId="141" type="noConversion"/>
  </si>
  <si>
    <t>2016.9.14</t>
    <phoneticPr fontId="141" type="noConversion"/>
  </si>
  <si>
    <t>2016.9.14-2018.9.13</t>
    <phoneticPr fontId="141" type="noConversion"/>
  </si>
  <si>
    <t>2016.9.26</t>
    <phoneticPr fontId="141" type="noConversion"/>
  </si>
  <si>
    <t>8</t>
    <phoneticPr fontId="141" type="noConversion"/>
  </si>
  <si>
    <t>2016.9.26-2019.9.25</t>
    <phoneticPr fontId="141" type="noConversion"/>
  </si>
  <si>
    <t>办公</t>
    <phoneticPr fontId="33" type="noConversion"/>
  </si>
  <si>
    <t>一般</t>
  </si>
  <si>
    <t>七通</t>
  </si>
  <si>
    <t>城市主干道</t>
  </si>
  <si>
    <t>城市主干道</t>
    <phoneticPr fontId="33" type="noConversion"/>
  </si>
  <si>
    <t>城市次干道</t>
    <phoneticPr fontId="33" type="noConversion"/>
  </si>
  <si>
    <t>朝阳门内大街</t>
    <phoneticPr fontId="33" type="noConversion"/>
  </si>
  <si>
    <t>城市快速路</t>
  </si>
  <si>
    <t>城市快速路</t>
    <phoneticPr fontId="33" type="noConversion"/>
  </si>
  <si>
    <t>朝阳门内大街298号</t>
    <phoneticPr fontId="4" type="noConversion"/>
  </si>
  <si>
    <t>精装修</t>
    <phoneticPr fontId="33" type="noConversion"/>
  </si>
  <si>
    <t>普通装修</t>
    <phoneticPr fontId="33" type="noConversion"/>
  </si>
  <si>
    <t>毛坯</t>
    <phoneticPr fontId="33" type="noConversion"/>
  </si>
  <si>
    <t>甲级</t>
    <phoneticPr fontId="33" type="noConversion"/>
  </si>
  <si>
    <t>乙级</t>
    <phoneticPr fontId="33" type="noConversion"/>
  </si>
  <si>
    <t>专业物业管理</t>
    <phoneticPr fontId="33" type="noConversion"/>
  </si>
  <si>
    <t>普通物业管理</t>
    <phoneticPr fontId="33" type="noConversion"/>
  </si>
  <si>
    <t>七通</t>
    <phoneticPr fontId="33" type="noConversion"/>
  </si>
  <si>
    <t>六通</t>
    <phoneticPr fontId="33" type="noConversion"/>
  </si>
  <si>
    <t>五通</t>
    <phoneticPr fontId="33" type="noConversion"/>
  </si>
  <si>
    <t>四通</t>
    <phoneticPr fontId="33" type="noConversion"/>
  </si>
  <si>
    <t>三通</t>
    <phoneticPr fontId="33" type="noConversion"/>
  </si>
  <si>
    <t>钢混</t>
    <phoneticPr fontId="33" type="noConversion"/>
  </si>
  <si>
    <t>新风系统、中央空调</t>
    <phoneticPr fontId="33" type="noConversion"/>
  </si>
  <si>
    <t>中央空调</t>
    <phoneticPr fontId="33" type="noConversion"/>
  </si>
  <si>
    <t>按建安费用的0%-10%计取</t>
    <phoneticPr fontId="141" type="noConversion"/>
  </si>
  <si>
    <t>钢混</t>
  </si>
  <si>
    <t>精装修</t>
  </si>
  <si>
    <t>甲级</t>
  </si>
  <si>
    <t>专业物业管理</t>
  </si>
  <si>
    <t>毛坯</t>
  </si>
  <si>
    <t>楼面单价</t>
  </si>
  <si>
    <t>成本比率</t>
  </si>
  <si>
    <t>2016.1.1-2021.3.31</t>
    <phoneticPr fontId="141" type="noConversion"/>
  </si>
  <si>
    <t>每两年增长10%</t>
    <phoneticPr fontId="141" type="noConversion"/>
  </si>
  <si>
    <t>2016.1.1-2016.3.31</t>
    <phoneticPr fontId="141" type="noConversion"/>
  </si>
  <si>
    <t>2015.1.1-2020.3.31</t>
    <phoneticPr fontId="141" type="noConversion"/>
  </si>
  <si>
    <t>2015.1.1-2015.3.31</t>
    <phoneticPr fontId="141" type="noConversion"/>
  </si>
  <si>
    <t>2017.3.1-2025.2.28</t>
    <phoneticPr fontId="141" type="noConversion"/>
  </si>
  <si>
    <t>1、2、-1</t>
    <phoneticPr fontId="141" type="noConversion"/>
  </si>
  <si>
    <t>2016.4.1-2021.8.31</t>
    <phoneticPr fontId="141" type="noConversion"/>
  </si>
  <si>
    <t>2016.4.1-2016.9.1</t>
    <phoneticPr fontId="141" type="noConversion"/>
  </si>
  <si>
    <t>2014.3.1</t>
    <phoneticPr fontId="141" type="noConversion"/>
  </si>
  <si>
    <t>1、2、3</t>
    <phoneticPr fontId="141" type="noConversion"/>
  </si>
  <si>
    <t>2014.3.1-2022.2.28</t>
    <phoneticPr fontId="141" type="noConversion"/>
  </si>
  <si>
    <t>第三年起，每年增长5%</t>
    <phoneticPr fontId="141" type="noConversion"/>
  </si>
  <si>
    <t>2014.3.1-2014.5.31、2015.3.1-2015.3.31</t>
    <phoneticPr fontId="141" type="noConversion"/>
  </si>
  <si>
    <t>2015.1.1-2022.12.31</t>
    <phoneticPr fontId="141" type="noConversion"/>
  </si>
  <si>
    <t>2015.1.1-2015.4.30</t>
    <phoneticPr fontId="141" type="noConversion"/>
  </si>
  <si>
    <t>2018.10.1-2023.9.30</t>
    <phoneticPr fontId="141" type="noConversion"/>
  </si>
  <si>
    <t>2018.8.18</t>
    <phoneticPr fontId="141" type="noConversion"/>
  </si>
  <si>
    <t>2018.8.18-2023.8.17</t>
    <phoneticPr fontId="141" type="noConversion"/>
  </si>
  <si>
    <t>2018.8.18-2018.10.17</t>
    <phoneticPr fontId="141" type="noConversion"/>
  </si>
  <si>
    <t>2016.4.1-2016.8.31</t>
    <phoneticPr fontId="141" type="noConversion"/>
  </si>
  <si>
    <t>2016.9.1</t>
    <phoneticPr fontId="141" type="noConversion"/>
  </si>
  <si>
    <t>2016.9.1-2021.8.31</t>
    <phoneticPr fontId="141" type="noConversion"/>
  </si>
  <si>
    <t>2017.7.20</t>
    <phoneticPr fontId="141" type="noConversion"/>
  </si>
  <si>
    <t>2017.7.20-2022.7.19</t>
    <phoneticPr fontId="141" type="noConversion"/>
  </si>
  <si>
    <t>2018.4.1</t>
    <phoneticPr fontId="141" type="noConversion"/>
  </si>
  <si>
    <t>2018.4.1-2020.3.31</t>
    <phoneticPr fontId="141" type="noConversion"/>
  </si>
  <si>
    <t>2016.9.1-2020.8.31</t>
    <phoneticPr fontId="141" type="noConversion"/>
  </si>
  <si>
    <t>2015.2.1</t>
    <phoneticPr fontId="141" type="noConversion"/>
  </si>
  <si>
    <t>2015.2.1-2020.5.31</t>
    <phoneticPr fontId="141" type="noConversion"/>
  </si>
  <si>
    <t>2015.2.1-2015.6.1</t>
    <phoneticPr fontId="141" type="noConversion"/>
  </si>
  <si>
    <t>德信京汇</t>
    <phoneticPr fontId="141" type="noConversion"/>
  </si>
  <si>
    <t>2016.8.11-2019.4.24</t>
    <phoneticPr fontId="141" type="noConversion"/>
  </si>
  <si>
    <t>无增长</t>
    <phoneticPr fontId="141" type="noConversion"/>
  </si>
  <si>
    <t>2016.10.8</t>
    <phoneticPr fontId="141" type="noConversion"/>
  </si>
  <si>
    <t>2016.10.8-2019.4.30</t>
    <phoneticPr fontId="141" type="noConversion"/>
  </si>
  <si>
    <t>2017.1.16</t>
    <phoneticPr fontId="141" type="noConversion"/>
  </si>
  <si>
    <t>2017.1.16-2019.1.15</t>
    <phoneticPr fontId="141" type="noConversion"/>
  </si>
  <si>
    <t>2017.5.1-2019.4.30</t>
    <phoneticPr fontId="141" type="noConversion"/>
  </si>
  <si>
    <t>2017.12.13</t>
    <phoneticPr fontId="141" type="noConversion"/>
  </si>
  <si>
    <t>2017.12.13-2019.12.12</t>
    <phoneticPr fontId="141" type="noConversion"/>
  </si>
  <si>
    <t>2018.2.13</t>
    <phoneticPr fontId="141" type="noConversion"/>
  </si>
  <si>
    <t>2018.2.13-2019.2.12</t>
    <phoneticPr fontId="141" type="noConversion"/>
  </si>
  <si>
    <t>2018.10.18</t>
    <phoneticPr fontId="141" type="noConversion"/>
  </si>
  <si>
    <t>2018.10.18-2019.10.17</t>
    <phoneticPr fontId="141" type="noConversion"/>
  </si>
  <si>
    <t>2016.7.22</t>
    <phoneticPr fontId="141" type="noConversion"/>
  </si>
  <si>
    <t>2016.7.22-2021.7.21</t>
    <phoneticPr fontId="141" type="noConversion"/>
  </si>
  <si>
    <t>每年增长5%</t>
    <phoneticPr fontId="141" type="noConversion"/>
  </si>
  <si>
    <t>2017.6.29</t>
    <phoneticPr fontId="141" type="noConversion"/>
  </si>
  <si>
    <t>2017.6.29-2022.6.28</t>
    <phoneticPr fontId="141" type="noConversion"/>
  </si>
  <si>
    <t>散租</t>
    <phoneticPr fontId="33" type="noConversion"/>
  </si>
  <si>
    <t>普通物业管理</t>
  </si>
  <si>
    <t>商业</t>
    <phoneticPr fontId="32" type="noConversion"/>
  </si>
  <si>
    <t>钢混</t>
    <phoneticPr fontId="32" type="noConversion"/>
  </si>
  <si>
    <t>七通</t>
    <phoneticPr fontId="32" type="noConversion"/>
  </si>
  <si>
    <t>六通</t>
    <phoneticPr fontId="32" type="noConversion"/>
  </si>
  <si>
    <t>五通</t>
    <phoneticPr fontId="32" type="noConversion"/>
  </si>
  <si>
    <t>四通</t>
    <phoneticPr fontId="32" type="noConversion"/>
  </si>
  <si>
    <t>三通</t>
    <phoneticPr fontId="32" type="noConversion"/>
  </si>
  <si>
    <t>办公楼底商</t>
  </si>
  <si>
    <t>办公楼底商</t>
    <phoneticPr fontId="32" type="noConversion"/>
  </si>
  <si>
    <t>较大</t>
  </si>
  <si>
    <t>较大</t>
    <phoneticPr fontId="32" type="noConversion"/>
  </si>
  <si>
    <t>城市</t>
  </si>
  <si>
    <t>序号</t>
  </si>
  <si>
    <t>项目</t>
  </si>
  <si>
    <t>物业类型</t>
  </si>
  <si>
    <t>地上面积(㎡)</t>
  </si>
  <si>
    <t>成交金额(亿元)</t>
  </si>
  <si>
    <t>单价(万/㎡)</t>
  </si>
  <si>
    <t>交易时间</t>
    <phoneticPr fontId="141" type="noConversion"/>
  </si>
  <si>
    <t>收益率</t>
    <phoneticPr fontId="141" type="noConversion"/>
  </si>
  <si>
    <t>交易状态</t>
    <phoneticPr fontId="141" type="noConversion"/>
  </si>
  <si>
    <t xml:space="preserve"> </t>
    <phoneticPr fontId="141" type="noConversion"/>
  </si>
  <si>
    <t>北京</t>
  </si>
  <si>
    <t>骏豪中央公园广场</t>
  </si>
  <si>
    <t>朝阳区</t>
  </si>
  <si>
    <t>资产交易</t>
    <phoneticPr fontId="141" type="noConversion"/>
  </si>
  <si>
    <t>复地金融中心A座</t>
  </si>
  <si>
    <t>通州区</t>
  </si>
  <si>
    <t>北京文化创意大厦</t>
  </si>
  <si>
    <t>立水桥</t>
  </si>
  <si>
    <t>其他</t>
  </si>
  <si>
    <t>世界侨商中心</t>
  </si>
  <si>
    <t>通州</t>
  </si>
  <si>
    <t>综合体</t>
  </si>
  <si>
    <t>泰禾长安中心B栋3~21层</t>
  </si>
  <si>
    <t>石景山</t>
  </si>
  <si>
    <t>复地金融中心B座</t>
  </si>
  <si>
    <t>通州富力中心</t>
  </si>
  <si>
    <t>新华联大厦</t>
  </si>
  <si>
    <t>红领巾桥</t>
  </si>
  <si>
    <t>股权交易</t>
    <phoneticPr fontId="141" type="noConversion"/>
  </si>
  <si>
    <t>钻石大厦</t>
  </si>
  <si>
    <t>中关村软件园</t>
  </si>
  <si>
    <t>首创空间大厦</t>
  </si>
  <si>
    <t>诺德中心三期12号楼</t>
  </si>
  <si>
    <t>丰台科技园</t>
  </si>
  <si>
    <t>九和大厦</t>
  </si>
  <si>
    <t>西直门</t>
  </si>
  <si>
    <t>电子城IT产业园A2</t>
  </si>
  <si>
    <t>酒仙桥</t>
  </si>
  <si>
    <t>电子城IT产业园C2A</t>
  </si>
  <si>
    <t>硅谷亮城4号楼</t>
  </si>
  <si>
    <t>上地</t>
  </si>
  <si>
    <t>电子城IT产业园C3B</t>
  </si>
  <si>
    <t>程远大厦</t>
  </si>
  <si>
    <t>海淀区</t>
  </si>
  <si>
    <t>北京招商局大厦</t>
  </si>
  <si>
    <t>境外股权</t>
    <phoneticPr fontId="141" type="noConversion"/>
  </si>
  <si>
    <t>东直门</t>
  </si>
  <si>
    <t>股权交易、股东关联方</t>
    <phoneticPr fontId="141" type="noConversion"/>
  </si>
  <si>
    <t>公寓</t>
    <phoneticPr fontId="141" type="noConversion"/>
  </si>
  <si>
    <t>翠宫饭店</t>
  </si>
  <si>
    <t>股权交易、改造</t>
    <phoneticPr fontId="141" type="noConversion"/>
  </si>
  <si>
    <t>酒店</t>
    <phoneticPr fontId="141" type="noConversion"/>
  </si>
  <si>
    <t>W酒店</t>
  </si>
  <si>
    <t>建国门</t>
  </si>
  <si>
    <t>上东今旅</t>
  </si>
  <si>
    <t>霄云路</t>
  </si>
  <si>
    <t>中环假日酒店</t>
  </si>
  <si>
    <t>广安门</t>
  </si>
  <si>
    <t>凤展大酒店</t>
  </si>
  <si>
    <t>安定门</t>
  </si>
  <si>
    <t>迦南大厦</t>
  </si>
  <si>
    <t>右安门</t>
  </si>
  <si>
    <t>望京国际商城</t>
  </si>
  <si>
    <t>望京</t>
  </si>
  <si>
    <t>恒基中心</t>
  </si>
  <si>
    <t>资产交易、商改写</t>
    <phoneticPr fontId="141" type="noConversion"/>
  </si>
  <si>
    <t>淘汇新天</t>
  </si>
  <si>
    <t>王府井</t>
  </si>
  <si>
    <t>北京新一城</t>
  </si>
  <si>
    <t>安贞凯德MALL</t>
  </si>
  <si>
    <t>安贞</t>
  </si>
  <si>
    <t>股权交易、改造、承租方购买</t>
    <phoneticPr fontId="141" type="noConversion"/>
  </si>
  <si>
    <t>广安门购物中心</t>
  </si>
  <si>
    <t>西城区</t>
  </si>
  <si>
    <t>天禧广场</t>
  </si>
  <si>
    <t>顺义</t>
  </si>
  <si>
    <t>六佰本商业街</t>
  </si>
  <si>
    <t>三全公寓</t>
  </si>
  <si>
    <t>燕莎</t>
  </si>
  <si>
    <t>上海</t>
  </si>
  <si>
    <t>浦江国际金融广场（30%股权）</t>
  </si>
  <si>
    <t>北外滩</t>
  </si>
  <si>
    <t>保利绿地广场 A1</t>
  </si>
  <si>
    <t>大连路</t>
  </si>
  <si>
    <t>文通大厦B栋</t>
  </si>
  <si>
    <t>静安鸿华大厦</t>
  </si>
  <si>
    <t>静安寺</t>
  </si>
  <si>
    <t>汇银大厦</t>
  </si>
  <si>
    <t>南京西路</t>
  </si>
  <si>
    <t>交通银行大厦</t>
  </si>
  <si>
    <t>南外滩</t>
  </si>
  <si>
    <t>绿地滨江中央广场</t>
  </si>
  <si>
    <t>宁国路</t>
  </si>
  <si>
    <t>宝龙大厦</t>
  </si>
  <si>
    <t>人民广场</t>
  </si>
  <si>
    <t>浦汇大厦</t>
  </si>
  <si>
    <t>东海商业中心（70%股权）</t>
  </si>
  <si>
    <t>虹口SOHO</t>
  </si>
  <si>
    <t>四川北路</t>
  </si>
  <si>
    <t>Lot65 50%股权</t>
  </si>
  <si>
    <t>新天地</t>
  </si>
  <si>
    <t>中城国际大厦</t>
  </si>
  <si>
    <t>徐家汇</t>
  </si>
  <si>
    <t>中港汇大厦</t>
  </si>
  <si>
    <t>长寿路</t>
  </si>
  <si>
    <t>星光耀广场(2/3/5号楼)</t>
  </si>
  <si>
    <t>大宁</t>
  </si>
  <si>
    <t>海兴广场</t>
  </si>
  <si>
    <t>大宁国际广场</t>
  </si>
  <si>
    <t>环球都会广场</t>
  </si>
  <si>
    <t>后滩</t>
  </si>
  <si>
    <t>黄兴大楼</t>
  </si>
  <si>
    <t>绿地卢湾917</t>
  </si>
  <si>
    <t>世博</t>
  </si>
  <si>
    <t>绿地五里桥黄浦滨江T1写字楼</t>
  </si>
  <si>
    <t>张江科苑大厦</t>
  </si>
  <si>
    <t>张江</t>
  </si>
  <si>
    <t>虹桥国际商务花园尚品中心（二期）</t>
  </si>
  <si>
    <t>临空</t>
  </si>
  <si>
    <t>中关村·虹桥创新中心北区9号楼</t>
  </si>
  <si>
    <t>中关村·虹桥创新中心北区7号楼</t>
  </si>
  <si>
    <t>虹桥国际商务花园尚品中心11座</t>
  </si>
  <si>
    <t>国正中心</t>
  </si>
  <si>
    <t>五角场</t>
  </si>
  <si>
    <t>瑞力创新天地</t>
  </si>
  <si>
    <t>虹桥绿谷广场E栋</t>
  </si>
  <si>
    <t>虹桥</t>
  </si>
  <si>
    <t>新华联国际中心21号</t>
  </si>
  <si>
    <t>恒基旭辉中心17号楼</t>
  </si>
  <si>
    <t>新华联国际中心11号</t>
  </si>
  <si>
    <t>七宝宝龙广场</t>
  </si>
  <si>
    <t>七宝</t>
  </si>
  <si>
    <t>七宝宝龙广场6号楼</t>
  </si>
  <si>
    <t>丰树商业城B楼</t>
  </si>
  <si>
    <t>莘庄</t>
  </si>
  <si>
    <t>美道商务广场</t>
  </si>
  <si>
    <t>徐泾</t>
  </si>
  <si>
    <t>越虹广场</t>
  </si>
  <si>
    <t>漕河泾</t>
  </si>
  <si>
    <t>腾飞莲花商务园</t>
  </si>
  <si>
    <t>凯龙信息大厦</t>
  </si>
  <si>
    <t>凯科大厦</t>
  </si>
  <si>
    <t>东方万国企业中心</t>
  </si>
  <si>
    <t>金桥</t>
  </si>
  <si>
    <t>凯龙金领大厦-东塔楼</t>
  </si>
  <si>
    <t>湾谷科技园(25/33/36/78/79号)</t>
  </si>
  <si>
    <t>新江湾城</t>
  </si>
  <si>
    <t>湾谷科技园(21/22号)</t>
  </si>
  <si>
    <t>星峰企业园</t>
  </si>
  <si>
    <t>星创大厦</t>
  </si>
  <si>
    <t>瑞虹新城月亮湾酒店</t>
  </si>
  <si>
    <t>海伦路</t>
  </si>
  <si>
    <t>久泰公寓</t>
  </si>
  <si>
    <t>湖南路</t>
  </si>
  <si>
    <t>浦西开元酒店</t>
  </si>
  <si>
    <t>苏河湾</t>
  </si>
  <si>
    <t>华山丽苑</t>
  </si>
  <si>
    <t>新华路</t>
  </si>
  <si>
    <t>广发银行大厦(公寓)</t>
  </si>
  <si>
    <t>易里酒店式公寓</t>
  </si>
  <si>
    <t>中山公园</t>
  </si>
  <si>
    <t>雅诗阁资产包-金桥馨乐庭</t>
  </si>
  <si>
    <t>明悦酒店</t>
  </si>
  <si>
    <t>洋泾</t>
  </si>
  <si>
    <t>瑞虹新城4期商铺</t>
  </si>
  <si>
    <t>西藏南路688</t>
  </si>
  <si>
    <t>中融恒瑞国际大厦</t>
  </si>
  <si>
    <t>竹园</t>
  </si>
  <si>
    <t>香溢花城商铺</t>
  </si>
  <si>
    <t>光新路</t>
  </si>
  <si>
    <t>虹桥正荣中心二期6号楼</t>
  </si>
  <si>
    <t>虹口区江湾镇A06-02号地块</t>
  </si>
  <si>
    <t>新江湾</t>
  </si>
  <si>
    <t>滨江国际广场1号楼</t>
  </si>
  <si>
    <t>保利绿地广场（B1/C1/C2）</t>
  </si>
  <si>
    <t>绿洲琴海苑49%股权</t>
  </si>
  <si>
    <t>董家渡</t>
  </si>
  <si>
    <t>嘉地中心（50%股权）</t>
  </si>
  <si>
    <t>ECO City1788</t>
  </si>
  <si>
    <t>外滩金融中心（50%股权）</t>
  </si>
  <si>
    <t>永银广场</t>
  </si>
  <si>
    <t>永泰五里桥项目</t>
  </si>
  <si>
    <t>凌空SOHO</t>
  </si>
  <si>
    <t>三林城市广场</t>
  </si>
  <si>
    <t>三林</t>
  </si>
  <si>
    <t>售价</t>
  </si>
  <si>
    <t>盈地大厦</t>
    <phoneticPr fontId="4" type="noConversion"/>
  </si>
  <si>
    <t>比较法</t>
    <phoneticPr fontId="141" type="noConversion"/>
  </si>
  <si>
    <r>
      <rPr>
        <sz val="10"/>
        <color theme="9" tint="-0.249977111117893"/>
        <rFont val="宋体"/>
        <family val="3"/>
        <charset val="134"/>
      </rPr>
      <t>估价对象所在区域基础设施水平</t>
    </r>
    <r>
      <rPr>
        <sz val="10"/>
        <color theme="9" tint="-0.249977111117893"/>
        <rFont val="Arial"/>
        <family val="2"/>
      </rPr>
      <t>-</t>
    </r>
    <r>
      <rPr>
        <sz val="10"/>
        <color theme="9" tint="-0.249977111117893"/>
        <rFont val="宋体"/>
        <family val="2"/>
        <charset val="134"/>
      </rPr>
      <t>七通</t>
    </r>
    <phoneticPr fontId="26" type="noConversion"/>
  </si>
  <si>
    <t>估价对象位于东四商圈，位于商业类一级地价区，周边有隆福大厦、隆福广场、物美超市，东四大街、朝内大街沿街商业氛围成熟，人流量大，商业繁华度较好。</t>
    <phoneticPr fontId="26" type="noConversion"/>
  </si>
  <si>
    <t>估价对象位于东四商圈，位于办公类一级地价区，有国家民航总局、国务院发展研究中心机关办公楼、隆福大厦由商场主体改写字楼，周边商业写字楼项目较少，没有形成聚集的写字楼办公区，办公集聚度一般。</t>
    <phoneticPr fontId="26" type="noConversion"/>
  </si>
  <si>
    <t>估价对象所在区域有购物场所（隆福广场、物美超市等），教育机构（灯市口小学、北京市第一六六中学），医疗网点（北京市东城区口腔医院、北京市东城区朝阳门社区卫生服务中心），金融网点（中国邮政储蓄银行、中国工商银行、北京农商银行、广发银行），综合分析，公共配套设施齐备程度较好。</t>
    <phoneticPr fontId="42" type="noConversion"/>
  </si>
  <si>
    <t>城市主干道-朝阳门内大街</t>
    <phoneticPr fontId="26" type="noConversion"/>
  </si>
  <si>
    <t>城市次干道</t>
  </si>
  <si>
    <t>周边有隆福寺广场、东四清真寺等，自然及人文环境较好</t>
    <phoneticPr fontId="42" type="noConversion"/>
  </si>
  <si>
    <t>周边有明城墙遗址公园、北京古观象台、海关博物馆等，自然及人文环境较好</t>
    <phoneticPr fontId="141" type="noConversion"/>
  </si>
  <si>
    <t>建国门外大街</t>
    <phoneticPr fontId="33" type="noConversion"/>
  </si>
  <si>
    <t>紧邻城市快速路-东二环，距离地铁2号线（1984年）、13号线（2002年）东直门站约750米，多条公交线路通达，公共交通便利，综合评价交通便捷度较好。</t>
    <phoneticPr fontId="33" type="noConversion"/>
  </si>
  <si>
    <t>估价对象所在区域有购物场所（来福士、银座mall等），教育机构（史家小学分校、史家实验学校、北京第五十五中学等），医疗网点（北京中医药大学东直门医院等），金融网点（中国民生银行、江苏银行、中国工商银行等），综合分析，公共配套设施齐备程度较好。</t>
    <phoneticPr fontId="141" type="noConversion"/>
  </si>
  <si>
    <t>周边有中国医史博物馆等，自然及人文环境较好</t>
    <phoneticPr fontId="33" type="noConversion"/>
  </si>
  <si>
    <t>估价对象所在区域有购物场所（世纪华联、物美超市等），教育机构（史家小学分校、白家庄小学等），医疗网点（中国人民解放军总医院第七医学中心、八一儿童医院等），金融网点（北京农商银行、中国银行、兴业银行等），综合分析，公共配套设施齐备程度较好。</t>
    <phoneticPr fontId="141" type="noConversion"/>
  </si>
  <si>
    <t>紧邻城市主干道-建国门内大街，距离地铁1号线（1969年）、5号线（2007年）东单站约50米，多条公交线路通达，公共交通便利，综合评价交通便捷度较好。</t>
    <phoneticPr fontId="33" type="noConversion"/>
  </si>
  <si>
    <t>估价对象所在区域有购物场所（东方新天地、物美超市等），教育机构（东交民巷小学、北京汇文实验中学等），医疗网点（北京医院、北京华尔医院、北京同仁医院等），金融网点（渤海银行、浦发银行、华夏银行、中国农业银行等），综合分析，公共配套设施齐备程度较好。</t>
    <phoneticPr fontId="141" type="noConversion"/>
  </si>
  <si>
    <t>周边有东单公园、东单体育场等，自然及人文环境较好</t>
    <phoneticPr fontId="33" type="noConversion"/>
  </si>
  <si>
    <r>
      <rPr>
        <sz val="11"/>
        <rFont val="宋体"/>
        <family val="2"/>
        <charset val="134"/>
      </rPr>
      <t>位于东直门区域，周边有来福士中心、银座</t>
    </r>
    <r>
      <rPr>
        <sz val="11"/>
        <rFont val="Arial"/>
        <family val="2"/>
      </rPr>
      <t>mall</t>
    </r>
    <r>
      <rPr>
        <sz val="11"/>
        <rFont val="宋体"/>
        <family val="2"/>
        <charset val="134"/>
      </rPr>
      <t>，商业氛围成熟，人流量大，商业繁华度好</t>
    </r>
    <phoneticPr fontId="32" type="noConversion"/>
  </si>
  <si>
    <t>2-2.5</t>
    <phoneticPr fontId="33" type="noConversion"/>
  </si>
  <si>
    <t>2.8-3</t>
  </si>
  <si>
    <t>2.8-3</t>
    <phoneticPr fontId="33" type="noConversion"/>
  </si>
  <si>
    <t>2.5-2.8</t>
  </si>
  <si>
    <t>2.5-2.8</t>
    <phoneticPr fontId="33" type="noConversion"/>
  </si>
  <si>
    <r>
      <t>2</t>
    </r>
    <r>
      <rPr>
        <sz val="11"/>
        <color theme="1"/>
        <rFont val="宋体"/>
        <family val="3"/>
        <charset val="134"/>
        <scheme val="minor"/>
      </rPr>
      <t>017.6.28</t>
    </r>
    <phoneticPr fontId="141" type="noConversion"/>
  </si>
  <si>
    <r>
      <t>2</t>
    </r>
    <r>
      <rPr>
        <sz val="11"/>
        <color theme="1"/>
        <rFont val="宋体"/>
        <family val="3"/>
        <charset val="134"/>
        <scheme val="minor"/>
      </rPr>
      <t>017.12.28</t>
    </r>
    <phoneticPr fontId="141" type="noConversion"/>
  </si>
  <si>
    <t>戴德</t>
    <phoneticPr fontId="288" type="noConversion"/>
  </si>
  <si>
    <t>仲量</t>
    <phoneticPr fontId="288" type="noConversion"/>
  </si>
  <si>
    <t>第一太平</t>
    <phoneticPr fontId="288" type="noConversion"/>
  </si>
  <si>
    <t>全市</t>
    <phoneticPr fontId="288" type="noConversion"/>
  </si>
  <si>
    <t>平均有效租金</t>
    <phoneticPr fontId="288" type="noConversion"/>
  </si>
  <si>
    <t>空置率</t>
    <phoneticPr fontId="288" type="noConversion"/>
  </si>
  <si>
    <t>租金增长率</t>
    <phoneticPr fontId="288" type="noConversion"/>
  </si>
  <si>
    <t>新增供应</t>
    <phoneticPr fontId="288" type="noConversion"/>
  </si>
  <si>
    <t>CPI增长</t>
    <phoneticPr fontId="288" type="noConversion"/>
  </si>
  <si>
    <t>存量（万㎡）</t>
    <phoneticPr fontId="288" type="noConversion"/>
  </si>
  <si>
    <t>存量（㎡）</t>
    <phoneticPr fontId="288" type="noConversion"/>
  </si>
  <si>
    <t>小区名</t>
  </si>
  <si>
    <t>均价（元/月/㎡）</t>
  </si>
  <si>
    <t>环比上月</t>
  </si>
  <si>
    <t>东方银座</t>
  </si>
  <si>
    <t>光华长安大厦</t>
  </si>
  <si>
    <t>雍和大厦</t>
  </si>
  <si>
    <t>银河SOHO</t>
  </si>
  <si>
    <t>来福士中心</t>
  </si>
  <si>
    <t>北京恒基中心</t>
  </si>
  <si>
    <t>歌华大厦</t>
  </si>
  <si>
    <t>中汇广场</t>
  </si>
  <si>
    <t>天恒大厦</t>
  </si>
  <si>
    <t>东二环</t>
    <phoneticPr fontId="288" type="noConversion"/>
  </si>
  <si>
    <t>库存（㎡）</t>
    <phoneticPr fontId="288" type="noConversion"/>
  </si>
  <si>
    <t>五大核心圈（中央商务区、金融街、燕莎、东二环、中关村）</t>
    <phoneticPr fontId="288" type="noConversion"/>
  </si>
  <si>
    <t>办公</t>
    <phoneticPr fontId="141" type="noConversion"/>
  </si>
  <si>
    <t>商业</t>
    <phoneticPr fontId="141" type="noConversion"/>
  </si>
  <si>
    <t>车库</t>
    <phoneticPr fontId="141" type="noConversion"/>
  </si>
  <si>
    <t>2017.6.28</t>
  </si>
  <si>
    <t>收益还原</t>
  </si>
  <si>
    <t>全市中高端商业</t>
    <phoneticPr fontId="141" type="noConversion"/>
  </si>
  <si>
    <t>全市甲级以上办公</t>
    <phoneticPr fontId="288" type="noConversion"/>
  </si>
  <si>
    <t>租金增长率</t>
    <phoneticPr fontId="141" type="noConversion"/>
  </si>
  <si>
    <t>东二环、中关村</t>
    <phoneticPr fontId="141" type="noConversion"/>
  </si>
  <si>
    <t>中央商务区</t>
    <phoneticPr fontId="141" type="noConversion"/>
  </si>
  <si>
    <t>库存（万㎡）</t>
    <phoneticPr fontId="288" type="noConversion"/>
  </si>
  <si>
    <t>中央商务区、金融街、中关村</t>
    <phoneticPr fontId="141" type="noConversion"/>
  </si>
  <si>
    <t>金融街、东二环</t>
    <phoneticPr fontId="141" type="noConversion"/>
  </si>
  <si>
    <t>金融街</t>
    <phoneticPr fontId="141" type="noConversion"/>
  </si>
  <si>
    <t>东二环</t>
    <phoneticPr fontId="141" type="noConversion"/>
  </si>
  <si>
    <t>新增</t>
    <phoneticPr fontId="141" type="noConversion"/>
  </si>
  <si>
    <t>楼层</t>
  </si>
  <si>
    <t>登记用途</t>
  </si>
  <si>
    <t>设定用途</t>
  </si>
  <si>
    <r>
      <t>8-9</t>
    </r>
    <r>
      <rPr>
        <sz val="10.5"/>
        <color rgb="FF000000"/>
        <rFont val="华文细黑"/>
        <family val="3"/>
        <charset val="134"/>
      </rPr>
      <t>层</t>
    </r>
  </si>
  <si>
    <r>
      <t>1-9</t>
    </r>
    <r>
      <rPr>
        <sz val="10.5"/>
        <color rgb="FF000000"/>
        <rFont val="华文细黑"/>
        <family val="3"/>
        <charset val="134"/>
      </rPr>
      <t>（办公）</t>
    </r>
    <r>
      <rPr>
        <sz val="10.5"/>
        <color rgb="FF000000"/>
        <rFont val="Arial"/>
        <family val="2"/>
      </rPr>
      <t>6599.88</t>
    </r>
    <r>
      <rPr>
        <sz val="10.5"/>
        <color rgb="FF000000"/>
        <rFont val="华文细黑"/>
        <family val="3"/>
        <charset val="134"/>
      </rPr>
      <t>㎡</t>
    </r>
  </si>
  <si>
    <r>
      <t>7</t>
    </r>
    <r>
      <rPr>
        <sz val="10.5"/>
        <color rgb="FF000000"/>
        <rFont val="华文细黑"/>
        <family val="3"/>
        <charset val="134"/>
      </rPr>
      <t>层</t>
    </r>
  </si>
  <si>
    <r>
      <t>1-8</t>
    </r>
    <r>
      <rPr>
        <sz val="10.5"/>
        <color rgb="FF000000"/>
        <rFont val="华文细黑"/>
        <family val="3"/>
        <charset val="134"/>
      </rPr>
      <t>（办公）</t>
    </r>
    <r>
      <rPr>
        <sz val="10.5"/>
        <color rgb="FF000000"/>
        <rFont val="Arial"/>
        <family val="2"/>
      </rPr>
      <t>3649.328</t>
    </r>
    <r>
      <rPr>
        <sz val="10.5"/>
        <color rgb="FF000000"/>
        <rFont val="华文细黑"/>
        <family val="3"/>
        <charset val="134"/>
      </rPr>
      <t>㎡</t>
    </r>
  </si>
  <si>
    <r>
      <t>6</t>
    </r>
    <r>
      <rPr>
        <sz val="10.5"/>
        <color rgb="FF000000"/>
        <rFont val="华文细黑"/>
        <family val="3"/>
        <charset val="134"/>
      </rPr>
      <t>层</t>
    </r>
  </si>
  <si>
    <r>
      <t>1-7</t>
    </r>
    <r>
      <rPr>
        <sz val="10.5"/>
        <color rgb="FF000000"/>
        <rFont val="华文细黑"/>
        <family val="3"/>
        <charset val="134"/>
      </rPr>
      <t>（办公）</t>
    </r>
    <r>
      <rPr>
        <sz val="10.5"/>
        <color rgb="FF000000"/>
        <rFont val="Arial"/>
        <family val="2"/>
      </rPr>
      <t>3684.9</t>
    </r>
    <r>
      <rPr>
        <sz val="10.5"/>
        <color rgb="FF000000"/>
        <rFont val="华文细黑"/>
        <family val="3"/>
        <charset val="134"/>
      </rPr>
      <t>㎡</t>
    </r>
  </si>
  <si>
    <r>
      <t>5</t>
    </r>
    <r>
      <rPr>
        <sz val="10.5"/>
        <color rgb="FF000000"/>
        <rFont val="华文细黑"/>
        <family val="3"/>
        <charset val="134"/>
      </rPr>
      <t>层</t>
    </r>
  </si>
  <si>
    <r>
      <t>1-5</t>
    </r>
    <r>
      <rPr>
        <sz val="10.5"/>
        <color rgb="FF000000"/>
        <rFont val="华文细黑"/>
        <family val="3"/>
        <charset val="134"/>
      </rPr>
      <t>（办公）</t>
    </r>
    <r>
      <rPr>
        <sz val="10.5"/>
        <color rgb="FF000000"/>
        <rFont val="Arial"/>
        <family val="2"/>
      </rPr>
      <t>641.71</t>
    </r>
    <r>
      <rPr>
        <sz val="10.5"/>
        <color rgb="FF000000"/>
        <rFont val="华文细黑"/>
        <family val="3"/>
        <charset val="134"/>
      </rPr>
      <t>㎡</t>
    </r>
  </si>
  <si>
    <r>
      <t>3-4</t>
    </r>
    <r>
      <rPr>
        <sz val="10.5"/>
        <color rgb="FF000000"/>
        <rFont val="华文细黑"/>
        <family val="3"/>
        <charset val="134"/>
      </rPr>
      <t>层</t>
    </r>
  </si>
  <si>
    <r>
      <t>1-4</t>
    </r>
    <r>
      <rPr>
        <sz val="10.5"/>
        <color rgb="FF000000"/>
        <rFont val="华文细黑"/>
        <family val="3"/>
        <charset val="134"/>
      </rPr>
      <t>（商业、办公）</t>
    </r>
    <r>
      <rPr>
        <sz val="10.5"/>
        <color rgb="FF000000"/>
        <rFont val="Arial"/>
        <family val="2"/>
      </rPr>
      <t>7369.8</t>
    </r>
    <r>
      <rPr>
        <sz val="10.5"/>
        <color rgb="FF000000"/>
        <rFont val="华文细黑"/>
        <family val="3"/>
        <charset val="134"/>
      </rPr>
      <t>㎡</t>
    </r>
  </si>
  <si>
    <r>
      <t>2</t>
    </r>
    <r>
      <rPr>
        <sz val="10.5"/>
        <color rgb="FF000000"/>
        <rFont val="华文细黑"/>
        <family val="3"/>
        <charset val="134"/>
      </rPr>
      <t>层</t>
    </r>
  </si>
  <si>
    <r>
      <t>1-2</t>
    </r>
    <r>
      <rPr>
        <sz val="10.5"/>
        <color rgb="FF000000"/>
        <rFont val="华文细黑"/>
        <family val="3"/>
        <charset val="134"/>
      </rPr>
      <t>（办公）</t>
    </r>
    <r>
      <rPr>
        <sz val="10.5"/>
        <color rgb="FF000000"/>
        <rFont val="Arial"/>
        <family val="2"/>
      </rPr>
      <t>1383.41</t>
    </r>
    <r>
      <rPr>
        <sz val="10.5"/>
        <color rgb="FF000000"/>
        <rFont val="华文细黑"/>
        <family val="3"/>
        <charset val="134"/>
      </rPr>
      <t>㎡</t>
    </r>
  </si>
  <si>
    <r>
      <t>1</t>
    </r>
    <r>
      <rPr>
        <sz val="10.5"/>
        <color rgb="FF000000"/>
        <rFont val="华文细黑"/>
        <family val="3"/>
        <charset val="134"/>
      </rPr>
      <t>层</t>
    </r>
  </si>
  <si>
    <r>
      <t>1-1</t>
    </r>
    <r>
      <rPr>
        <sz val="10.5"/>
        <color rgb="FF000000"/>
        <rFont val="华文细黑"/>
        <family val="3"/>
        <charset val="134"/>
      </rPr>
      <t>（办公）</t>
    </r>
    <r>
      <rPr>
        <sz val="10.5"/>
        <color rgb="FF000000"/>
        <rFont val="Arial"/>
        <family val="2"/>
      </rPr>
      <t>3345.2</t>
    </r>
    <r>
      <rPr>
        <sz val="10.5"/>
        <color rgb="FF000000"/>
        <rFont val="华文细黑"/>
        <family val="3"/>
        <charset val="134"/>
      </rPr>
      <t>㎡</t>
    </r>
  </si>
  <si>
    <r>
      <t>008</t>
    </r>
    <r>
      <rPr>
        <sz val="10.5"/>
        <color rgb="FF000000"/>
        <rFont val="华文细黑"/>
        <family val="3"/>
        <charset val="134"/>
      </rPr>
      <t>（商业）</t>
    </r>
    <r>
      <rPr>
        <sz val="10.5"/>
        <color rgb="FF000000"/>
        <rFont val="Arial"/>
        <family val="2"/>
      </rPr>
      <t>111.06</t>
    </r>
    <r>
      <rPr>
        <sz val="10.5"/>
        <color rgb="FF000000"/>
        <rFont val="华文细黑"/>
        <family val="3"/>
        <charset val="134"/>
      </rPr>
      <t>㎡</t>
    </r>
  </si>
  <si>
    <r>
      <t>附属（办公）</t>
    </r>
    <r>
      <rPr>
        <sz val="10.5"/>
        <color rgb="FF000000"/>
        <rFont val="Arial"/>
        <family val="2"/>
      </rPr>
      <t>382.9</t>
    </r>
    <r>
      <rPr>
        <sz val="10.5"/>
        <color rgb="FF000000"/>
        <rFont val="华文细黑"/>
        <family val="3"/>
        <charset val="134"/>
      </rPr>
      <t>㎡</t>
    </r>
  </si>
  <si>
    <r>
      <t>负</t>
    </r>
    <r>
      <rPr>
        <sz val="10.5"/>
        <color rgb="FF000000"/>
        <rFont val="Arial"/>
        <family val="2"/>
      </rPr>
      <t>1</t>
    </r>
    <r>
      <rPr>
        <sz val="10.5"/>
        <color rgb="FF000000"/>
        <rFont val="华文细黑"/>
        <family val="3"/>
        <charset val="134"/>
      </rPr>
      <t>层</t>
    </r>
  </si>
  <si>
    <r>
      <t>1-10</t>
    </r>
    <r>
      <rPr>
        <sz val="10.5"/>
        <color rgb="FF000000"/>
        <rFont val="华文细黑"/>
        <family val="3"/>
        <charset val="134"/>
      </rPr>
      <t>（办公）</t>
    </r>
    <r>
      <rPr>
        <sz val="10.5"/>
        <color rgb="FF000000"/>
        <rFont val="Arial"/>
        <family val="2"/>
      </rPr>
      <t>3826.8</t>
    </r>
    <r>
      <rPr>
        <sz val="10.5"/>
        <color rgb="FF000000"/>
        <rFont val="华文细黑"/>
        <family val="3"/>
        <charset val="134"/>
      </rPr>
      <t>㎡</t>
    </r>
  </si>
  <si>
    <r>
      <t>1-11</t>
    </r>
    <r>
      <rPr>
        <sz val="10.5"/>
        <color rgb="FF000000"/>
        <rFont val="华文细黑"/>
        <family val="3"/>
        <charset val="134"/>
      </rPr>
      <t>（商业、办公）</t>
    </r>
    <r>
      <rPr>
        <sz val="10.5"/>
        <color rgb="FF000000"/>
        <rFont val="Arial"/>
        <family val="2"/>
      </rPr>
      <t>185.77</t>
    </r>
    <r>
      <rPr>
        <sz val="10.5"/>
        <color rgb="FF000000"/>
        <rFont val="华文细黑"/>
        <family val="3"/>
        <charset val="134"/>
      </rPr>
      <t>㎡</t>
    </r>
  </si>
  <si>
    <r>
      <t>1-12</t>
    </r>
    <r>
      <rPr>
        <sz val="10.5"/>
        <color rgb="FF000000"/>
        <rFont val="华文细黑"/>
        <family val="3"/>
        <charset val="134"/>
      </rPr>
      <t>（商业、办公）</t>
    </r>
    <r>
      <rPr>
        <sz val="10.5"/>
        <color rgb="FF000000"/>
        <rFont val="Arial"/>
        <family val="2"/>
      </rPr>
      <t>305.78</t>
    </r>
    <r>
      <rPr>
        <sz val="10.5"/>
        <color rgb="FF000000"/>
        <rFont val="华文细黑"/>
        <family val="3"/>
        <charset val="134"/>
      </rPr>
      <t>㎡</t>
    </r>
  </si>
  <si>
    <r>
      <t>负</t>
    </r>
    <r>
      <rPr>
        <sz val="10.5"/>
        <color rgb="FF000000"/>
        <rFont val="Arial"/>
        <family val="2"/>
      </rPr>
      <t>2</t>
    </r>
    <r>
      <rPr>
        <sz val="10.5"/>
        <color rgb="FF000000"/>
        <rFont val="华文细黑"/>
        <family val="3"/>
        <charset val="134"/>
      </rPr>
      <t>层</t>
    </r>
  </si>
  <si>
    <r>
      <t>1-13</t>
    </r>
    <r>
      <rPr>
        <sz val="10.5"/>
        <color rgb="FF000000"/>
        <rFont val="华文细黑"/>
        <family val="3"/>
        <charset val="134"/>
      </rPr>
      <t>（办公）</t>
    </r>
    <r>
      <rPr>
        <sz val="10.5"/>
        <color rgb="FF000000"/>
        <rFont val="Arial"/>
        <family val="2"/>
      </rPr>
      <t>6104.32</t>
    </r>
    <r>
      <rPr>
        <sz val="10.5"/>
        <color rgb="FF000000"/>
        <rFont val="华文细黑"/>
        <family val="3"/>
        <charset val="134"/>
      </rPr>
      <t>㎡</t>
    </r>
  </si>
  <si>
    <r>
      <t>负</t>
    </r>
    <r>
      <rPr>
        <sz val="10.5"/>
        <color rgb="FF000000"/>
        <rFont val="Arial"/>
        <family val="2"/>
      </rPr>
      <t>3</t>
    </r>
    <r>
      <rPr>
        <sz val="10.5"/>
        <color rgb="FF000000"/>
        <rFont val="华文细黑"/>
        <family val="3"/>
        <charset val="134"/>
      </rPr>
      <t>层</t>
    </r>
  </si>
  <si>
    <r>
      <t>1-14</t>
    </r>
    <r>
      <rPr>
        <sz val="10.5"/>
        <color rgb="FF000000"/>
        <rFont val="华文细黑"/>
        <family val="3"/>
        <charset val="134"/>
      </rPr>
      <t>（商业、办公）</t>
    </r>
    <r>
      <rPr>
        <sz val="10.5"/>
        <color rgb="FF000000"/>
        <rFont val="Arial"/>
        <family val="2"/>
      </rPr>
      <t>4953.27</t>
    </r>
    <r>
      <rPr>
        <sz val="10.5"/>
        <color rgb="FF000000"/>
        <rFont val="华文细黑"/>
        <family val="3"/>
        <charset val="134"/>
      </rPr>
      <t>㎡</t>
    </r>
  </si>
  <si>
    <t>京（2016）东城区不动产权第0021202号</t>
  </si>
  <si>
    <t xml:space="preserve">办公2052-07-18
商业2042-07-18
</t>
  </si>
  <si>
    <t>京（2017）东城区不动产权第0019067号</t>
  </si>
  <si>
    <t>京（2016）东城区不动产权第0021206号</t>
  </si>
  <si>
    <t xml:space="preserve">办公2056-02-16
车库2056-02-16
商业2046-02-16
</t>
  </si>
  <si>
    <t>商业、办公</t>
  </si>
  <si>
    <t>办公2056-02-16
车库2056-02-16
商业2046-02-16</t>
  </si>
  <si>
    <t>1层1-1</t>
  </si>
  <si>
    <t>1层008</t>
  </si>
  <si>
    <t>1层附属房</t>
  </si>
  <si>
    <t>2层1-2</t>
  </si>
  <si>
    <t>2层1-3</t>
  </si>
  <si>
    <t>3至4层1-4</t>
  </si>
  <si>
    <t>5层1-5</t>
  </si>
  <si>
    <t>5层1-6</t>
  </si>
  <si>
    <t>6层1-7</t>
  </si>
  <si>
    <t>7层1-8</t>
  </si>
  <si>
    <t>8至9层1-9</t>
  </si>
  <si>
    <t>负1层1-10</t>
  </si>
  <si>
    <t>负1层1-11</t>
  </si>
  <si>
    <t>负1层1-12</t>
  </si>
  <si>
    <t>负2层1-13</t>
  </si>
  <si>
    <t>负3层1-14</t>
  </si>
  <si>
    <t>不动产权证号</t>
    <phoneticPr fontId="141" type="noConversion"/>
  </si>
  <si>
    <t>土地终止日期</t>
    <phoneticPr fontId="141" type="noConversion"/>
  </si>
  <si>
    <t>登记用途</t>
    <phoneticPr fontId="141" type="noConversion"/>
  </si>
  <si>
    <t>楼层编号</t>
    <phoneticPr fontId="141" type="noConversion"/>
  </si>
  <si>
    <t>面积</t>
    <phoneticPr fontId="141" type="noConversion"/>
  </si>
  <si>
    <t xml:space="preserve">办公2052-07-18
商业2042-07-18
</t>
    <phoneticPr fontId="141" type="noConversion"/>
  </si>
  <si>
    <t>商业2042-07-18</t>
    <phoneticPr fontId="141" type="noConversion"/>
  </si>
  <si>
    <t>设定用途</t>
    <phoneticPr fontId="141" type="noConversion"/>
  </si>
  <si>
    <t>商业</t>
    <phoneticPr fontId="141" type="noConversion"/>
  </si>
  <si>
    <t>办公</t>
    <phoneticPr fontId="141" type="noConversion"/>
  </si>
  <si>
    <t>车库</t>
    <phoneticPr fontId="141" type="noConversion"/>
  </si>
  <si>
    <r>
      <t>2</t>
    </r>
    <r>
      <rPr>
        <sz val="11"/>
        <color theme="1"/>
        <rFont val="宋体"/>
        <family val="3"/>
        <charset val="134"/>
        <scheme val="minor"/>
      </rPr>
      <t>016Q1</t>
    </r>
    <phoneticPr fontId="141" type="noConversion"/>
  </si>
  <si>
    <r>
      <t>2</t>
    </r>
    <r>
      <rPr>
        <sz val="11"/>
        <color theme="1"/>
        <rFont val="宋体"/>
        <family val="3"/>
        <charset val="134"/>
        <scheme val="minor"/>
      </rPr>
      <t>016Q2</t>
    </r>
    <r>
      <rPr>
        <sz val="11"/>
        <color theme="1"/>
        <rFont val="宋体"/>
        <family val="2"/>
        <scheme val="minor"/>
      </rPr>
      <t/>
    </r>
  </si>
  <si>
    <r>
      <t>2</t>
    </r>
    <r>
      <rPr>
        <sz val="11"/>
        <color theme="1"/>
        <rFont val="宋体"/>
        <family val="3"/>
        <charset val="134"/>
        <scheme val="minor"/>
      </rPr>
      <t>016Q3</t>
    </r>
    <r>
      <rPr>
        <sz val="11"/>
        <color theme="1"/>
        <rFont val="宋体"/>
        <family val="2"/>
        <scheme val="minor"/>
      </rPr>
      <t/>
    </r>
  </si>
  <si>
    <r>
      <t>2</t>
    </r>
    <r>
      <rPr>
        <sz val="11"/>
        <color theme="1"/>
        <rFont val="宋体"/>
        <family val="3"/>
        <charset val="134"/>
        <scheme val="minor"/>
      </rPr>
      <t>016Q4</t>
    </r>
    <r>
      <rPr>
        <sz val="11"/>
        <color theme="1"/>
        <rFont val="宋体"/>
        <family val="2"/>
        <scheme val="minor"/>
      </rPr>
      <t/>
    </r>
  </si>
  <si>
    <r>
      <t>2</t>
    </r>
    <r>
      <rPr>
        <sz val="11"/>
        <color theme="1"/>
        <rFont val="宋体"/>
        <family val="3"/>
        <charset val="134"/>
        <scheme val="minor"/>
      </rPr>
      <t>017Q1</t>
    </r>
    <phoneticPr fontId="141" type="noConversion"/>
  </si>
  <si>
    <r>
      <t>2</t>
    </r>
    <r>
      <rPr>
        <sz val="11"/>
        <color theme="1"/>
        <rFont val="宋体"/>
        <family val="3"/>
        <charset val="134"/>
        <scheme val="minor"/>
      </rPr>
      <t>017Q2</t>
    </r>
    <r>
      <rPr>
        <sz val="11"/>
        <color theme="1"/>
        <rFont val="宋体"/>
        <family val="2"/>
        <scheme val="minor"/>
      </rPr>
      <t/>
    </r>
  </si>
  <si>
    <r>
      <t>2</t>
    </r>
    <r>
      <rPr>
        <sz val="11"/>
        <color theme="1"/>
        <rFont val="宋体"/>
        <family val="3"/>
        <charset val="134"/>
        <scheme val="minor"/>
      </rPr>
      <t>017Q3</t>
    </r>
    <r>
      <rPr>
        <sz val="11"/>
        <color theme="1"/>
        <rFont val="宋体"/>
        <family val="2"/>
        <scheme val="minor"/>
      </rPr>
      <t/>
    </r>
  </si>
  <si>
    <r>
      <t>2</t>
    </r>
    <r>
      <rPr>
        <sz val="11"/>
        <color theme="1"/>
        <rFont val="宋体"/>
        <family val="3"/>
        <charset val="134"/>
        <scheme val="minor"/>
      </rPr>
      <t>017Q4</t>
    </r>
    <r>
      <rPr>
        <sz val="11"/>
        <color theme="1"/>
        <rFont val="宋体"/>
        <family val="2"/>
        <scheme val="minor"/>
      </rPr>
      <t/>
    </r>
  </si>
  <si>
    <r>
      <t>2</t>
    </r>
    <r>
      <rPr>
        <sz val="11"/>
        <color theme="1"/>
        <rFont val="宋体"/>
        <family val="3"/>
        <charset val="134"/>
        <scheme val="minor"/>
      </rPr>
      <t>018Q1</t>
    </r>
    <phoneticPr fontId="141" type="noConversion"/>
  </si>
  <si>
    <r>
      <t>2</t>
    </r>
    <r>
      <rPr>
        <sz val="11"/>
        <color theme="1"/>
        <rFont val="宋体"/>
        <family val="3"/>
        <charset val="134"/>
        <scheme val="minor"/>
      </rPr>
      <t>018Q2</t>
    </r>
    <r>
      <rPr>
        <sz val="11"/>
        <color theme="1"/>
        <rFont val="宋体"/>
        <family val="2"/>
        <scheme val="minor"/>
      </rPr>
      <t/>
    </r>
  </si>
  <si>
    <r>
      <t>2</t>
    </r>
    <r>
      <rPr>
        <sz val="11"/>
        <color theme="1"/>
        <rFont val="宋体"/>
        <family val="3"/>
        <charset val="134"/>
        <scheme val="minor"/>
      </rPr>
      <t>018Q3</t>
    </r>
    <r>
      <rPr>
        <sz val="11"/>
        <color theme="1"/>
        <rFont val="宋体"/>
        <family val="2"/>
        <scheme val="minor"/>
      </rPr>
      <t/>
    </r>
  </si>
  <si>
    <r>
      <t>2</t>
    </r>
    <r>
      <rPr>
        <sz val="11"/>
        <color theme="1"/>
        <rFont val="宋体"/>
        <family val="3"/>
        <charset val="134"/>
        <scheme val="minor"/>
      </rPr>
      <t>018Q4</t>
    </r>
    <r>
      <rPr>
        <sz val="11"/>
        <color theme="1"/>
        <rFont val="宋体"/>
        <family val="2"/>
        <scheme val="minor"/>
      </rPr>
      <t/>
    </r>
  </si>
  <si>
    <r>
      <t>2</t>
    </r>
    <r>
      <rPr>
        <sz val="11"/>
        <color theme="1"/>
        <rFont val="宋体"/>
        <family val="3"/>
        <charset val="134"/>
        <scheme val="minor"/>
      </rPr>
      <t>019Q1</t>
    </r>
    <phoneticPr fontId="141" type="noConversion"/>
  </si>
  <si>
    <r>
      <t>2</t>
    </r>
    <r>
      <rPr>
        <sz val="11"/>
        <color theme="1"/>
        <rFont val="宋体"/>
        <family val="3"/>
        <charset val="134"/>
        <scheme val="minor"/>
      </rPr>
      <t>019Q2</t>
    </r>
    <r>
      <rPr>
        <sz val="11"/>
        <color theme="1"/>
        <rFont val="宋体"/>
        <family val="2"/>
        <scheme val="minor"/>
      </rPr>
      <t/>
    </r>
  </si>
  <si>
    <r>
      <t>2</t>
    </r>
    <r>
      <rPr>
        <sz val="11"/>
        <color theme="1"/>
        <rFont val="宋体"/>
        <family val="3"/>
        <charset val="134"/>
        <scheme val="minor"/>
      </rPr>
      <t>019Q3</t>
    </r>
    <r>
      <rPr>
        <sz val="11"/>
        <color theme="1"/>
        <rFont val="宋体"/>
        <family val="2"/>
        <scheme val="minor"/>
      </rPr>
      <t/>
    </r>
  </si>
  <si>
    <r>
      <t>2</t>
    </r>
    <r>
      <rPr>
        <sz val="11"/>
        <color theme="1"/>
        <rFont val="宋体"/>
        <family val="3"/>
        <charset val="134"/>
        <scheme val="minor"/>
      </rPr>
      <t>019Q4</t>
    </r>
    <r>
      <rPr>
        <sz val="11"/>
        <color theme="1"/>
        <rFont val="宋体"/>
        <family val="2"/>
        <scheme val="minor"/>
      </rPr>
      <t/>
    </r>
  </si>
  <si>
    <r>
      <t>2</t>
    </r>
    <r>
      <rPr>
        <sz val="11"/>
        <color theme="1"/>
        <rFont val="宋体"/>
        <family val="3"/>
        <charset val="134"/>
        <scheme val="minor"/>
      </rPr>
      <t>021Q1</t>
    </r>
    <phoneticPr fontId="141" type="noConversion"/>
  </si>
  <si>
    <r>
      <t>2</t>
    </r>
    <r>
      <rPr>
        <sz val="11"/>
        <color theme="1"/>
        <rFont val="宋体"/>
        <family val="3"/>
        <charset val="134"/>
        <scheme val="minor"/>
      </rPr>
      <t>021Q2</t>
    </r>
    <r>
      <rPr>
        <sz val="11"/>
        <color theme="1"/>
        <rFont val="宋体"/>
        <family val="2"/>
        <scheme val="minor"/>
      </rPr>
      <t/>
    </r>
  </si>
  <si>
    <r>
      <t>2</t>
    </r>
    <r>
      <rPr>
        <sz val="11"/>
        <color theme="1"/>
        <rFont val="宋体"/>
        <family val="3"/>
        <charset val="134"/>
        <scheme val="minor"/>
      </rPr>
      <t>021Q3</t>
    </r>
    <r>
      <rPr>
        <sz val="11"/>
        <color theme="1"/>
        <rFont val="宋体"/>
        <family val="2"/>
        <scheme val="minor"/>
      </rPr>
      <t/>
    </r>
  </si>
  <si>
    <r>
      <t>2</t>
    </r>
    <r>
      <rPr>
        <sz val="11"/>
        <color theme="1"/>
        <rFont val="宋体"/>
        <family val="3"/>
        <charset val="134"/>
        <scheme val="minor"/>
      </rPr>
      <t>021Q4</t>
    </r>
    <r>
      <rPr>
        <sz val="11"/>
        <color theme="1"/>
        <rFont val="宋体"/>
        <family val="2"/>
        <scheme val="minor"/>
      </rPr>
      <t/>
    </r>
  </si>
  <si>
    <t>——</t>
    <phoneticPr fontId="141" type="noConversion"/>
  </si>
  <si>
    <t>4</t>
    <phoneticPr fontId="141" type="noConversion"/>
  </si>
  <si>
    <t>2016.6.1-2024.8.31</t>
    <phoneticPr fontId="141" type="noConversion"/>
  </si>
  <si>
    <r>
      <t>2</t>
    </r>
    <r>
      <rPr>
        <sz val="11"/>
        <color theme="1"/>
        <rFont val="宋体"/>
        <family val="3"/>
        <charset val="134"/>
        <scheme val="minor"/>
      </rPr>
      <t>016.4.28-2021.7.27</t>
    </r>
    <phoneticPr fontId="141" type="noConversion"/>
  </si>
  <si>
    <r>
      <t>2</t>
    </r>
    <r>
      <rPr>
        <sz val="11"/>
        <color theme="1"/>
        <rFont val="宋体"/>
        <family val="3"/>
        <charset val="134"/>
        <scheme val="minor"/>
      </rPr>
      <t>016.6.1-2024.8.31</t>
    </r>
    <phoneticPr fontId="141" type="noConversion"/>
  </si>
  <si>
    <r>
      <t>2</t>
    </r>
    <r>
      <rPr>
        <sz val="11"/>
        <color theme="1"/>
        <rFont val="宋体"/>
        <family val="3"/>
        <charset val="134"/>
        <scheme val="minor"/>
      </rPr>
      <t>016.12.31-2021.12.30</t>
    </r>
    <phoneticPr fontId="141" type="noConversion"/>
  </si>
  <si>
    <r>
      <t>2</t>
    </r>
    <r>
      <rPr>
        <sz val="11"/>
        <color theme="1"/>
        <rFont val="宋体"/>
        <family val="3"/>
        <charset val="134"/>
        <scheme val="minor"/>
      </rPr>
      <t>017.3.16-2022.5.15</t>
    </r>
    <phoneticPr fontId="141" type="noConversion"/>
  </si>
  <si>
    <r>
      <t>2</t>
    </r>
    <r>
      <rPr>
        <sz val="11"/>
        <color theme="1"/>
        <rFont val="宋体"/>
        <family val="3"/>
        <charset val="134"/>
        <scheme val="minor"/>
      </rPr>
      <t>017.9.1-2021.8.31</t>
    </r>
    <phoneticPr fontId="141" type="noConversion"/>
  </si>
  <si>
    <t>2018.10.1-2026.9.30</t>
    <phoneticPr fontId="141" type="noConversion"/>
  </si>
  <si>
    <r>
      <t>2</t>
    </r>
    <r>
      <rPr>
        <sz val="11"/>
        <color theme="1"/>
        <rFont val="宋体"/>
        <family val="3"/>
        <charset val="134"/>
        <scheme val="minor"/>
      </rPr>
      <t>019.5.4-2021.7.3</t>
    </r>
    <phoneticPr fontId="141" type="noConversion"/>
  </si>
  <si>
    <r>
      <t>2</t>
    </r>
    <r>
      <rPr>
        <sz val="11"/>
        <color theme="1"/>
        <rFont val="宋体"/>
        <family val="3"/>
        <charset val="134"/>
        <scheme val="minor"/>
      </rPr>
      <t>019.5.15-2021.5.14</t>
    </r>
    <phoneticPr fontId="141" type="noConversion"/>
  </si>
  <si>
    <r>
      <t>2</t>
    </r>
    <r>
      <rPr>
        <sz val="11"/>
        <color theme="1"/>
        <rFont val="宋体"/>
        <family val="3"/>
        <charset val="134"/>
        <scheme val="minor"/>
      </rPr>
      <t>019.7.1-2021.6.30</t>
    </r>
    <phoneticPr fontId="141" type="noConversion"/>
  </si>
  <si>
    <t>2019.8.20-2021.8.19</t>
    <phoneticPr fontId="141" type="noConversion"/>
  </si>
  <si>
    <t>2019.11.15-2021.11.14</t>
    <phoneticPr fontId="141" type="noConversion"/>
  </si>
  <si>
    <r>
      <t>2</t>
    </r>
    <r>
      <rPr>
        <sz val="11"/>
        <color theme="1"/>
        <rFont val="宋体"/>
        <family val="3"/>
        <charset val="134"/>
        <scheme val="minor"/>
      </rPr>
      <t>018.12.1-2023.11.30</t>
    </r>
    <phoneticPr fontId="141" type="noConversion"/>
  </si>
  <si>
    <r>
      <t>2</t>
    </r>
    <r>
      <rPr>
        <sz val="11"/>
        <color theme="1"/>
        <rFont val="宋体"/>
        <family val="3"/>
        <charset val="134"/>
        <scheme val="minor"/>
      </rPr>
      <t>018.12.1</t>
    </r>
    <phoneticPr fontId="141" type="noConversion"/>
  </si>
  <si>
    <t>1</t>
    <phoneticPr fontId="141" type="noConversion"/>
  </si>
  <si>
    <r>
      <t>前门大街1</t>
    </r>
    <r>
      <rPr>
        <sz val="11"/>
        <color theme="1"/>
        <rFont val="宋体"/>
        <family val="3"/>
        <charset val="134"/>
        <scheme val="minor"/>
      </rPr>
      <t>4号</t>
    </r>
    <phoneticPr fontId="141" type="noConversion"/>
  </si>
  <si>
    <t>辑粹苑</t>
    <phoneticPr fontId="141" type="noConversion"/>
  </si>
  <si>
    <r>
      <t>2</t>
    </r>
    <r>
      <rPr>
        <sz val="11"/>
        <color theme="1"/>
        <rFont val="宋体"/>
        <family val="3"/>
        <charset val="134"/>
        <scheme val="minor"/>
      </rPr>
      <t>013.7.19</t>
    </r>
    <phoneticPr fontId="141" type="noConversion"/>
  </si>
  <si>
    <t>杜莎夫人</t>
    <phoneticPr fontId="141" type="noConversion"/>
  </si>
  <si>
    <t>古仁堂</t>
    <phoneticPr fontId="141" type="noConversion"/>
  </si>
  <si>
    <t>庆丰包子</t>
    <phoneticPr fontId="141" type="noConversion"/>
  </si>
  <si>
    <t>广誉远</t>
    <phoneticPr fontId="141" type="noConversion"/>
  </si>
  <si>
    <r>
      <t>2</t>
    </r>
    <r>
      <rPr>
        <sz val="11"/>
        <color theme="1"/>
        <rFont val="宋体"/>
        <family val="3"/>
        <charset val="134"/>
        <scheme val="minor"/>
      </rPr>
      <t>013.3.1-2028.2.28</t>
    </r>
    <phoneticPr fontId="141" type="noConversion"/>
  </si>
  <si>
    <t>东方华韵</t>
    <phoneticPr fontId="141" type="noConversion"/>
  </si>
  <si>
    <r>
      <t>前门大街6</t>
    </r>
    <r>
      <rPr>
        <sz val="11"/>
        <color theme="1"/>
        <rFont val="宋体"/>
        <family val="3"/>
        <charset val="134"/>
        <scheme val="minor"/>
      </rPr>
      <t>6、68、70号</t>
    </r>
    <phoneticPr fontId="141" type="noConversion"/>
  </si>
  <si>
    <t>前门大街4号</t>
    <phoneticPr fontId="141" type="noConversion"/>
  </si>
  <si>
    <t>前门大街4、6、8、10、12、14、16、18号</t>
    <phoneticPr fontId="141" type="noConversion"/>
  </si>
  <si>
    <t>风雅江湖</t>
    <phoneticPr fontId="141" type="noConversion"/>
  </si>
  <si>
    <r>
      <t>前门大街9</t>
    </r>
    <r>
      <rPr>
        <sz val="11"/>
        <color theme="1"/>
        <rFont val="宋体"/>
        <family val="3"/>
        <charset val="134"/>
        <scheme val="minor"/>
      </rPr>
      <t>1号</t>
    </r>
    <phoneticPr fontId="141" type="noConversion"/>
  </si>
  <si>
    <t>前门大街2号</t>
    <phoneticPr fontId="141" type="noConversion"/>
  </si>
  <si>
    <t>百益千家</t>
    <phoneticPr fontId="141" type="noConversion"/>
  </si>
  <si>
    <r>
      <t>前门大街1</t>
    </r>
    <r>
      <rPr>
        <sz val="11"/>
        <color theme="1"/>
        <rFont val="宋体"/>
        <family val="3"/>
        <charset val="134"/>
        <scheme val="minor"/>
      </rPr>
      <t>7号</t>
    </r>
    <phoneticPr fontId="141" type="noConversion"/>
  </si>
  <si>
    <t>前门大街A10、59号</t>
    <phoneticPr fontId="141" type="noConversion"/>
  </si>
  <si>
    <t>古阿新</t>
    <phoneticPr fontId="141" type="noConversion"/>
  </si>
  <si>
    <r>
      <t>前门大街A</t>
    </r>
    <r>
      <rPr>
        <sz val="11"/>
        <color theme="1"/>
        <rFont val="宋体"/>
        <family val="3"/>
        <charset val="134"/>
        <scheme val="minor"/>
      </rPr>
      <t>3</t>
    </r>
    <phoneticPr fontId="141" type="noConversion"/>
  </si>
  <si>
    <t>淘汇名创</t>
    <phoneticPr fontId="141" type="noConversion"/>
  </si>
  <si>
    <t>宝隆驭德</t>
    <phoneticPr fontId="141" type="noConversion"/>
  </si>
  <si>
    <r>
      <t>前门大街A</t>
    </r>
    <r>
      <rPr>
        <sz val="11"/>
        <color theme="1"/>
        <rFont val="宋体"/>
        <family val="3"/>
        <charset val="134"/>
        <scheme val="minor"/>
      </rPr>
      <t>5幢</t>
    </r>
    <phoneticPr fontId="141" type="noConversion"/>
  </si>
  <si>
    <t>C22</t>
    <phoneticPr fontId="141" type="noConversion"/>
  </si>
  <si>
    <t>C19</t>
    <phoneticPr fontId="141" type="noConversion"/>
  </si>
  <si>
    <t>D1</t>
    <phoneticPr fontId="141" type="noConversion"/>
  </si>
  <si>
    <t>D2</t>
    <phoneticPr fontId="141" type="noConversion"/>
  </si>
  <si>
    <r>
      <t>2</t>
    </r>
    <r>
      <rPr>
        <sz val="11"/>
        <color theme="1"/>
        <rFont val="宋体"/>
        <family val="3"/>
        <charset val="134"/>
        <scheme val="minor"/>
      </rPr>
      <t>020.8.1</t>
    </r>
    <phoneticPr fontId="141" type="noConversion"/>
  </si>
  <si>
    <t>A15</t>
    <phoneticPr fontId="141" type="noConversion"/>
  </si>
  <si>
    <r>
      <t>2</t>
    </r>
    <r>
      <rPr>
        <sz val="11"/>
        <color theme="1"/>
        <rFont val="宋体"/>
        <family val="3"/>
        <charset val="134"/>
        <scheme val="minor"/>
      </rPr>
      <t>020.8.1-2023.7.31</t>
    </r>
    <phoneticPr fontId="141" type="noConversion"/>
  </si>
  <si>
    <r>
      <t>1</t>
    </r>
    <r>
      <rPr>
        <sz val="11"/>
        <color theme="1"/>
        <rFont val="宋体"/>
        <family val="3"/>
        <charset val="134"/>
        <scheme val="minor"/>
      </rPr>
      <t>800</t>
    </r>
    <phoneticPr fontId="141" type="noConversion"/>
  </si>
  <si>
    <r>
      <t>1</t>
    </r>
    <r>
      <rPr>
        <sz val="11"/>
        <color theme="1"/>
        <rFont val="宋体"/>
        <family val="3"/>
        <charset val="134"/>
        <scheme val="minor"/>
      </rPr>
      <t>900</t>
    </r>
    <phoneticPr fontId="141" type="noConversion"/>
  </si>
  <si>
    <r>
      <t>1</t>
    </r>
    <r>
      <rPr>
        <sz val="11"/>
        <color theme="1"/>
        <rFont val="宋体"/>
        <family val="3"/>
        <charset val="134"/>
        <scheme val="minor"/>
      </rPr>
      <t>849</t>
    </r>
    <phoneticPr fontId="141" type="noConversion"/>
  </si>
  <si>
    <t>市值</t>
    <phoneticPr fontId="141" type="noConversion"/>
  </si>
  <si>
    <t>还原率</t>
    <phoneticPr fontId="141" type="noConversion"/>
  </si>
  <si>
    <t>A1、2</t>
    <phoneticPr fontId="141" type="noConversion"/>
  </si>
  <si>
    <t>B1、2</t>
    <phoneticPr fontId="141" type="noConversion"/>
  </si>
  <si>
    <t>1849</t>
    <phoneticPr fontId="141" type="noConversion"/>
  </si>
  <si>
    <t>前门大街</t>
    <phoneticPr fontId="141" type="noConversion"/>
  </si>
  <si>
    <t>五矿广场</t>
    <phoneticPr fontId="141" type="noConversion"/>
  </si>
  <si>
    <r>
      <t>2</t>
    </r>
    <r>
      <rPr>
        <sz val="11"/>
        <color theme="1"/>
        <rFont val="宋体"/>
        <family val="3"/>
        <charset val="134"/>
        <scheme val="minor"/>
      </rPr>
      <t>013.4.1</t>
    </r>
    <phoneticPr fontId="141" type="noConversion"/>
  </si>
  <si>
    <t>商业</t>
    <phoneticPr fontId="141" type="noConversion"/>
  </si>
  <si>
    <r>
      <t>2</t>
    </r>
    <r>
      <rPr>
        <sz val="11"/>
        <color theme="1"/>
        <rFont val="宋体"/>
        <family val="3"/>
        <charset val="134"/>
        <scheme val="minor"/>
      </rPr>
      <t>013.4.1-2023.3.31</t>
    </r>
    <phoneticPr fontId="141" type="noConversion"/>
  </si>
  <si>
    <t>渤海银行</t>
    <phoneticPr fontId="141" type="noConversion"/>
  </si>
  <si>
    <t>2014.7.1</t>
    <phoneticPr fontId="141" type="noConversion"/>
  </si>
  <si>
    <r>
      <t>-</t>
    </r>
    <r>
      <rPr>
        <sz val="11"/>
        <color theme="1"/>
        <rFont val="宋体"/>
        <family val="3"/>
        <charset val="134"/>
        <scheme val="minor"/>
      </rPr>
      <t>1</t>
    </r>
    <phoneticPr fontId="141" type="noConversion"/>
  </si>
  <si>
    <r>
      <t>2</t>
    </r>
    <r>
      <rPr>
        <sz val="11"/>
        <color theme="1"/>
        <rFont val="宋体"/>
        <family val="3"/>
        <charset val="134"/>
        <scheme val="minor"/>
      </rPr>
      <t>014.7.10-2021.7.9</t>
    </r>
    <phoneticPr fontId="141" type="noConversion"/>
  </si>
  <si>
    <r>
      <t>朝阳门S</t>
    </r>
    <r>
      <rPr>
        <sz val="11"/>
        <color theme="1"/>
        <rFont val="宋体"/>
        <family val="3"/>
        <charset val="134"/>
        <scheme val="minor"/>
      </rPr>
      <t>OHO、大卫体育</t>
    </r>
    <phoneticPr fontId="141" type="noConversion"/>
  </si>
  <si>
    <r>
      <t>朝阳门S</t>
    </r>
    <r>
      <rPr>
        <sz val="11"/>
        <color theme="1"/>
        <rFont val="宋体"/>
        <family val="3"/>
        <charset val="134"/>
        <scheme val="minor"/>
      </rPr>
      <t>OHO</t>
    </r>
    <phoneticPr fontId="141" type="noConversion"/>
  </si>
  <si>
    <r>
      <t>2</t>
    </r>
    <r>
      <rPr>
        <sz val="11"/>
        <color theme="1"/>
        <rFont val="宋体"/>
        <family val="3"/>
        <charset val="134"/>
        <scheme val="minor"/>
      </rPr>
      <t>016.8.26</t>
    </r>
    <phoneticPr fontId="141" type="noConversion"/>
  </si>
  <si>
    <r>
      <t>2</t>
    </r>
    <r>
      <rPr>
        <sz val="11"/>
        <color theme="1"/>
        <rFont val="宋体"/>
        <family val="3"/>
        <charset val="134"/>
        <scheme val="minor"/>
      </rPr>
      <t>016.8.26-2019.8.25</t>
    </r>
    <phoneticPr fontId="141" type="noConversion"/>
  </si>
  <si>
    <r>
      <t>2</t>
    </r>
    <r>
      <rPr>
        <sz val="11"/>
        <color theme="1"/>
        <rFont val="宋体"/>
        <family val="3"/>
        <charset val="134"/>
        <scheme val="minor"/>
      </rPr>
      <t>016.10.17</t>
    </r>
    <phoneticPr fontId="141" type="noConversion"/>
  </si>
  <si>
    <r>
      <t>2</t>
    </r>
    <r>
      <rPr>
        <sz val="11"/>
        <color theme="1"/>
        <rFont val="宋体"/>
        <family val="3"/>
        <charset val="134"/>
        <scheme val="minor"/>
      </rPr>
      <t>016.10.17-2019.10.16</t>
    </r>
    <phoneticPr fontId="141" type="noConversion"/>
  </si>
  <si>
    <r>
      <t>2</t>
    </r>
    <r>
      <rPr>
        <sz val="11"/>
        <color theme="1"/>
        <rFont val="宋体"/>
        <family val="3"/>
        <charset val="134"/>
        <scheme val="minor"/>
      </rPr>
      <t>017.6.28-1层商业</t>
    </r>
    <phoneticPr fontId="141" type="noConversion"/>
  </si>
  <si>
    <t>A5</t>
    <phoneticPr fontId="141" type="noConversion"/>
  </si>
  <si>
    <r>
      <t>2</t>
    </r>
    <r>
      <rPr>
        <sz val="11"/>
        <color theme="1"/>
        <rFont val="宋体"/>
        <family val="3"/>
        <charset val="134"/>
        <scheme val="minor"/>
      </rPr>
      <t>018.10.1</t>
    </r>
    <phoneticPr fontId="141" type="noConversion"/>
  </si>
  <si>
    <t>1</t>
    <phoneticPr fontId="141" type="noConversion"/>
  </si>
  <si>
    <t>商业</t>
    <phoneticPr fontId="141" type="noConversion"/>
  </si>
  <si>
    <r>
      <t>2</t>
    </r>
    <r>
      <rPr>
        <sz val="11"/>
        <color theme="1"/>
        <rFont val="宋体"/>
        <family val="3"/>
        <charset val="134"/>
        <scheme val="minor"/>
      </rPr>
      <t>017.10.1-2021.9.30</t>
    </r>
    <phoneticPr fontId="141" type="noConversion"/>
  </si>
  <si>
    <r>
      <t>2</t>
    </r>
    <r>
      <rPr>
        <sz val="11"/>
        <color theme="1"/>
        <rFont val="宋体"/>
        <family val="3"/>
        <charset val="134"/>
        <scheme val="minor"/>
      </rPr>
      <t>018.2.1</t>
    </r>
    <phoneticPr fontId="141" type="noConversion"/>
  </si>
  <si>
    <t>兴业银行</t>
    <phoneticPr fontId="141" type="noConversion"/>
  </si>
  <si>
    <t>咖啡</t>
    <phoneticPr fontId="141" type="noConversion"/>
  </si>
  <si>
    <r>
      <t>2</t>
    </r>
    <r>
      <rPr>
        <sz val="11"/>
        <color theme="1"/>
        <rFont val="宋体"/>
        <family val="3"/>
        <charset val="134"/>
        <scheme val="minor"/>
      </rPr>
      <t>015.8.17</t>
    </r>
    <phoneticPr fontId="141" type="noConversion"/>
  </si>
  <si>
    <r>
      <t>2</t>
    </r>
    <r>
      <rPr>
        <sz val="11"/>
        <color theme="1"/>
        <rFont val="宋体"/>
        <family val="3"/>
        <charset val="134"/>
        <scheme val="minor"/>
      </rPr>
      <t>015.8.17-2018.8.16</t>
    </r>
    <phoneticPr fontId="141" type="noConversion"/>
  </si>
  <si>
    <t>2017.6.28一层商业</t>
    <phoneticPr fontId="141" type="noConversion"/>
  </si>
  <si>
    <t>民生银行</t>
    <phoneticPr fontId="141" type="noConversion"/>
  </si>
  <si>
    <t>渤海银行</t>
    <phoneticPr fontId="141" type="noConversion"/>
  </si>
  <si>
    <t>车位</t>
    <phoneticPr fontId="141" type="noConversion"/>
  </si>
  <si>
    <t>民生金融</t>
    <phoneticPr fontId="141" type="noConversion"/>
  </si>
  <si>
    <t>车库</t>
    <phoneticPr fontId="141" type="noConversion"/>
  </si>
  <si>
    <t>2020Q1</t>
    <phoneticPr fontId="141" type="noConversion"/>
  </si>
  <si>
    <t>2020Q2</t>
  </si>
  <si>
    <t>2020Q3</t>
  </si>
  <si>
    <t>2020Q4</t>
  </si>
  <si>
    <t>50123、50127</t>
    <phoneticPr fontId="141" type="noConversion"/>
  </si>
  <si>
    <t>加建201</t>
    <phoneticPr fontId="141" type="noConversion"/>
  </si>
  <si>
    <t>加建301</t>
    <phoneticPr fontId="141" type="noConversion"/>
  </si>
  <si>
    <t>加建401</t>
    <phoneticPr fontId="141" type="noConversion"/>
  </si>
  <si>
    <t>加建101</t>
    <phoneticPr fontId="141" type="noConversion"/>
  </si>
  <si>
    <t>一期A111</t>
    <phoneticPr fontId="141" type="noConversion"/>
  </si>
  <si>
    <t>二期B127</t>
    <phoneticPr fontId="141" type="noConversion"/>
  </si>
  <si>
    <t>一期A120</t>
    <phoneticPr fontId="141" type="noConversion"/>
  </si>
  <si>
    <t>一期A110</t>
    <phoneticPr fontId="141" type="noConversion"/>
  </si>
  <si>
    <r>
      <t>一期A</t>
    </r>
    <r>
      <rPr>
        <sz val="11"/>
        <color theme="1"/>
        <rFont val="宋体"/>
        <family val="3"/>
        <charset val="134"/>
        <scheme val="minor"/>
      </rPr>
      <t>125</t>
    </r>
    <phoneticPr fontId="141" type="noConversion"/>
  </si>
  <si>
    <t>6-110</t>
    <phoneticPr fontId="141" type="noConversion"/>
  </si>
  <si>
    <t>A座11216</t>
    <phoneticPr fontId="141" type="noConversion"/>
  </si>
  <si>
    <t>B座20105</t>
    <phoneticPr fontId="141" type="noConversion"/>
  </si>
  <si>
    <t>B座20101</t>
    <phoneticPr fontId="141" type="noConversion"/>
  </si>
  <si>
    <t>D座50737</t>
    <phoneticPr fontId="141" type="noConversion"/>
  </si>
  <si>
    <t>一期A-105</t>
    <phoneticPr fontId="141" type="noConversion"/>
  </si>
  <si>
    <t>A座10709</t>
    <phoneticPr fontId="141" type="noConversion"/>
  </si>
  <si>
    <t>2020.8.1-2022.7.31</t>
    <phoneticPr fontId="141" type="noConversion"/>
  </si>
  <si>
    <r>
      <t>2</t>
    </r>
    <r>
      <rPr>
        <sz val="11"/>
        <color theme="1"/>
        <rFont val="宋体"/>
        <family val="3"/>
        <charset val="134"/>
        <scheme val="minor"/>
      </rPr>
      <t>020.8.1-2022.7.31</t>
    </r>
    <phoneticPr fontId="141" type="noConversion"/>
  </si>
  <si>
    <r>
      <t>2</t>
    </r>
    <r>
      <rPr>
        <sz val="11"/>
        <color theme="1"/>
        <rFont val="宋体"/>
        <family val="3"/>
        <charset val="134"/>
        <scheme val="minor"/>
      </rPr>
      <t>020.9.15-2024.9.14</t>
    </r>
    <phoneticPr fontId="141" type="noConversion"/>
  </si>
  <si>
    <r>
      <t>一期A</t>
    </r>
    <r>
      <rPr>
        <sz val="11"/>
        <color theme="1"/>
        <rFont val="宋体"/>
        <family val="3"/>
        <charset val="134"/>
        <scheme val="minor"/>
      </rPr>
      <t>-108</t>
    </r>
    <phoneticPr fontId="141" type="noConversion"/>
  </si>
  <si>
    <r>
      <rPr>
        <sz val="11"/>
        <color theme="1"/>
        <rFont val="宋体"/>
        <family val="3"/>
        <charset val="134"/>
        <scheme val="minor"/>
      </rPr>
      <t>D座</t>
    </r>
    <r>
      <rPr>
        <sz val="11"/>
        <color theme="1"/>
        <rFont val="宋体"/>
        <family val="3"/>
        <charset val="134"/>
        <scheme val="minor"/>
      </rPr>
      <t>5</t>
    </r>
    <r>
      <rPr>
        <sz val="11"/>
        <color theme="1"/>
        <rFont val="宋体"/>
        <family val="3"/>
        <charset val="134"/>
        <scheme val="minor"/>
      </rPr>
      <t>0725</t>
    </r>
    <r>
      <rPr>
        <sz val="11"/>
        <color theme="1"/>
        <rFont val="宋体"/>
        <family val="3"/>
        <charset val="134"/>
        <scheme val="minor"/>
      </rPr>
      <t>%</t>
    </r>
    <phoneticPr fontId="141" type="noConversion"/>
  </si>
  <si>
    <t>D座B1-10</t>
    <phoneticPr fontId="141" type="noConversion"/>
  </si>
  <si>
    <t>凯恒中心</t>
    <phoneticPr fontId="141" type="noConversion"/>
  </si>
  <si>
    <r>
      <t>朝阳门S</t>
    </r>
    <r>
      <rPr>
        <sz val="11"/>
        <color theme="1"/>
        <rFont val="宋体"/>
        <family val="3"/>
        <charset val="134"/>
        <scheme val="minor"/>
      </rPr>
      <t>OHO</t>
    </r>
    <phoneticPr fontId="141" type="noConversion"/>
  </si>
  <si>
    <t>凯恒中心</t>
    <phoneticPr fontId="141" type="noConversion"/>
  </si>
  <si>
    <t>好</t>
    <phoneticPr fontId="33" type="noConversion"/>
  </si>
  <si>
    <t>较好</t>
    <phoneticPr fontId="33" type="noConversion"/>
  </si>
  <si>
    <t>一般</t>
    <phoneticPr fontId="33" type="noConversion"/>
  </si>
  <si>
    <t>租期</t>
    <phoneticPr fontId="33" type="noConversion"/>
  </si>
  <si>
    <t>设施设备</t>
    <phoneticPr fontId="33" type="noConversion"/>
  </si>
  <si>
    <t>一般</t>
    <phoneticPr fontId="33" type="noConversion"/>
  </si>
  <si>
    <t>较好</t>
    <phoneticPr fontId="33" type="noConversion"/>
  </si>
  <si>
    <t>好</t>
    <phoneticPr fontId="33" type="noConversion"/>
  </si>
  <si>
    <t>位于朝阳门区域，周边有凯恒中心、朝阳门SOHO、中国海洋石油大厦、中国石化大厦、丰联广场等，办公集聚程度较好。</t>
    <phoneticPr fontId="33" type="noConversion"/>
  </si>
  <si>
    <t>位于东四十条区域，周边有保利大厦、首创大厦、富华大厦等，办公集聚度好</t>
    <phoneticPr fontId="33" type="noConversion"/>
  </si>
  <si>
    <t>估价对象所在区域有购物场所（银河SOHO、悠唐购物中心、物美超市等），教育机构（新鲜胡同小学、东城区回民小学等），医疗网点（首都儿研所附属儿童医院、中国人民解放军总医院第七医学中心、朝阳中医院等），金融网点（中国银行、兴业银行、中国工商银行等），综合分析，公共配套设施齐备程度较好。</t>
    <phoneticPr fontId="141" type="noConversion"/>
  </si>
  <si>
    <t>周边有智化寺等，自然及人文环境较好</t>
    <phoneticPr fontId="33" type="noConversion"/>
  </si>
  <si>
    <t>租期</t>
    <phoneticPr fontId="32" type="noConversion"/>
  </si>
  <si>
    <t>周边有保利剧院、南新仓文化休闲街、东四奥林匹克社区公园等，自然及人文环境较好</t>
    <phoneticPr fontId="33" type="noConversion"/>
  </si>
  <si>
    <t>位于东四十条区域，周边有南新仓文化休闲街、沿街商铺等，商业氛围较成熟，人流量较大，商业繁华度较好</t>
    <phoneticPr fontId="32" type="noConversion"/>
  </si>
  <si>
    <t>好</t>
    <phoneticPr fontId="32" type="noConversion"/>
  </si>
  <si>
    <t>较好</t>
    <phoneticPr fontId="32" type="noConversion"/>
  </si>
  <si>
    <t>一般</t>
    <phoneticPr fontId="32" type="noConversion"/>
  </si>
  <si>
    <t>大</t>
  </si>
  <si>
    <t>大</t>
    <phoneticPr fontId="32" type="noConversion"/>
  </si>
  <si>
    <t>较大</t>
    <phoneticPr fontId="32" type="noConversion"/>
  </si>
  <si>
    <t>商业综合体</t>
  </si>
  <si>
    <t>商业综合体</t>
    <phoneticPr fontId="32" type="noConversion"/>
  </si>
  <si>
    <t>商业街</t>
    <phoneticPr fontId="32" type="noConversion"/>
  </si>
  <si>
    <t>单价</t>
  </si>
  <si>
    <t>修正后单价</t>
    <phoneticPr fontId="141" type="noConversion"/>
  </si>
  <si>
    <t>总价</t>
    <phoneticPr fontId="141" type="noConversion"/>
  </si>
  <si>
    <t>权重</t>
    <phoneticPr fontId="141" type="noConversion"/>
  </si>
  <si>
    <t>比较法单价</t>
    <phoneticPr fontId="141" type="noConversion"/>
  </si>
  <si>
    <t>楼层修正</t>
    <phoneticPr fontId="141" type="noConversion"/>
  </si>
  <si>
    <t>车库</t>
    <phoneticPr fontId="33" type="noConversion"/>
  </si>
  <si>
    <t>240:1</t>
    <phoneticPr fontId="33" type="noConversion"/>
  </si>
  <si>
    <t>150:1</t>
    <phoneticPr fontId="33" type="noConversion"/>
  </si>
  <si>
    <t>100:1</t>
    <phoneticPr fontId="33" type="noConversion"/>
  </si>
  <si>
    <t>奥克伍德华庭酒店公寓</t>
    <phoneticPr fontId="141" type="noConversion"/>
  </si>
  <si>
    <t>酒店改造为办公</t>
    <phoneticPr fontId="141" type="noConversion"/>
  </si>
  <si>
    <t>上东公园里</t>
    <phoneticPr fontId="141" type="noConversion"/>
  </si>
  <si>
    <t>地上面积</t>
  </si>
  <si>
    <t>万平方米</t>
  </si>
  <si>
    <t>总建筑面积</t>
  </si>
  <si>
    <t>地上租金</t>
  </si>
  <si>
    <t>天</t>
  </si>
  <si>
    <t>月</t>
  </si>
  <si>
    <t>年</t>
  </si>
  <si>
    <t>cap rate</t>
  </si>
  <si>
    <t>Value</t>
  </si>
  <si>
    <t>Total</t>
  </si>
  <si>
    <t>建筑面积</t>
  </si>
  <si>
    <t>国瑞城</t>
    <phoneticPr fontId="32" type="noConversion"/>
  </si>
  <si>
    <t>1800</t>
    <phoneticPr fontId="141" type="noConversion"/>
  </si>
  <si>
    <t>层高修正</t>
    <phoneticPr fontId="141" type="noConversion"/>
  </si>
  <si>
    <t>面积修正</t>
    <phoneticPr fontId="141" type="noConversion"/>
  </si>
  <si>
    <t>层高</t>
    <phoneticPr fontId="141" type="noConversion"/>
  </si>
  <si>
    <t>2-2.5
2.5-3
3-3.5</t>
    <phoneticPr fontId="141" type="noConversion"/>
  </si>
  <si>
    <t>供电局</t>
    <phoneticPr fontId="141" type="noConversion"/>
  </si>
  <si>
    <t>位置</t>
    <phoneticPr fontId="4" type="noConversion"/>
  </si>
  <si>
    <t>所属区县</t>
    <phoneticPr fontId="4" type="noConversion"/>
  </si>
  <si>
    <t>商圈</t>
    <phoneticPr fontId="4" type="noConversion"/>
  </si>
  <si>
    <t>卖方</t>
    <phoneticPr fontId="4" type="noConversion"/>
  </si>
  <si>
    <t>土地面积（㎡）</t>
    <phoneticPr fontId="4" type="noConversion"/>
  </si>
  <si>
    <t>总建筑面积（㎡）</t>
    <phoneticPr fontId="4" type="noConversion"/>
  </si>
  <si>
    <t>地上建筑面积（㎡）</t>
    <phoneticPr fontId="4" type="noConversion"/>
  </si>
  <si>
    <t>地下建筑面积（㎡）</t>
    <phoneticPr fontId="4" type="noConversion"/>
  </si>
  <si>
    <t>整购价（万元）</t>
    <phoneticPr fontId="4" type="noConversion"/>
  </si>
  <si>
    <t>总建筑面积单价（元/㎡）</t>
    <phoneticPr fontId="4" type="noConversion"/>
  </si>
  <si>
    <t>地上楼面单价（元/㎡）</t>
    <phoneticPr fontId="4" type="noConversion"/>
  </si>
  <si>
    <t>购买方</t>
    <phoneticPr fontId="4" type="noConversion"/>
  </si>
  <si>
    <t>购买日期</t>
    <phoneticPr fontId="4" type="noConversion"/>
  </si>
  <si>
    <t>建筑规模及楼层</t>
    <phoneticPr fontId="4" type="noConversion"/>
  </si>
  <si>
    <t>竣工交付日期</t>
    <phoneticPr fontId="4" type="noConversion"/>
  </si>
  <si>
    <t>网络报价（万元）</t>
    <phoneticPr fontId="4" type="noConversion"/>
  </si>
  <si>
    <t>网络报价总建筑面楼面单价（元㎡）</t>
    <phoneticPr fontId="4" type="noConversion"/>
  </si>
  <si>
    <t>备注</t>
    <phoneticPr fontId="4" type="noConversion"/>
  </si>
  <si>
    <t>成交价与报价的比例</t>
    <phoneticPr fontId="4" type="noConversion"/>
  </si>
  <si>
    <t>十里堡西单商场</t>
    <phoneticPr fontId="4" type="noConversion"/>
  </si>
  <si>
    <t>朝阳区十里堡甲3号</t>
    <phoneticPr fontId="4" type="noConversion"/>
  </si>
  <si>
    <t>十里堡</t>
    <phoneticPr fontId="4" type="noConversion"/>
  </si>
  <si>
    <t>京港物业</t>
    <phoneticPr fontId="4" type="noConversion"/>
  </si>
  <si>
    <t>万科</t>
    <phoneticPr fontId="4" type="noConversion"/>
  </si>
  <si>
    <r>
      <t>2</t>
    </r>
    <r>
      <rPr>
        <sz val="10"/>
        <rFont val="宋体"/>
        <family val="3"/>
        <charset val="134"/>
      </rPr>
      <t>016年第二季度</t>
    </r>
    <phoneticPr fontId="4" type="noConversion"/>
  </si>
  <si>
    <r>
      <t>股权交易；十里堡西单商场项目地下3层地上6层，土地使用权面积为9,846.61平方米，土地使用权终止日期为2033年6月4日，估价对象建筑面积为36,026.08平方米，其中地下1层至地上6层商业建筑面积为32,344.01平方米，地下2至3层车库建筑面积为3,682.07平方米（共有车位284个）；</t>
    </r>
    <r>
      <rPr>
        <b/>
        <sz val="10"/>
        <color indexed="10"/>
        <rFont val="宋体"/>
        <family val="3"/>
        <charset val="134"/>
      </rPr>
      <t>北京万科为收购该项目82.5%的权益，支付了约10个亿对价。</t>
    </r>
    <phoneticPr fontId="4" type="noConversion"/>
  </si>
  <si>
    <r>
      <t>1</t>
    </r>
    <r>
      <rPr>
        <sz val="10"/>
        <rFont val="宋体"/>
        <family val="3"/>
        <charset val="134"/>
      </rPr>
      <t>998年</t>
    </r>
    <phoneticPr fontId="4" type="noConversion"/>
  </si>
  <si>
    <r>
      <t>招商局大厦2</t>
    </r>
    <r>
      <rPr>
        <sz val="10"/>
        <rFont val="宋体"/>
        <family val="3"/>
        <charset val="134"/>
      </rPr>
      <t>0-28层</t>
    </r>
    <phoneticPr fontId="4" type="noConversion"/>
  </si>
  <si>
    <t>朝阳区建国路118号，国贸桥的东南角</t>
    <phoneticPr fontId="4" type="noConversion"/>
  </si>
  <si>
    <t>CBD</t>
    <phoneticPr fontId="4" type="noConversion"/>
  </si>
  <si>
    <t>高富诺集团</t>
    <phoneticPr fontId="4" type="noConversion"/>
  </si>
  <si>
    <t>写字楼</t>
    <phoneticPr fontId="4" type="noConversion"/>
  </si>
  <si>
    <t>弘睿资本</t>
    <phoneticPr fontId="4" type="noConversion"/>
  </si>
  <si>
    <t>1996年</t>
    <phoneticPr fontId="4" type="noConversion"/>
  </si>
  <si>
    <t>上东今旅酒店</t>
    <phoneticPr fontId="4" type="noConversion"/>
  </si>
  <si>
    <t>朝阳区东四环北路2号</t>
    <phoneticPr fontId="4" type="noConversion"/>
  </si>
  <si>
    <t>东四环</t>
    <phoneticPr fontId="4" type="noConversion"/>
  </si>
  <si>
    <t>阳光集团</t>
    <phoneticPr fontId="4" type="noConversion"/>
  </si>
  <si>
    <t>酒店</t>
    <phoneticPr fontId="4" type="noConversion"/>
  </si>
  <si>
    <t>国内金融机构</t>
    <phoneticPr fontId="4" type="noConversion"/>
  </si>
  <si>
    <r>
      <t>2</t>
    </r>
    <r>
      <rPr>
        <sz val="10"/>
        <rFont val="宋体"/>
        <family val="3"/>
        <charset val="134"/>
      </rPr>
      <t>017-Q2</t>
    </r>
    <phoneticPr fontId="4" type="noConversion"/>
  </si>
  <si>
    <r>
      <t>2</t>
    </r>
    <r>
      <rPr>
        <sz val="10"/>
        <rFont val="宋体"/>
        <family val="3"/>
        <charset val="134"/>
      </rPr>
      <t>007年</t>
    </r>
    <phoneticPr fontId="4" type="noConversion"/>
  </si>
  <si>
    <t>东华金座</t>
    <phoneticPr fontId="4" type="noConversion"/>
  </si>
  <si>
    <t>西城区广安门内大街118号1号楼、牛街东侧14-16号商住楼（东华金座）地上1-3层商业裙房及地下一层房屋</t>
    <phoneticPr fontId="4" type="noConversion"/>
  </si>
  <si>
    <t>广安门</t>
    <phoneticPr fontId="4" type="noConversion"/>
  </si>
  <si>
    <t>北京房开置业股份有限公司</t>
    <phoneticPr fontId="4" type="noConversion"/>
  </si>
  <si>
    <t>北京国安置地有限责任公司</t>
    <phoneticPr fontId="4" type="noConversion"/>
  </si>
  <si>
    <t>拍卖</t>
    <phoneticPr fontId="4" type="noConversion"/>
  </si>
  <si>
    <t>恒基中心</t>
    <phoneticPr fontId="4" type="noConversion"/>
  </si>
  <si>
    <t>建国门</t>
    <phoneticPr fontId="4" type="noConversion"/>
  </si>
  <si>
    <t>恒基兆业</t>
    <phoneticPr fontId="4" type="noConversion"/>
  </si>
  <si>
    <t>中菊集团</t>
    <phoneticPr fontId="4" type="noConversion"/>
  </si>
  <si>
    <t>雅安国际公寓部分商业</t>
    <phoneticPr fontId="4" type="noConversion"/>
  </si>
  <si>
    <t>东城区金宝街2 号（雅安国际公寓）1 层101、2 层201、-1 层D01 号；所在地块四至：东邻日化家属院，南邻金成建国5 号，西临艺华胡同，北临金宝街。</t>
    <phoneticPr fontId="4" type="noConversion"/>
  </si>
  <si>
    <t>东二环</t>
    <phoneticPr fontId="4" type="noConversion"/>
  </si>
  <si>
    <t xml:space="preserve">北京永鑫耀阳科技发展有限公司
</t>
    <phoneticPr fontId="4" type="noConversion"/>
  </si>
  <si>
    <t>北京明润广居投资有限责任公司</t>
    <phoneticPr fontId="4" type="noConversion"/>
  </si>
  <si>
    <r>
      <t>2</t>
    </r>
    <r>
      <rPr>
        <sz val="10"/>
        <rFont val="宋体"/>
        <family val="3"/>
        <charset val="134"/>
      </rPr>
      <t>005年</t>
    </r>
    <phoneticPr fontId="4" type="noConversion"/>
  </si>
  <si>
    <t>2017Q2</t>
    <phoneticPr fontId="288" type="noConversion"/>
  </si>
  <si>
    <t>租赁类型</t>
    <phoneticPr fontId="32" type="noConversion"/>
  </si>
  <si>
    <t>整租</t>
    <phoneticPr fontId="32" type="noConversion"/>
  </si>
  <si>
    <t>散租</t>
    <phoneticPr fontId="32" type="noConversion"/>
  </si>
  <si>
    <t>九和大厦</t>
    <phoneticPr fontId="4" type="noConversion"/>
  </si>
  <si>
    <t>西城区北礼士路大街</t>
    <phoneticPr fontId="4" type="noConversion"/>
  </si>
  <si>
    <t>西直门</t>
    <phoneticPr fontId="4" type="noConversion"/>
  </si>
  <si>
    <t>境内股权</t>
    <phoneticPr fontId="4" type="noConversion"/>
  </si>
  <si>
    <t>标准层面积1200平方米，有3部客梯、1部货梯，地上12层、地下3层</t>
    <phoneticPr fontId="4" type="noConversion"/>
  </si>
  <si>
    <t>融新科技中心</t>
    <phoneticPr fontId="4" type="noConversion"/>
  </si>
  <si>
    <t>望京</t>
    <phoneticPr fontId="4" type="noConversion"/>
  </si>
  <si>
    <t>2016Q4</t>
    <phoneticPr fontId="4" type="noConversion"/>
  </si>
  <si>
    <t>方恒时代中心</t>
    <phoneticPr fontId="4" type="noConversion"/>
  </si>
  <si>
    <t>2016Q3</t>
    <phoneticPr fontId="4" type="noConversion"/>
  </si>
  <si>
    <t>资产交易</t>
    <phoneticPr fontId="4" type="noConversion"/>
  </si>
  <si>
    <t>联络互动</t>
    <phoneticPr fontId="4" type="noConversion"/>
  </si>
  <si>
    <t>东九中国</t>
    <phoneticPr fontId="4" type="noConversion"/>
  </si>
  <si>
    <t>阳光城</t>
    <phoneticPr fontId="4" type="noConversion"/>
  </si>
  <si>
    <t>标准层面积</t>
    <phoneticPr fontId="4" type="noConversion"/>
  </si>
  <si>
    <t>收购后意欲改写字楼；设有403间客房和套房，共21层</t>
    <phoneticPr fontId="4" type="noConversion"/>
  </si>
  <si>
    <t>北礼士路</t>
    <phoneticPr fontId="33" type="noConversion"/>
  </si>
  <si>
    <t>估价对象所在区域有购物场所（凯德mall等），教育机构（西城区师范学校附小、西城外国语学校、黄城根小学等），医疗网点（北京大学人民医院等），金融网点（招商银行、中国邮政储蓄银行等），综合分析，公共配套设施齐备程度较好。</t>
    <phoneticPr fontId="141" type="noConversion"/>
  </si>
  <si>
    <t>周边有官园公园等，自然及人文环境较好</t>
    <phoneticPr fontId="141" type="noConversion"/>
  </si>
  <si>
    <t>位于崇文门区域，周边有新世界百货、搜秀城等商场，商业氛围成熟，人流量大，商业繁华度好</t>
    <phoneticPr fontId="32" type="noConversion"/>
  </si>
  <si>
    <t>估价对象所在区域有购物场所（新世界百货、搜秀城等），教育机构（北京第九十六中学、崇文小学、会问实验中学等），医疗网点（北京普仁医院、北京同仁医院、北京医院等），金融网点（中国邮政储蓄银行、中国农业银行、中国工商银行等），综合分析，公共配套设施齐备程度较好。</t>
    <phoneticPr fontId="141" type="noConversion"/>
  </si>
  <si>
    <t>周边有明城墙遗址公园等，自然及人文环境较好</t>
    <phoneticPr fontId="33" type="noConversion"/>
  </si>
  <si>
    <r>
      <rPr>
        <sz val="11"/>
        <color rgb="FFFF0000"/>
        <rFont val="微软雅黑"/>
        <family val="2"/>
        <charset val="134"/>
      </rPr>
      <t>资产交易</t>
    </r>
    <r>
      <rPr>
        <sz val="11"/>
        <color rgb="FFFF0000"/>
        <rFont val="Arial Unicode MS"/>
        <family val="2"/>
      </rPr>
      <t>、改造</t>
    </r>
    <phoneticPr fontId="141" type="noConversion"/>
  </si>
  <si>
    <t>紧邻城市次干道-北礼士路，距离北京北站约600米，东距西二环约200米，距离2号线（1984年）、4号线（2009年）西直门站约550米，距离2号线（1984年）、6号线（2012年）车公庄站约400米，多条公交线路通达，公共交通便利，综合评价交通便捷度较好。</t>
    <phoneticPr fontId="141" type="noConversion"/>
  </si>
  <si>
    <t>2017（2017.6.28-2017.12.27）</t>
    <phoneticPr fontId="141" type="noConversion"/>
  </si>
  <si>
    <r>
      <t>2018（</t>
    </r>
    <r>
      <rPr>
        <sz val="11"/>
        <color theme="1"/>
        <rFont val="宋体"/>
        <family val="3"/>
        <charset val="134"/>
        <scheme val="minor"/>
      </rPr>
      <t>2017.12.28-2018.12.27）</t>
    </r>
    <phoneticPr fontId="141" type="noConversion"/>
  </si>
  <si>
    <r>
      <t>2019（</t>
    </r>
    <r>
      <rPr>
        <sz val="11"/>
        <color theme="1"/>
        <rFont val="宋体"/>
        <family val="3"/>
        <charset val="134"/>
        <scheme val="minor"/>
      </rPr>
      <t>2018.12.28-2019.12.27）</t>
    </r>
    <phoneticPr fontId="141" type="noConversion"/>
  </si>
  <si>
    <r>
      <t>2020（</t>
    </r>
    <r>
      <rPr>
        <sz val="11"/>
        <color theme="1"/>
        <rFont val="宋体"/>
        <family val="3"/>
        <charset val="134"/>
        <scheme val="minor"/>
      </rPr>
      <t>2019.12.28-2020.12.27）</t>
    </r>
    <phoneticPr fontId="141" type="noConversion"/>
  </si>
  <si>
    <t>建成年代1996年，地上20-28层，地下约100个车位</t>
    <phoneticPr fontId="4" type="noConversion"/>
  </si>
  <si>
    <t>每面积（租金）</t>
    <phoneticPr fontId="141" type="noConversion"/>
  </si>
  <si>
    <t>每层面积（产权）</t>
    <phoneticPr fontId="141" type="noConversion"/>
  </si>
  <si>
    <t>位于东单区域，周边有新闻大厦、东方广场、中国农业银行等，办公集聚度好</t>
    <phoneticPr fontId="33" type="noConversion"/>
  </si>
  <si>
    <t>紧邻城市快速路-东二环，距离地铁2号线（1984年）东四十条站约300米，多条公交线路通达，公共交通便利，综合评价交通便捷度较好。</t>
    <phoneticPr fontId="33" type="noConversion"/>
  </si>
  <si>
    <t>整层</t>
  </si>
  <si>
    <t>整层</t>
    <phoneticPr fontId="33" type="noConversion"/>
  </si>
  <si>
    <t>不完全整栋</t>
    <phoneticPr fontId="33" type="noConversion"/>
  </si>
  <si>
    <t>标准层面积</t>
    <phoneticPr fontId="4" type="noConversion"/>
  </si>
  <si>
    <t>B14</t>
    <phoneticPr fontId="141" type="noConversion"/>
  </si>
  <si>
    <t>较好</t>
    <phoneticPr fontId="33" type="noConversion"/>
  </si>
  <si>
    <t>主路口紧邻城市次干道-南竹杆胡同，距离地铁2号线（1984年）、6号线朝阳门站约300米，多条公交线路通达，公共交通便利，综合评价交通便捷度较好。</t>
    <phoneticPr fontId="33" type="noConversion"/>
  </si>
  <si>
    <t>外装</t>
    <phoneticPr fontId="33" type="noConversion"/>
  </si>
  <si>
    <t>一般</t>
    <phoneticPr fontId="33" type="noConversion"/>
  </si>
  <si>
    <t>一般</t>
    <phoneticPr fontId="33" type="noConversion"/>
  </si>
  <si>
    <t>利用率</t>
    <phoneticPr fontId="33" type="noConversion"/>
  </si>
  <si>
    <t>产权</t>
    <phoneticPr fontId="33" type="noConversion"/>
  </si>
  <si>
    <t>单一产权</t>
    <phoneticPr fontId="33" type="noConversion"/>
  </si>
  <si>
    <t>非单一产权</t>
    <phoneticPr fontId="33" type="noConversion"/>
  </si>
  <si>
    <t>单一产权</t>
    <phoneticPr fontId="33" type="noConversion"/>
  </si>
  <si>
    <t>单一产权</t>
    <phoneticPr fontId="32" type="noConversion"/>
  </si>
  <si>
    <t>非单一产权</t>
    <phoneticPr fontId="32" type="noConversion"/>
  </si>
  <si>
    <t>单一产权</t>
    <phoneticPr fontId="32" type="noConversion"/>
  </si>
  <si>
    <t>非单一产权</t>
    <phoneticPr fontId="32" type="noConversion"/>
  </si>
  <si>
    <t>写字楼1层商业</t>
  </si>
  <si>
    <t>写字楼1层商业</t>
    <phoneticPr fontId="32" type="noConversion"/>
  </si>
  <si>
    <r>
      <rPr>
        <sz val="11"/>
        <color rgb="FFFF0000"/>
        <rFont val="宋体"/>
        <family val="3"/>
        <charset val="134"/>
      </rPr>
      <t>展示面</t>
    </r>
    <r>
      <rPr>
        <sz val="11"/>
        <color rgb="FFFF0000"/>
        <rFont val="Arial"/>
        <family val="2"/>
      </rPr>
      <t>/</t>
    </r>
    <r>
      <rPr>
        <sz val="11"/>
        <color rgb="FFFF0000"/>
        <rFont val="宋体"/>
        <family val="3"/>
        <charset val="134"/>
      </rPr>
      <t>可视性</t>
    </r>
    <phoneticPr fontId="32" type="noConversion"/>
  </si>
  <si>
    <t>产权/统一经营</t>
    <phoneticPr fontId="32" type="noConversion"/>
  </si>
  <si>
    <t>散租</t>
    <phoneticPr fontId="32" type="noConversion"/>
  </si>
  <si>
    <t>西城区广安门内大街118号1号楼，房屋建筑面积为26891.39平方米，其中地上商业建筑面积为17646.37平方米（F1，4691.97平方米，F2：6439.65平方米，F3:6514.75平方米），地下一层建筑面积为9245.02平方米（（地下一层库房建筑面积为 1207.64平方米，平方米，地下一层 员工餐厅建筑面积为760.17 平方米，地下一层汽车库建筑面积为7277.21平方米（车库81个）；），规划用途为车位、库房、汽车库、商业、员工餐厅。配套商业为 2039年2月10日；</t>
    <phoneticPr fontId="4" type="noConversion"/>
  </si>
  <si>
    <t>土地使用权终止日期为2052 年6 月16 日；估价对象位于金宝街2 号雅安国际公寓底商，金宝街以南，东二环路以西，金成建国5 号项目以北，艺华胡同以东。估价对象所在房屋总层数为地上19 层、地下3 层，估价对象所在楼层为地下1 层、地上1 层、地上2 层；地上1层101号2283.81平方米，地上2层201号2857.41平方米；地下1层D01号2114.48平方米</t>
    <phoneticPr fontId="4" type="noConversion"/>
  </si>
  <si>
    <t>结果</t>
    <phoneticPr fontId="141" type="noConversion"/>
  </si>
  <si>
    <t>估价对象位于东四路口的东南角，紧临城市主干道-朝阳门内大街，西距东四南大街100米，距离地铁5号线（2007年通车）与6号线（2012年通车）东四站75米，多条公交线路通达，公共交通便利，停车便捷度好，综合评价交通便捷度较好。</t>
    <phoneticPr fontId="42" type="noConversion"/>
  </si>
  <si>
    <t>紧临城市主干道-崇文门外大街，距离地铁2号线（1984年）前门站、5号线（2007年）崇文门站约200米，周边有多条公交线路通达，公共交通便利，停车便捷度好，综上，交通便捷度较好</t>
    <phoneticPr fontId="33" type="noConversion"/>
  </si>
  <si>
    <t>整栋</t>
  </si>
  <si>
    <t>整栋</t>
    <phoneticPr fontId="141" type="noConversion"/>
  </si>
  <si>
    <t>位于建国门区域，周边有光华长安大厦、中粮广场、湖南大厦、信通大厦等，办公集聚程度较好</t>
    <phoneticPr fontId="141" type="noConversion"/>
  </si>
  <si>
    <t>所在区域有购物场所（中粮广场购物中心、物美超市等），教育机构（北京市汇文第一小学、清华大学附属小学等），医疗网点（北京紫荆医院等），金融网点（中国工商银行、中国银行等），综合分析，公共配套设施齐备程度较好。</t>
    <phoneticPr fontId="141" type="noConversion"/>
  </si>
  <si>
    <t>所在区域有购物场所（中粮广场购物中心、物美超市等），教育机构（北京市汇文第一小学、清北京第二十四中学等），医疗网点（北京紫荆医院等），金融网点（中国工商银行、中国银行等），综合分析，公共配套设施齐备程度较好。</t>
    <phoneticPr fontId="141" type="noConversion"/>
  </si>
  <si>
    <t>整栋</t>
    <phoneticPr fontId="33" type="noConversion"/>
  </si>
  <si>
    <t>产权</t>
    <phoneticPr fontId="141" type="noConversion"/>
  </si>
  <si>
    <t>单一产权</t>
    <phoneticPr fontId="141" type="noConversion"/>
  </si>
  <si>
    <t>主入口紧邻城市次干道-北京站街，东距东二环路约600米，距离北京站约400米，距离2号线（1984年）北京站约200米，多条公交线路通达，公共交通便利，停车便捷度一般，综合评一般。</t>
    <phoneticPr fontId="141" type="noConversion"/>
  </si>
  <si>
    <t>位于建国门区域，周边有京泰大厦、金龙大厦、赛特大厦等，办公集聚程度一般</t>
    <phoneticPr fontId="141" type="noConversion"/>
  </si>
  <si>
    <t>外部可视性</t>
    <phoneticPr fontId="141" type="noConversion"/>
  </si>
  <si>
    <t>好</t>
    <phoneticPr fontId="141" type="noConversion"/>
  </si>
  <si>
    <t>较好</t>
    <phoneticPr fontId="141" type="noConversion"/>
  </si>
  <si>
    <t>主入口紧邻城市支路，北距建国门外大街约300米，距离北京站约800米，距离地铁1号线（1969）、2号线（1984年）建国门站约300米，多条公交线路通达，公共交通便利，综合评价交通便捷度较好。</t>
    <phoneticPr fontId="141" type="noConversion"/>
  </si>
  <si>
    <t>一般</t>
    <phoneticPr fontId="141" type="noConversion"/>
  </si>
  <si>
    <t>北京长安街W酒店</t>
    <phoneticPr fontId="4" type="noConversion"/>
  </si>
  <si>
    <t>朝阳区建国门南大街2号</t>
    <phoneticPr fontId="4" type="noConversion"/>
  </si>
  <si>
    <t>中粮集团</t>
    <phoneticPr fontId="4" type="noConversion"/>
  </si>
  <si>
    <t>天府基金</t>
    <phoneticPr fontId="4" type="noConversion"/>
  </si>
  <si>
    <t>该酒店位于北京市朝阳区建国门南大街2号，高21层，五层为地下室，建筑总面积约62,805平方米，占地总面积约6,746.29平方米，配有349间客房、餐饮设施、会议设施及停车场；此次出售，代价为约为人民币13.6亿元。除支付代价外，天府基金将须偿还股东贷款合共约人民币89.56万元，及结欠大悦城的贷款约人民币6.23亿元。
据此计算，天府基金此次收购共须付出代价约19.9亿元。而大悦城预期就出售事项收取的所得现金款项总额将约为人民币19.84亿元。</t>
    <phoneticPr fontId="4" type="noConversion"/>
  </si>
  <si>
    <t>2014年</t>
    <phoneticPr fontId="4" type="noConversion"/>
  </si>
  <si>
    <r>
      <t>2</t>
    </r>
    <r>
      <rPr>
        <sz val="10"/>
        <rFont val="宋体"/>
        <family val="3"/>
        <charset val="134"/>
      </rPr>
      <t>014年开业</t>
    </r>
    <phoneticPr fontId="4" type="noConversion"/>
  </si>
  <si>
    <t>名称</t>
    <phoneticPr fontId="4" type="noConversion"/>
  </si>
  <si>
    <t>售价</t>
    <phoneticPr fontId="4" type="noConversion"/>
  </si>
  <si>
    <t>租金</t>
    <phoneticPr fontId="4" type="noConversion"/>
  </si>
  <si>
    <t>收益率</t>
    <phoneticPr fontId="4" type="noConversion"/>
  </si>
  <si>
    <t>通州</t>
    <phoneticPr fontId="4" type="noConversion"/>
  </si>
  <si>
    <t>西直门</t>
    <phoneticPr fontId="4" type="noConversion"/>
  </si>
  <si>
    <t>望京</t>
    <phoneticPr fontId="4" type="noConversion"/>
  </si>
  <si>
    <t>朝阳公园</t>
    <phoneticPr fontId="4" type="noConversion"/>
  </si>
  <si>
    <t>建国门</t>
    <phoneticPr fontId="4" type="noConversion"/>
  </si>
  <si>
    <t>立水桥</t>
    <phoneticPr fontId="4" type="noConversion"/>
  </si>
  <si>
    <t>红领巾桥</t>
    <phoneticPr fontId="4" type="noConversion"/>
  </si>
  <si>
    <t>中关村</t>
    <phoneticPr fontId="4" type="noConversion"/>
  </si>
  <si>
    <t>酒仙桥</t>
    <phoneticPr fontId="4" type="noConversion"/>
  </si>
  <si>
    <t>上地</t>
    <phoneticPr fontId="4" type="noConversion"/>
  </si>
  <si>
    <t>建材城</t>
    <phoneticPr fontId="4" type="noConversion"/>
  </si>
  <si>
    <t>右安门</t>
    <phoneticPr fontId="4" type="noConversion"/>
  </si>
  <si>
    <t>王府井</t>
    <phoneticPr fontId="4" type="noConversion"/>
  </si>
  <si>
    <t>达官营</t>
    <phoneticPr fontId="4" type="noConversion"/>
  </si>
  <si>
    <t>东单</t>
    <phoneticPr fontId="4" type="noConversion"/>
  </si>
  <si>
    <t>产权</t>
    <phoneticPr fontId="141" type="noConversion"/>
  </si>
  <si>
    <t>单一产权</t>
    <phoneticPr fontId="141" type="noConversion"/>
  </si>
  <si>
    <t>非单一产权</t>
    <phoneticPr fontId="141" type="noConversion"/>
  </si>
  <si>
    <t>商业综合体</t>
    <phoneticPr fontId="141" type="noConversion"/>
  </si>
  <si>
    <t>高区</t>
    <phoneticPr fontId="33" type="noConversion"/>
  </si>
  <si>
    <t>中区</t>
  </si>
  <si>
    <t>中区</t>
    <phoneticPr fontId="33" type="noConversion"/>
  </si>
  <si>
    <t>低区</t>
  </si>
  <si>
    <t>低区</t>
    <phoneticPr fontId="33" type="noConversion"/>
  </si>
  <si>
    <t>冠名权、广告位</t>
    <phoneticPr fontId="141" type="noConversion"/>
  </si>
  <si>
    <t>稀缺性</t>
    <phoneticPr fontId="141" type="noConversion"/>
  </si>
  <si>
    <t>租期</t>
    <phoneticPr fontId="141" type="noConversion"/>
  </si>
  <si>
    <t>车位配比</t>
    <phoneticPr fontId="141" type="noConversion"/>
  </si>
  <si>
    <t>A</t>
    <phoneticPr fontId="141" type="noConversion"/>
  </si>
  <si>
    <t>B</t>
    <phoneticPr fontId="141" type="noConversion"/>
  </si>
  <si>
    <t>C</t>
    <phoneticPr fontId="141" type="noConversion"/>
  </si>
  <si>
    <t>五矿广场C座</t>
    <phoneticPr fontId="4" type="noConversion"/>
  </si>
  <si>
    <t>A、B</t>
    <phoneticPr fontId="141" type="noConversion"/>
  </si>
  <si>
    <r>
      <t>D、</t>
    </r>
    <r>
      <rPr>
        <sz val="11"/>
        <color theme="1"/>
        <rFont val="宋体"/>
        <family val="3"/>
        <charset val="134"/>
        <scheme val="minor"/>
      </rPr>
      <t>E</t>
    </r>
    <phoneticPr fontId="141" type="noConversion"/>
  </si>
  <si>
    <t>民生金融中心A座</t>
    <phoneticPr fontId="4" type="noConversion"/>
  </si>
  <si>
    <t>位于朝阳门区域，有朝阳SOHO、悠唐中心等购物场所，商业氛围较成熟，人流量较大，商业繁华度较好</t>
    <phoneticPr fontId="32" type="noConversion"/>
  </si>
  <si>
    <r>
      <rPr>
        <sz val="11"/>
        <color rgb="FFFF0000"/>
        <rFont val="宋体"/>
        <family val="3"/>
        <charset val="134"/>
      </rPr>
      <t>临街状况</t>
    </r>
    <phoneticPr fontId="32" type="noConversion"/>
  </si>
  <si>
    <t>位于西直门区域，周边有富通大厦、中仪大厦等，办公集聚程度一般</t>
    <phoneticPr fontId="141" type="noConversion"/>
  </si>
  <si>
    <t>可视性</t>
    <phoneticPr fontId="141" type="noConversion"/>
  </si>
  <si>
    <t>地上合计</t>
    <phoneticPr fontId="141" type="noConversion"/>
  </si>
  <si>
    <t>地下合计</t>
    <phoneticPr fontId="141" type="noConversion"/>
  </si>
  <si>
    <t>比较法</t>
    <phoneticPr fontId="141" type="noConversion"/>
  </si>
  <si>
    <t>还原</t>
    <phoneticPr fontId="141" type="noConversion"/>
  </si>
  <si>
    <t>权重</t>
    <phoneticPr fontId="141" type="noConversion"/>
  </si>
  <si>
    <t>图纸</t>
    <phoneticPr fontId="141" type="noConversion"/>
  </si>
  <si>
    <t>面积</t>
    <phoneticPr fontId="141" type="noConversion"/>
  </si>
  <si>
    <t>租金收益</t>
    <phoneticPr fontId="141" type="noConversion"/>
  </si>
  <si>
    <t>市值</t>
    <phoneticPr fontId="141" type="noConversion"/>
  </si>
  <si>
    <t>还原率</t>
    <phoneticPr fontId="141" type="noConversion"/>
  </si>
  <si>
    <t>2017.12.28</t>
    <phoneticPr fontId="141" type="noConversion"/>
  </si>
  <si>
    <t>2018.12.28</t>
    <phoneticPr fontId="141" type="noConversion"/>
  </si>
  <si>
    <r>
      <t>2</t>
    </r>
    <r>
      <rPr>
        <sz val="11"/>
        <color theme="1"/>
        <rFont val="宋体"/>
        <family val="3"/>
        <charset val="134"/>
        <scheme val="minor"/>
      </rPr>
      <t>019.12.28</t>
    </r>
    <phoneticPr fontId="141" type="noConversion"/>
  </si>
  <si>
    <t>2017.6.28</t>
    <phoneticPr fontId="141" type="noConversion"/>
  </si>
  <si>
    <t>金融街</t>
    <phoneticPr fontId="288" type="noConversion"/>
  </si>
  <si>
    <t>整栋</t>
    <phoneticPr fontId="141" type="noConversion"/>
  </si>
  <si>
    <t>地上</t>
    <phoneticPr fontId="141" type="noConversion"/>
  </si>
  <si>
    <t>东城区朝阳门北大街3号</t>
    <phoneticPr fontId="4" type="noConversion"/>
  </si>
  <si>
    <t>东城区建国门内大街28号</t>
    <phoneticPr fontId="4" type="noConversion"/>
  </si>
  <si>
    <t>南竹杆胡同2号</t>
    <phoneticPr fontId="4" type="noConversion"/>
  </si>
  <si>
    <t>东门仓胡同</t>
    <phoneticPr fontId="33" type="noConversion"/>
  </si>
  <si>
    <t>南竹杆胡同</t>
    <phoneticPr fontId="33" type="noConversion"/>
  </si>
  <si>
    <t>朝阳门内大街2号</t>
    <phoneticPr fontId="4" type="noConversion"/>
  </si>
  <si>
    <t>朝阳门外大街18号</t>
    <phoneticPr fontId="4" type="noConversion"/>
  </si>
  <si>
    <t>崇文门外大街18号</t>
    <phoneticPr fontId="4" type="noConversion"/>
  </si>
  <si>
    <t>租赁类型</t>
    <phoneticPr fontId="141" type="noConversion"/>
  </si>
  <si>
    <t>整租</t>
    <phoneticPr fontId="141" type="noConversion"/>
  </si>
  <si>
    <t>散租</t>
    <phoneticPr fontId="141" type="noConversion"/>
  </si>
  <si>
    <t>东城区东长安街1号</t>
    <phoneticPr fontId="4" type="noConversion"/>
  </si>
  <si>
    <t>东城区香河园街1号</t>
    <phoneticPr fontId="4" type="noConversion"/>
  </si>
  <si>
    <t>租期</t>
    <phoneticPr fontId="33" type="noConversion"/>
  </si>
  <si>
    <t>产别</t>
    <phoneticPr fontId="33" type="noConversion"/>
  </si>
  <si>
    <t>毛坯</t>
    <phoneticPr fontId="33" type="noConversion"/>
  </si>
  <si>
    <t>精装修</t>
    <phoneticPr fontId="33" type="noConversion"/>
  </si>
  <si>
    <t>平面车位</t>
  </si>
  <si>
    <t>平面车位</t>
    <phoneticPr fontId="33" type="noConversion"/>
  </si>
  <si>
    <t>是</t>
    <phoneticPr fontId="33" type="noConversion"/>
  </si>
  <si>
    <t>月总价</t>
    <phoneticPr fontId="141" type="noConversion"/>
  </si>
  <si>
    <r>
      <rPr>
        <sz val="11"/>
        <color theme="9" tint="-0.249977111117893"/>
        <rFont val="宋体"/>
        <family val="3"/>
        <charset val="134"/>
      </rPr>
      <t>西城区北礼士路</t>
    </r>
    <r>
      <rPr>
        <sz val="11"/>
        <color theme="9" tint="-0.249977111117893"/>
        <rFont val="Arial"/>
        <family val="2"/>
      </rPr>
      <t>95</t>
    </r>
    <r>
      <rPr>
        <sz val="11"/>
        <color theme="9" tint="-0.249977111117893"/>
        <rFont val="宋体"/>
        <family val="3"/>
        <charset val="134"/>
      </rPr>
      <t>号</t>
    </r>
    <phoneticPr fontId="141" type="noConversion"/>
  </si>
  <si>
    <t>朝阳区建国门南大街2号</t>
    <phoneticPr fontId="141" type="noConversion"/>
  </si>
  <si>
    <t>东城区建国门内大街18号</t>
    <phoneticPr fontId="141" type="noConversion"/>
  </si>
  <si>
    <t>酒店</t>
  </si>
  <si>
    <t>酒店</t>
    <phoneticPr fontId="141" type="noConversion"/>
  </si>
  <si>
    <t>——</t>
    <phoneticPr fontId="4" type="noConversion"/>
  </si>
  <si>
    <t>增长率</t>
    <phoneticPr fontId="141" type="noConversion"/>
  </si>
  <si>
    <t>资本化率</t>
    <phoneticPr fontId="141" type="noConversion"/>
  </si>
  <si>
    <t>——</t>
    <phoneticPr fontId="4" type="noConversion"/>
  </si>
  <si>
    <t>戴德</t>
    <phoneticPr fontId="141" type="noConversion"/>
  </si>
  <si>
    <t>仲量</t>
    <phoneticPr fontId="141" type="noConversion"/>
  </si>
  <si>
    <t>第一太平</t>
    <phoneticPr fontId="141" type="noConversion"/>
  </si>
  <si>
    <r>
      <rPr>
        <sz val="11"/>
        <color rgb="FFFF0000"/>
        <rFont val="宋体"/>
        <family val="3"/>
        <charset val="134"/>
      </rPr>
      <t>项目停车位配比</t>
    </r>
    <phoneticPr fontId="33" type="noConversion"/>
  </si>
  <si>
    <t>停车便捷度</t>
    <phoneticPr fontId="32" type="noConversion"/>
  </si>
  <si>
    <t>整租风险性</t>
    <phoneticPr fontId="141" type="noConversion"/>
  </si>
  <si>
    <t>售价还原（15.2）</t>
    <phoneticPr fontId="141" type="noConversion"/>
  </si>
  <si>
    <t>0-2.5</t>
    <phoneticPr fontId="141" type="noConversion"/>
  </si>
  <si>
    <t>2.5-3</t>
    <phoneticPr fontId="141" type="noConversion"/>
  </si>
  <si>
    <t>3-3.5</t>
    <phoneticPr fontId="141" type="noConversion"/>
  </si>
  <si>
    <t>结果</t>
    <phoneticPr fontId="141" type="noConversion"/>
  </si>
  <si>
    <t>全市平均（戴德、仲量、第一太平）</t>
    <phoneticPr fontId="288" type="noConversion"/>
  </si>
  <si>
    <t>东二环平均（戴德、仲量）</t>
    <phoneticPr fontId="288" type="noConversion"/>
  </si>
  <si>
    <t>全市平均（戴德、仲量）</t>
    <phoneticPr fontId="288" type="noConversion"/>
  </si>
  <si>
    <t>办公3043.19㎡</t>
    <phoneticPr fontId="141" type="noConversion"/>
  </si>
  <si>
    <t>办公2101.74㎡</t>
    <phoneticPr fontId="141" type="noConversion"/>
  </si>
  <si>
    <t>戴德、仲量平均</t>
    <phoneticPr fontId="14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</si>
</sst>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1" formatCode="_ * #,##0_ ;_ * \-#,##0_ ;_ *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_ ;_ * \-#,##0_ ;_ * &quot;-&quot;??_ ;_ @_ "/>
    <numFmt numFmtId="198" formatCode="#,##0.00_ "/>
    <numFmt numFmtId="199" formatCode="0.00000000000000%"/>
  </numFmts>
  <fonts count="305">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9"/>
      <color theme="1"/>
      <name val="宋体"/>
      <family val="3"/>
      <charset val="134"/>
      <scheme val="minor"/>
    </font>
    <font>
      <sz val="10"/>
      <color theme="1"/>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sz val="10"/>
      <color theme="9" tint="-0.249977111117893"/>
      <name val="Arial"/>
      <family val="3"/>
      <charset val="134"/>
    </font>
    <font>
      <u/>
      <sz val="11"/>
      <color theme="10"/>
      <name val="宋体"/>
      <family val="3"/>
      <charset val="134"/>
      <scheme val="minor"/>
    </font>
    <font>
      <sz val="11"/>
      <color rgb="FFFF0000"/>
      <name val="宋体"/>
      <family val="2"/>
      <scheme val="minor"/>
    </font>
    <font>
      <sz val="11"/>
      <color rgb="FFFF0000"/>
      <name val="宋体"/>
      <family val="3"/>
      <charset val="134"/>
      <scheme val="minor"/>
    </font>
    <font>
      <sz val="9"/>
      <color rgb="FF000000"/>
      <name val="华文细黑"/>
      <family val="3"/>
      <charset val="134"/>
    </font>
    <font>
      <sz val="9"/>
      <color rgb="FF000000"/>
      <name val="Arial"/>
      <family val="2"/>
    </font>
    <font>
      <sz val="9"/>
      <color rgb="FF333333"/>
      <name val="黑体"/>
      <family val="3"/>
      <charset val="134"/>
    </font>
    <font>
      <sz val="9"/>
      <color rgb="FFFF0000"/>
      <name val="华文细黑"/>
      <family val="3"/>
      <charset val="134"/>
    </font>
    <font>
      <sz val="11"/>
      <color theme="1"/>
      <name val="宋体"/>
      <family val="3"/>
      <charset val="134"/>
      <scheme val="minor"/>
    </font>
    <font>
      <sz val="11"/>
      <color rgb="FF000000"/>
      <name val="宋体"/>
      <family val="2"/>
      <charset val="134"/>
    </font>
    <font>
      <sz val="11"/>
      <name val="宋体"/>
      <family val="2"/>
      <charset val="134"/>
    </font>
    <font>
      <b/>
      <sz val="11"/>
      <color rgb="FFFFFFFF"/>
      <name val="Arial Unicode MS"/>
      <family val="2"/>
    </font>
    <font>
      <sz val="11"/>
      <color theme="1"/>
      <name val="Arial Unicode MS"/>
      <family val="2"/>
    </font>
    <font>
      <sz val="11"/>
      <name val="Arial Unicode MS"/>
      <family val="2"/>
    </font>
    <font>
      <sz val="11"/>
      <color rgb="FFFF0000"/>
      <name val="Arial Unicode MS"/>
      <family val="2"/>
    </font>
    <font>
      <sz val="11"/>
      <color rgb="FFFF0000"/>
      <name val="微软雅黑"/>
      <family val="2"/>
      <charset val="134"/>
    </font>
    <font>
      <sz val="11"/>
      <name val="微软雅黑"/>
      <family val="2"/>
      <charset val="134"/>
    </font>
    <font>
      <sz val="10"/>
      <color theme="9" tint="-0.249977111117893"/>
      <name val="宋体"/>
      <family val="2"/>
      <charset val="134"/>
    </font>
    <font>
      <sz val="11"/>
      <name val="Arial"/>
      <family val="2"/>
      <charset val="134"/>
    </font>
    <font>
      <sz val="9"/>
      <name val="宋体"/>
      <family val="2"/>
      <charset val="134"/>
      <scheme val="minor"/>
    </font>
    <font>
      <sz val="9"/>
      <color rgb="FF999999"/>
      <name val="Tahoma"/>
      <family val="2"/>
    </font>
    <font>
      <sz val="9"/>
      <color rgb="FF666666"/>
      <name val="Tahoma"/>
      <family val="2"/>
    </font>
    <font>
      <sz val="9"/>
      <color rgb="FFFF5256"/>
      <name val="Arial"/>
      <family val="2"/>
    </font>
    <font>
      <sz val="9"/>
      <color rgb="FF55A500"/>
      <name val="Arial"/>
      <family val="2"/>
    </font>
    <font>
      <sz val="10.5"/>
      <color rgb="FF000000"/>
      <name val="华文细黑"/>
      <family val="3"/>
      <charset val="134"/>
    </font>
    <font>
      <sz val="10.5"/>
      <color rgb="FF000000"/>
      <name val="Arial"/>
      <family val="2"/>
    </font>
    <font>
      <sz val="11"/>
      <name val="宋体"/>
      <family val="3"/>
      <charset val="134"/>
      <scheme val="minor"/>
    </font>
    <font>
      <sz val="11"/>
      <color theme="9" tint="-0.249977111117893"/>
      <name val="宋体"/>
      <family val="2"/>
      <charset val="134"/>
    </font>
    <font>
      <sz val="10.5"/>
      <color rgb="FFFF0000"/>
      <name val="华文细黑"/>
      <family val="3"/>
      <charset val="134"/>
    </font>
    <font>
      <sz val="10.5"/>
      <name val="华文细黑"/>
      <family val="3"/>
      <charset val="134"/>
    </font>
    <font>
      <b/>
      <sz val="11"/>
      <color rgb="FFFF0000"/>
      <name val="Arial Unicode MS"/>
      <family val="2"/>
    </font>
    <font>
      <sz val="11"/>
      <color rgb="FFFF0000"/>
      <name val="Arial Unicode MS"/>
      <family val="2"/>
      <charset val="134"/>
    </font>
    <font>
      <sz val="11"/>
      <color rgb="FFFF0000"/>
      <name val="宋体"/>
      <family val="2"/>
      <charset val="134"/>
    </font>
    <font>
      <b/>
      <sz val="9"/>
      <color rgb="FF000000"/>
      <name val="宋体"/>
      <family val="3"/>
      <charset val="134"/>
    </font>
    <font>
      <sz val="9"/>
      <color rgb="FF000000"/>
      <name val="宋体"/>
      <family val="3"/>
      <charset val="134"/>
    </font>
    <font>
      <sz val="11"/>
      <color theme="9" tint="-0.249977111117893"/>
      <name val="Arial"/>
      <family val="3"/>
      <charset val="134"/>
    </font>
  </fonts>
  <fills count="3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66CCFF"/>
        <bgColor indexed="64"/>
      </patternFill>
    </fill>
    <fill>
      <patternFill patternType="solid">
        <fgColor indexed="51"/>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rgb="FFC00000"/>
        <bgColor indexed="64"/>
      </patternFill>
    </fill>
    <fill>
      <patternFill patternType="solid">
        <fgColor theme="8" tint="0.79998168889431442"/>
        <bgColor indexed="64"/>
      </patternFill>
    </fill>
    <fill>
      <patternFill patternType="solid">
        <fgColor rgb="FFF8F8F8"/>
        <bgColor indexed="64"/>
      </patternFill>
    </fill>
    <fill>
      <patternFill patternType="solid">
        <fgColor rgb="FFC5D9F1"/>
        <bgColor indexed="64"/>
      </patternFill>
    </fill>
    <fill>
      <patternFill patternType="solid">
        <fgColor rgb="FFFDE9D9"/>
        <bgColor indexed="64"/>
      </patternFill>
    </fill>
    <fill>
      <patternFill patternType="solid">
        <fgColor rgb="FFE2EFD9"/>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3" tint="0.79998168889431442"/>
        <bgColor rgb="FF000000"/>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s>
  <cellStyleXfs count="20">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7"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xf numFmtId="0" fontId="270" fillId="0" borderId="0" applyNumberFormat="0" applyFill="0" applyBorder="0" applyAlignment="0" applyProtection="0">
      <alignment vertical="center"/>
    </xf>
    <xf numFmtId="43" fontId="277" fillId="0" borderId="0" applyFont="0" applyFill="0" applyBorder="0" applyAlignment="0" applyProtection="0">
      <alignment vertical="center"/>
    </xf>
    <xf numFmtId="9" fontId="277" fillId="0" borderId="0" applyFont="0" applyFill="0" applyBorder="0" applyAlignment="0" applyProtection="0">
      <alignment vertical="center"/>
    </xf>
  </cellStyleXfs>
  <cellXfs count="3965">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29"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3"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3" fillId="0" borderId="24" xfId="0" applyFont="1" applyFill="1" applyBorder="1" applyAlignment="1">
      <alignment horizontal="center" vertical="center"/>
    </xf>
    <xf numFmtId="0" fontId="129" fillId="0" borderId="1" xfId="0" applyFont="1" applyFill="1" applyBorder="1" applyAlignment="1">
      <alignment horizontal="center" vertical="center" wrapText="1"/>
    </xf>
    <xf numFmtId="0" fontId="38" fillId="0" borderId="1" xfId="0" applyFont="1" applyFill="1" applyBorder="1" applyAlignment="1">
      <alignment vertical="center"/>
    </xf>
    <xf numFmtId="0" fontId="129" fillId="0" borderId="24" xfId="0" applyFont="1" applyFill="1" applyBorder="1" applyAlignment="1">
      <alignment horizontal="center" vertical="center"/>
    </xf>
    <xf numFmtId="0" fontId="129" fillId="0" borderId="1" xfId="0" applyFont="1" applyBorder="1" applyAlignment="1">
      <alignment horizontal="center" vertical="center"/>
    </xf>
    <xf numFmtId="9" fontId="129" fillId="0" borderId="1" xfId="0" applyNumberFormat="1" applyFont="1" applyBorder="1" applyAlignment="1">
      <alignment horizontal="center" vertical="center"/>
    </xf>
    <xf numFmtId="0" fontId="143" fillId="0" borderId="32" xfId="0" applyFont="1" applyFill="1" applyBorder="1" applyAlignment="1">
      <alignment horizontal="center" vertical="center"/>
    </xf>
    <xf numFmtId="9" fontId="143" fillId="0" borderId="32" xfId="0" applyNumberFormat="1" applyFont="1" applyFill="1" applyBorder="1" applyAlignment="1">
      <alignment horizontal="center" vertical="center"/>
    </xf>
    <xf numFmtId="177" fontId="143"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3"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4"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9" fillId="0" borderId="0" xfId="0" applyFont="1" applyProtection="1">
      <alignment vertical="center"/>
      <protection locked="0"/>
    </xf>
    <xf numFmtId="0" fontId="208"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09" fillId="0" borderId="0" xfId="0" applyFont="1" applyAlignment="1">
      <alignment vertical="center"/>
    </xf>
    <xf numFmtId="0" fontId="137"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7" fillId="0" borderId="0" xfId="0" applyFont="1" applyFill="1" applyAlignment="1">
      <alignment vertical="center" wrapText="1"/>
    </xf>
    <xf numFmtId="0" fontId="209"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3" fillId="5" borderId="0" xfId="0" applyFont="1" applyFill="1" applyProtection="1">
      <alignment vertical="center"/>
      <protection locked="0"/>
    </xf>
    <xf numFmtId="0" fontId="103" fillId="0" borderId="0" xfId="0" applyFont="1" applyProtection="1">
      <alignment vertical="center"/>
      <protection locked="0"/>
    </xf>
    <xf numFmtId="0" fontId="209"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09"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0" fontId="138"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3" borderId="126" xfId="16" applyFont="1" applyFill="1" applyBorder="1" applyAlignment="1" applyProtection="1">
      <alignment horizontal="left" vertical="center" wrapText="1"/>
    </xf>
    <xf numFmtId="0" fontId="150" fillId="13"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6" borderId="0" xfId="9" applyFont="1" applyFill="1" applyAlignment="1">
      <alignment horizontal="left" vertical="center"/>
    </xf>
    <xf numFmtId="0" fontId="103" fillId="16" borderId="0" xfId="10" applyFont="1" applyFill="1" applyAlignment="1" applyProtection="1">
      <alignment horizontal="left" vertical="center"/>
    </xf>
    <xf numFmtId="0" fontId="23" fillId="16" borderId="0" xfId="10" applyFont="1" applyFill="1" applyAlignment="1" applyProtection="1">
      <alignment horizontal="left" vertical="center"/>
    </xf>
    <xf numFmtId="0" fontId="107" fillId="16" borderId="121" xfId="9" applyFont="1" applyFill="1" applyBorder="1" applyAlignment="1">
      <alignment horizontal="left" vertical="center"/>
    </xf>
    <xf numFmtId="0" fontId="107" fillId="16" borderId="0" xfId="9" applyFont="1" applyFill="1" applyBorder="1" applyAlignment="1">
      <alignment horizontal="left" vertical="center"/>
    </xf>
    <xf numFmtId="0" fontId="151" fillId="16" borderId="0" xfId="9" applyFont="1" applyFill="1" applyBorder="1" applyAlignment="1" applyProtection="1">
      <alignment horizontal="left" vertical="center"/>
      <protection locked="0"/>
    </xf>
    <xf numFmtId="0" fontId="107" fillId="16" borderId="0" xfId="9" applyFont="1" applyFill="1" applyAlignment="1">
      <alignment horizontal="left" vertical="center"/>
    </xf>
    <xf numFmtId="0" fontId="143" fillId="16" borderId="0" xfId="9" applyFont="1" applyFill="1" applyAlignment="1">
      <alignment horizontal="left" vertical="center"/>
    </xf>
    <xf numFmtId="0" fontId="104" fillId="16" borderId="0" xfId="9" applyFont="1" applyFill="1" applyAlignment="1">
      <alignment horizontal="left" vertical="center"/>
    </xf>
    <xf numFmtId="10" fontId="104" fillId="16"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4" borderId="1" xfId="9" applyNumberFormat="1" applyFont="1" applyFill="1" applyBorder="1" applyAlignment="1" applyProtection="1">
      <alignment horizontal="left" vertical="center" wrapText="1"/>
    </xf>
    <xf numFmtId="186" fontId="151" fillId="14" borderId="0" xfId="9" applyNumberFormat="1" applyFont="1" applyFill="1" applyAlignment="1">
      <alignment horizontal="left" vertical="center"/>
    </xf>
    <xf numFmtId="0" fontId="150" fillId="12" borderId="125" xfId="9" applyFont="1" applyFill="1" applyBorder="1" applyAlignment="1" applyProtection="1">
      <alignment horizontal="left" vertical="center" wrapText="1"/>
    </xf>
    <xf numFmtId="0" fontId="150" fillId="14" borderId="126" xfId="9" applyFont="1" applyFill="1" applyBorder="1" applyAlignment="1" applyProtection="1">
      <alignment horizontal="left" vertical="center" wrapText="1"/>
    </xf>
    <xf numFmtId="0" fontId="151" fillId="14" borderId="0" xfId="9" applyFont="1" applyFill="1" applyBorder="1" applyAlignment="1" applyProtection="1">
      <alignment horizontal="left" vertical="center"/>
      <protection locked="0"/>
    </xf>
    <xf numFmtId="0" fontId="107" fillId="14" borderId="0" xfId="9" applyFont="1" applyFill="1" applyAlignment="1">
      <alignment horizontal="left" vertical="center"/>
    </xf>
    <xf numFmtId="10" fontId="151" fillId="14" borderId="128" xfId="9" applyNumberFormat="1" applyFont="1" applyFill="1" applyBorder="1" applyAlignment="1">
      <alignment horizontal="left" vertical="center"/>
    </xf>
    <xf numFmtId="0" fontId="107" fillId="14" borderId="121" xfId="9" applyFont="1" applyFill="1" applyBorder="1" applyAlignment="1">
      <alignment horizontal="left" vertical="center"/>
    </xf>
    <xf numFmtId="0" fontId="119" fillId="5" borderId="0" xfId="9" applyFont="1" applyFill="1" applyAlignment="1">
      <alignment horizontal="left" vertical="center"/>
    </xf>
    <xf numFmtId="0" fontId="104" fillId="14" borderId="0" xfId="9" applyFont="1" applyFill="1" applyAlignment="1">
      <alignment horizontal="left" vertical="center"/>
    </xf>
    <xf numFmtId="10" fontId="104" fillId="14"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3"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4" borderId="0" xfId="9" applyFont="1" applyFill="1" applyAlignment="1">
      <alignment horizontal="left" vertical="center"/>
    </xf>
    <xf numFmtId="0" fontId="150" fillId="13" borderId="130" xfId="9" applyFont="1" applyFill="1" applyBorder="1" applyAlignment="1" applyProtection="1">
      <alignment horizontal="left" vertical="center" wrapText="1"/>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86" fontId="107" fillId="12" borderId="123" xfId="9" applyNumberFormat="1" applyFont="1" applyFill="1" applyBorder="1" applyAlignment="1" applyProtection="1">
      <alignment horizontal="left" vertical="center" wrapText="1"/>
    </xf>
    <xf numFmtId="186" fontId="107" fillId="12" borderId="129" xfId="9" applyNumberFormat="1" applyFont="1" applyFill="1" applyBorder="1" applyAlignment="1" applyProtection="1">
      <alignment horizontal="left" vertical="center" wrapText="1"/>
    </xf>
    <xf numFmtId="0" fontId="150" fillId="12" borderId="126" xfId="9" applyFont="1" applyFill="1" applyBorder="1" applyAlignment="1" applyProtection="1">
      <alignment horizontal="left" vertical="center" wrapText="1"/>
    </xf>
    <xf numFmtId="0" fontId="150" fillId="12" borderId="130" xfId="9" applyFont="1" applyFill="1" applyBorder="1" applyAlignment="1" applyProtection="1">
      <alignment horizontal="left" vertical="center" wrapText="1"/>
    </xf>
    <xf numFmtId="186" fontId="107" fillId="12" borderId="123" xfId="9" applyNumberFormat="1" applyFont="1" applyFill="1" applyBorder="1" applyAlignment="1">
      <alignment horizontal="left" vertical="center" wrapText="1"/>
    </xf>
    <xf numFmtId="186" fontId="107" fillId="12"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2" borderId="132" xfId="9" applyFont="1" applyFill="1" applyBorder="1" applyAlignment="1" applyProtection="1">
      <alignment horizontal="left" vertical="center" wrapText="1"/>
    </xf>
    <xf numFmtId="0" fontId="150" fillId="12"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3" borderId="123" xfId="9" applyFont="1" applyFill="1" applyBorder="1" applyAlignment="1" applyProtection="1">
      <alignment horizontal="left" vertical="center" wrapText="1"/>
    </xf>
    <xf numFmtId="0" fontId="150" fillId="13"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2" borderId="126" xfId="9" applyNumberFormat="1" applyFont="1" applyFill="1" applyBorder="1" applyAlignment="1">
      <alignment horizontal="left" vertical="center" wrapText="1"/>
    </xf>
    <xf numFmtId="186" fontId="107" fillId="12" borderId="135" xfId="9" applyNumberFormat="1" applyFont="1" applyFill="1" applyBorder="1" applyAlignment="1">
      <alignment horizontal="left" vertical="center" wrapText="1"/>
    </xf>
    <xf numFmtId="0" fontId="104" fillId="13" borderId="123" xfId="9" applyFont="1" applyFill="1" applyBorder="1" applyAlignment="1" applyProtection="1">
      <alignment horizontal="left" vertical="center" wrapText="1"/>
    </xf>
    <xf numFmtId="0" fontId="104" fillId="13"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2" borderId="132" xfId="9" applyFont="1" applyFill="1" applyBorder="1" applyAlignment="1" applyProtection="1">
      <alignment horizontal="left" vertical="center" wrapText="1"/>
    </xf>
    <xf numFmtId="0" fontId="104" fillId="12"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2" borderId="132" xfId="9" applyNumberFormat="1" applyFont="1" applyFill="1" applyBorder="1" applyAlignment="1">
      <alignment horizontal="left" vertical="center" wrapText="1"/>
    </xf>
    <xf numFmtId="186" fontId="107" fillId="12" borderId="136" xfId="9" applyNumberFormat="1" applyFont="1" applyFill="1" applyBorder="1" applyAlignment="1">
      <alignment horizontal="left" vertical="center" wrapText="1"/>
    </xf>
    <xf numFmtId="186" fontId="104" fillId="14"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3" borderId="137" xfId="9" applyFont="1" applyFill="1" applyBorder="1" applyAlignment="1" applyProtection="1">
      <alignment horizontal="left" vertical="center" wrapText="1"/>
    </xf>
    <xf numFmtId="0" fontId="150" fillId="13"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2" borderId="140" xfId="9" applyFont="1" applyFill="1" applyBorder="1" applyAlignment="1" applyProtection="1">
      <alignment horizontal="left" vertical="center" wrapText="1"/>
    </xf>
    <xf numFmtId="0" fontId="150" fillId="12" borderId="141" xfId="9" applyFont="1" applyFill="1" applyBorder="1" applyAlignment="1" applyProtection="1">
      <alignment horizontal="left" vertical="center" wrapText="1"/>
    </xf>
    <xf numFmtId="10" fontId="104" fillId="15" borderId="121" xfId="9" applyNumberFormat="1" applyFont="1" applyFill="1" applyBorder="1" applyAlignment="1">
      <alignment horizontal="left" vertical="center"/>
    </xf>
    <xf numFmtId="10" fontId="104" fillId="15"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5" borderId="128" xfId="9" applyNumberFormat="1" applyFont="1" applyFill="1" applyBorder="1" applyAlignment="1">
      <alignment horizontal="left" vertical="center"/>
    </xf>
    <xf numFmtId="10" fontId="104" fillId="15" borderId="60" xfId="9" applyNumberFormat="1" applyFont="1" applyFill="1" applyBorder="1" applyAlignment="1">
      <alignment horizontal="left" vertical="center"/>
    </xf>
    <xf numFmtId="10" fontId="104" fillId="15" borderId="139" xfId="9" applyNumberFormat="1" applyFont="1" applyFill="1" applyBorder="1" applyAlignment="1">
      <alignment horizontal="left" vertical="center"/>
    </xf>
    <xf numFmtId="10" fontId="104" fillId="15"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3" borderId="142" xfId="9" applyFont="1" applyFill="1" applyBorder="1" applyAlignment="1">
      <alignment horizontal="left" vertical="center" wrapText="1"/>
    </xf>
    <xf numFmtId="0" fontId="107" fillId="13"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5" borderId="0" xfId="9" applyNumberFormat="1" applyFont="1" applyFill="1" applyAlignment="1">
      <alignment horizontal="left" vertical="center"/>
    </xf>
    <xf numFmtId="0" fontId="150" fillId="13" borderId="132" xfId="9" applyFont="1" applyFill="1" applyBorder="1" applyAlignment="1" applyProtection="1">
      <alignment horizontal="left" vertical="center" wrapText="1"/>
    </xf>
    <xf numFmtId="0" fontId="107" fillId="12" borderId="132" xfId="9" applyFont="1" applyFill="1" applyBorder="1" applyAlignment="1">
      <alignment horizontal="left" vertical="center" wrapText="1"/>
    </xf>
    <xf numFmtId="0" fontId="107" fillId="12"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2" borderId="144" xfId="9" applyFont="1" applyFill="1" applyBorder="1" applyAlignment="1">
      <alignment horizontal="left" vertical="center" wrapText="1"/>
    </xf>
    <xf numFmtId="0" fontId="107" fillId="12" borderId="145" xfId="9" applyFont="1" applyFill="1" applyBorder="1" applyAlignment="1">
      <alignment horizontal="left" vertical="center" wrapText="1"/>
    </xf>
    <xf numFmtId="0" fontId="107" fillId="12"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3" borderId="147" xfId="9" applyFont="1" applyFill="1" applyBorder="1" applyAlignment="1">
      <alignment horizontal="left" vertical="center" wrapText="1"/>
    </xf>
    <xf numFmtId="0" fontId="150" fillId="13" borderId="123"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3" borderId="148" xfId="9" applyFont="1" applyFill="1" applyBorder="1" applyAlignment="1">
      <alignment horizontal="left" vertical="center" wrapText="1"/>
    </xf>
    <xf numFmtId="0" fontId="150" fillId="13" borderId="126" xfId="9" applyFont="1" applyFill="1" applyBorder="1" applyAlignment="1">
      <alignment horizontal="left" vertical="center" wrapText="1"/>
    </xf>
    <xf numFmtId="0" fontId="150" fillId="12" borderId="149" xfId="9" applyFont="1" applyFill="1" applyBorder="1" applyAlignment="1">
      <alignment horizontal="left" vertical="center" wrapText="1"/>
    </xf>
    <xf numFmtId="0" fontId="150" fillId="12"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9" borderId="0" xfId="0" applyFont="1" applyFill="1" applyAlignment="1" applyProtection="1">
      <alignment horizontal="left" vertical="center"/>
    </xf>
    <xf numFmtId="10" fontId="50" fillId="19" borderId="0" xfId="0" applyNumberFormat="1" applyFont="1" applyFill="1" applyAlignment="1" applyProtection="1">
      <alignment horizontal="left" vertical="center"/>
    </xf>
    <xf numFmtId="0" fontId="50" fillId="19" borderId="0" xfId="0" applyFont="1" applyFill="1" applyAlignment="1" applyProtection="1">
      <alignment horizontal="left" vertical="center"/>
    </xf>
    <xf numFmtId="0" fontId="80" fillId="19" borderId="0" xfId="0" applyFont="1" applyFill="1" applyProtection="1">
      <alignment vertical="center"/>
    </xf>
    <xf numFmtId="0" fontId="80" fillId="19" borderId="3" xfId="0" applyFont="1" applyFill="1" applyBorder="1" applyAlignment="1" applyProtection="1">
      <alignment horizontal="left" vertical="center" wrapText="1"/>
      <protection locked="0"/>
    </xf>
    <xf numFmtId="181" fontId="50" fillId="19" borderId="48" xfId="0" applyNumberFormat="1" applyFont="1" applyFill="1" applyBorder="1" applyAlignment="1" applyProtection="1">
      <alignment horizontal="center" vertical="center" wrapText="1"/>
    </xf>
    <xf numFmtId="0" fontId="50" fillId="19" borderId="1" xfId="0" applyFont="1" applyFill="1" applyBorder="1" applyAlignment="1" applyProtection="1">
      <alignment horizontal="center" vertical="center"/>
    </xf>
    <xf numFmtId="10" fontId="57" fillId="19" borderId="5" xfId="1" applyNumberFormat="1" applyFont="1" applyFill="1" applyBorder="1" applyAlignment="1" applyProtection="1">
      <alignment horizontal="center"/>
    </xf>
    <xf numFmtId="10" fontId="57" fillId="19" borderId="5" xfId="1" applyNumberFormat="1" applyFont="1" applyFill="1" applyBorder="1" applyAlignment="1" applyProtection="1">
      <alignment horizontal="center" vertical="center"/>
    </xf>
    <xf numFmtId="9" fontId="57" fillId="19" borderId="5" xfId="1" applyNumberFormat="1" applyFont="1" applyFill="1" applyBorder="1" applyAlignment="1" applyProtection="1">
      <alignment horizontal="center" vertical="center"/>
    </xf>
    <xf numFmtId="0" fontId="57" fillId="19" borderId="68" xfId="0" applyNumberFormat="1" applyFont="1" applyFill="1" applyBorder="1" applyAlignment="1" applyProtection="1">
      <alignment horizontal="left" vertical="center" wrapText="1"/>
      <protection locked="0"/>
    </xf>
    <xf numFmtId="181" fontId="53" fillId="19" borderId="68" xfId="0" applyNumberFormat="1" applyFont="1" applyFill="1" applyBorder="1" applyAlignment="1" applyProtection="1">
      <alignment horizontal="left" vertical="center" wrapText="1"/>
      <protection locked="0"/>
    </xf>
    <xf numFmtId="176" fontId="54" fillId="19"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9"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50"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84" fontId="125" fillId="0" borderId="1" xfId="0" applyNumberFormat="1" applyFont="1" applyFill="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8"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7"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50"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7"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7"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7"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7"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7"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7"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9" borderId="33" xfId="0" applyFont="1" applyFill="1" applyBorder="1" applyAlignment="1" applyProtection="1">
      <alignment horizontal="left" vertical="center"/>
    </xf>
    <xf numFmtId="0" fontId="50" fillId="19" borderId="32" xfId="0" applyFont="1" applyFill="1" applyBorder="1" applyAlignment="1" applyProtection="1">
      <alignment horizontal="left" vertical="center" wrapText="1"/>
    </xf>
    <xf numFmtId="10" fontId="50" fillId="19"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9"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7" borderId="15" xfId="0" applyNumberFormat="1" applyFont="1" applyFill="1" applyBorder="1" applyAlignment="1" applyProtection="1">
      <alignment vertical="center" wrapText="1"/>
    </xf>
    <xf numFmtId="0" fontId="50" fillId="17"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3" borderId="0" xfId="0" applyFont="1" applyFill="1" applyProtection="1">
      <alignment vertical="center"/>
      <protection locked="0"/>
    </xf>
    <xf numFmtId="0" fontId="47" fillId="13" borderId="0" xfId="0" applyFont="1" applyFill="1" applyBorder="1" applyProtection="1">
      <alignment vertical="center"/>
      <protection locked="0"/>
    </xf>
    <xf numFmtId="0" fontId="47" fillId="13" borderId="0" xfId="0" applyFont="1" applyFill="1" applyAlignment="1" applyProtection="1">
      <alignment horizontal="center" vertical="center"/>
      <protection locked="0"/>
    </xf>
    <xf numFmtId="0" fontId="50" fillId="13" borderId="0" xfId="0"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protection locked="0"/>
    </xf>
    <xf numFmtId="0" fontId="50" fillId="13" borderId="0" xfId="0" applyFont="1" applyFill="1" applyAlignment="1" applyProtection="1">
      <alignment vertical="center" wrapText="1"/>
      <protection locked="0"/>
    </xf>
    <xf numFmtId="0" fontId="50"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50" fillId="13" borderId="60" xfId="0" applyFont="1" applyFill="1" applyBorder="1" applyAlignment="1" applyProtection="1">
      <alignment vertical="center" wrapText="1"/>
    </xf>
    <xf numFmtId="0" fontId="50" fillId="13" borderId="60" xfId="0" applyFont="1" applyFill="1" applyBorder="1" applyAlignment="1" applyProtection="1">
      <alignment horizontal="center" vertical="center" wrapText="1"/>
    </xf>
    <xf numFmtId="0" fontId="50" fillId="13" borderId="7" xfId="0" applyFont="1" applyFill="1" applyBorder="1" applyAlignment="1" applyProtection="1">
      <alignment vertical="center" wrapText="1"/>
    </xf>
    <xf numFmtId="0" fontId="50" fillId="13" borderId="1" xfId="0" applyNumberFormat="1" applyFont="1" applyFill="1" applyBorder="1" applyAlignment="1" applyProtection="1">
      <alignment horizontal="center" vertical="center" wrapText="1"/>
      <protection locked="0"/>
    </xf>
    <xf numFmtId="0" fontId="50" fillId="13" borderId="78" xfId="0" applyNumberFormat="1"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xf>
    <xf numFmtId="0" fontId="50" fillId="13" borderId="0" xfId="0" applyFont="1" applyFill="1" applyAlignment="1" applyProtection="1">
      <alignment vertical="center"/>
      <protection locked="0"/>
    </xf>
    <xf numFmtId="0" fontId="50" fillId="13" borderId="0" xfId="0" applyFont="1" applyFill="1" applyAlignment="1" applyProtection="1">
      <alignment horizontal="center" vertical="center"/>
      <protection locked="0"/>
    </xf>
    <xf numFmtId="0" fontId="47" fillId="13" borderId="0" xfId="0" applyFont="1" applyFill="1" applyAlignment="1" applyProtection="1">
      <alignment vertical="center"/>
      <protection locked="0"/>
    </xf>
    <xf numFmtId="0" fontId="47" fillId="13" borderId="0" xfId="0" applyFont="1" applyFill="1" applyBorder="1" applyAlignment="1" applyProtection="1">
      <alignment vertical="center"/>
      <protection locked="0"/>
    </xf>
    <xf numFmtId="179" fontId="50" fillId="13" borderId="0" xfId="0" applyNumberFormat="1" applyFont="1" applyFill="1" applyAlignment="1" applyProtection="1">
      <alignment vertical="center"/>
      <protection locked="0"/>
    </xf>
    <xf numFmtId="179" fontId="47" fillId="13" borderId="0" xfId="0" applyNumberFormat="1" applyFont="1" applyFill="1" applyAlignment="1" applyProtection="1">
      <alignment vertical="center"/>
      <protection locked="0"/>
    </xf>
    <xf numFmtId="0" fontId="47" fillId="13" borderId="67" xfId="0" applyFont="1" applyFill="1" applyBorder="1" applyAlignment="1" applyProtection="1">
      <alignment horizontal="center" vertical="center"/>
      <protection locked="0"/>
    </xf>
    <xf numFmtId="0" fontId="105" fillId="13" borderId="0" xfId="0" applyFont="1" applyFill="1" applyAlignment="1" applyProtection="1">
      <alignment horizontal="left" vertical="center"/>
      <protection locked="0"/>
    </xf>
    <xf numFmtId="179" fontId="47" fillId="13" borderId="0" xfId="0" applyNumberFormat="1"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0" fontId="119" fillId="13" borderId="0" xfId="0" applyFont="1" applyFill="1" applyAlignment="1" applyProtection="1">
      <alignment vertical="center"/>
      <protection locked="0"/>
    </xf>
    <xf numFmtId="0" fontId="50" fillId="13" borderId="0" xfId="0" applyFont="1" applyFill="1" applyAlignment="1" applyProtection="1">
      <alignment vertical="center"/>
    </xf>
    <xf numFmtId="181" fontId="103" fillId="13" borderId="0" xfId="0" applyNumberFormat="1" applyFont="1" applyFill="1" applyAlignment="1" applyProtection="1">
      <alignment horizontal="center" vertical="center"/>
    </xf>
    <xf numFmtId="179" fontId="105" fillId="13" borderId="0" xfId="0" applyNumberFormat="1" applyFont="1" applyFill="1" applyAlignment="1" applyProtection="1">
      <alignment vertical="center"/>
      <protection locked="0"/>
    </xf>
    <xf numFmtId="0" fontId="47"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3" borderId="0" xfId="0" applyFont="1" applyFill="1">
      <alignment vertical="center"/>
    </xf>
    <xf numFmtId="0" fontId="217" fillId="13" borderId="0" xfId="0" applyFont="1" applyFill="1" applyBorder="1">
      <alignment vertical="center"/>
    </xf>
    <xf numFmtId="0" fontId="103" fillId="13" borderId="0" xfId="0" applyFont="1" applyFill="1" applyBorder="1">
      <alignment vertical="center"/>
    </xf>
    <xf numFmtId="0" fontId="103" fillId="13" borderId="47" xfId="0" applyFont="1" applyFill="1" applyBorder="1">
      <alignment vertical="center"/>
    </xf>
    <xf numFmtId="0" fontId="103" fillId="13" borderId="56" xfId="0" applyFont="1" applyFill="1" applyBorder="1" applyProtection="1">
      <alignment vertical="center"/>
    </xf>
    <xf numFmtId="0" fontId="60" fillId="13" borderId="18" xfId="1" applyFont="1" applyFill="1" applyBorder="1" applyAlignment="1" applyProtection="1">
      <alignment vertical="center"/>
    </xf>
    <xf numFmtId="181" fontId="60" fillId="13" borderId="0" xfId="0" applyNumberFormat="1" applyFont="1" applyFill="1" applyBorder="1" applyAlignment="1" applyProtection="1">
      <alignment vertical="center"/>
      <protection locked="0"/>
    </xf>
    <xf numFmtId="0" fontId="60"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horizontal="center" vertical="center" wrapText="1"/>
      <protection locked="0"/>
    </xf>
    <xf numFmtId="0" fontId="47" fillId="13" borderId="0" xfId="0" applyFont="1" applyFill="1" applyBorder="1" applyAlignment="1" applyProtection="1">
      <alignment horizontal="center" vertical="center"/>
      <protection locked="0"/>
    </xf>
    <xf numFmtId="181" fontId="70" fillId="13" borderId="0" xfId="0" applyNumberFormat="1" applyFont="1" applyFill="1" applyBorder="1" applyAlignment="1" applyProtection="1">
      <alignment horizontal="center" vertical="center" wrapText="1"/>
      <protection locked="0"/>
    </xf>
    <xf numFmtId="0" fontId="70" fillId="13" borderId="0" xfId="0" applyFont="1" applyFill="1" applyBorder="1" applyAlignment="1" applyProtection="1">
      <alignment horizontal="center" vertical="center"/>
      <protection locked="0"/>
    </xf>
    <xf numFmtId="181" fontId="52" fillId="13" borderId="0" xfId="0" applyNumberFormat="1" applyFont="1" applyFill="1" applyBorder="1" applyAlignment="1" applyProtection="1">
      <alignment horizontal="center" vertical="center" wrapText="1"/>
      <protection locked="0"/>
    </xf>
    <xf numFmtId="181" fontId="71" fillId="13" borderId="0" xfId="0" applyNumberFormat="1"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protection locked="0"/>
    </xf>
    <xf numFmtId="181" fontId="54" fillId="13" borderId="0" xfId="0" applyNumberFormat="1" applyFont="1" applyFill="1" applyBorder="1" applyAlignment="1" applyProtection="1">
      <alignment vertical="center" wrapText="1"/>
      <protection locked="0"/>
    </xf>
    <xf numFmtId="0" fontId="54" fillId="13" borderId="0" xfId="0" applyFont="1" applyFill="1" applyAlignment="1" applyProtection="1">
      <alignment horizontal="center" vertical="center"/>
      <protection locked="0"/>
    </xf>
    <xf numFmtId="181" fontId="54" fillId="13" borderId="0" xfId="0" applyNumberFormat="1" applyFont="1" applyFill="1" applyAlignment="1" applyProtection="1">
      <alignment horizontal="center" vertical="center"/>
      <protection locked="0"/>
    </xf>
    <xf numFmtId="181"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9" fontId="54" fillId="13" borderId="0" xfId="0" applyNumberFormat="1" applyFont="1" applyFill="1" applyAlignment="1" applyProtection="1">
      <alignment horizontal="center" vertical="center"/>
      <protection locked="0"/>
    </xf>
    <xf numFmtId="189" fontId="54" fillId="13" borderId="0" xfId="0" applyNumberFormat="1" applyFont="1" applyFill="1" applyAlignment="1" applyProtection="1">
      <alignment horizontal="center" vertical="center"/>
      <protection locked="0"/>
    </xf>
    <xf numFmtId="14" fontId="54" fillId="13" borderId="0" xfId="0" applyNumberFormat="1" applyFont="1" applyFill="1" applyAlignment="1" applyProtection="1">
      <alignment horizontal="center" vertical="center"/>
      <protection locked="0"/>
    </xf>
    <xf numFmtId="176" fontId="54" fillId="13" borderId="0" xfId="0" applyNumberFormat="1" applyFont="1" applyFill="1" applyAlignment="1" applyProtection="1">
      <alignment horizontal="center" vertical="center"/>
      <protection locked="0"/>
    </xf>
    <xf numFmtId="189" fontId="71" fillId="13" borderId="0" xfId="0" applyNumberFormat="1" applyFont="1" applyFill="1" applyAlignment="1" applyProtection="1">
      <alignment horizontal="center" vertical="center"/>
      <protection locked="0"/>
    </xf>
    <xf numFmtId="181" fontId="65" fillId="13" borderId="0" xfId="0" applyNumberFormat="1" applyFont="1" applyFill="1" applyBorder="1" applyAlignment="1" applyProtection="1">
      <alignment vertical="center"/>
      <protection locked="0"/>
    </xf>
    <xf numFmtId="0" fontId="65" fillId="13" borderId="0" xfId="0" applyFont="1" applyFill="1" applyBorder="1" applyAlignment="1" applyProtection="1">
      <alignment horizontal="center" vertical="center"/>
      <protection locked="0"/>
    </xf>
    <xf numFmtId="0" fontId="54" fillId="13" borderId="18" xfId="0" applyFont="1" applyFill="1" applyBorder="1" applyAlignment="1" applyProtection="1">
      <alignment horizontal="center" vertical="center"/>
      <protection locked="0"/>
    </xf>
    <xf numFmtId="0" fontId="71" fillId="13" borderId="18" xfId="0" applyFont="1" applyFill="1" applyBorder="1" applyAlignment="1" applyProtection="1">
      <alignment horizontal="center" vertical="center"/>
      <protection locked="0"/>
    </xf>
    <xf numFmtId="0" fontId="54" fillId="13" borderId="18" xfId="0" applyFont="1" applyFill="1" applyBorder="1" applyAlignment="1" applyProtection="1">
      <protection locked="0"/>
    </xf>
    <xf numFmtId="9" fontId="47" fillId="13" borderId="0" xfId="0" applyNumberFormat="1" applyFont="1" applyFill="1" applyBorder="1" applyAlignment="1" applyProtection="1">
      <alignment horizontal="center" vertical="center" wrapText="1"/>
      <protection locked="0"/>
    </xf>
    <xf numFmtId="49" fontId="47" fillId="13" borderId="18" xfId="0" applyNumberFormat="1" applyFont="1" applyFill="1" applyBorder="1" applyAlignment="1" applyProtection="1">
      <alignment horizontal="center" vertical="center"/>
      <protection locked="0"/>
    </xf>
    <xf numFmtId="49" fontId="47" fillId="13" borderId="0" xfId="0" applyNumberFormat="1" applyFont="1" applyFill="1" applyAlignment="1" applyProtection="1">
      <alignment horizontal="center" vertical="center"/>
      <protection locked="0"/>
    </xf>
    <xf numFmtId="9" fontId="47" fillId="13" borderId="18" xfId="0" applyNumberFormat="1" applyFont="1" applyFill="1" applyBorder="1" applyAlignment="1" applyProtection="1">
      <alignment horizontal="center" vertical="center" wrapText="1"/>
      <protection locked="0"/>
    </xf>
    <xf numFmtId="0" fontId="103" fillId="13" borderId="18" xfId="0" applyFont="1" applyFill="1" applyBorder="1" applyAlignment="1" applyProtection="1">
      <alignment vertical="center"/>
      <protection locked="0"/>
    </xf>
    <xf numFmtId="0" fontId="47" fillId="13" borderId="18" xfId="0" applyFont="1" applyFill="1" applyBorder="1" applyAlignment="1" applyProtection="1">
      <alignment horizontal="center" vertical="center" wrapText="1"/>
      <protection locked="0"/>
    </xf>
    <xf numFmtId="0" fontId="52" fillId="13" borderId="18" xfId="0" applyFont="1" applyFill="1" applyBorder="1" applyAlignment="1" applyProtection="1">
      <alignment horizontal="center" vertical="center" wrapText="1"/>
      <protection locked="0"/>
    </xf>
    <xf numFmtId="9" fontId="52" fillId="13" borderId="0" xfId="0" applyNumberFormat="1" applyFont="1" applyFill="1" applyBorder="1" applyAlignment="1" applyProtection="1">
      <alignment horizontal="center" vertical="center" wrapText="1"/>
      <protection locked="0"/>
    </xf>
    <xf numFmtId="0" fontId="52" fillId="13" borderId="0" xfId="0" applyFont="1" applyFill="1" applyAlignment="1" applyProtection="1">
      <alignment horizontal="center" vertical="center"/>
      <protection locked="0"/>
    </xf>
    <xf numFmtId="0" fontId="52" fillId="13" borderId="18" xfId="0" applyFont="1" applyFill="1" applyBorder="1" applyAlignment="1" applyProtection="1">
      <alignment horizontal="center" vertical="center"/>
      <protection locked="0"/>
    </xf>
    <xf numFmtId="9" fontId="52" fillId="13" borderId="0" xfId="0" applyNumberFormat="1" applyFont="1" applyFill="1" applyBorder="1" applyAlignment="1" applyProtection="1">
      <alignment horizontal="center" vertical="center"/>
      <protection locked="0"/>
    </xf>
    <xf numFmtId="0" fontId="52" fillId="13" borderId="18" xfId="0" applyFont="1" applyFill="1" applyBorder="1" applyAlignment="1" applyProtection="1">
      <alignment vertical="center" wrapText="1"/>
      <protection locked="0"/>
    </xf>
    <xf numFmtId="0" fontId="47" fillId="13" borderId="18" xfId="0" applyFont="1" applyFill="1" applyBorder="1" applyAlignment="1" applyProtection="1">
      <alignment vertical="center" wrapText="1"/>
      <protection locked="0"/>
    </xf>
    <xf numFmtId="0" fontId="47" fillId="13" borderId="0" xfId="0" applyNumberFormat="1" applyFont="1" applyFill="1" applyBorder="1" applyAlignment="1" applyProtection="1">
      <alignment horizontal="center" vertical="center" wrapText="1"/>
      <protection locked="0"/>
    </xf>
    <xf numFmtId="0" fontId="71" fillId="13" borderId="0" xfId="0" applyNumberFormat="1" applyFont="1" applyFill="1" applyBorder="1" applyAlignment="1" applyProtection="1">
      <alignment horizontal="center" vertical="center" wrapText="1"/>
      <protection locked="0"/>
    </xf>
    <xf numFmtId="0" fontId="54" fillId="13" borderId="0" xfId="0" applyNumberFormat="1" applyFont="1" applyFill="1" applyBorder="1" applyAlignment="1" applyProtection="1">
      <alignment horizontal="center" vertical="center" wrapText="1"/>
      <protection locked="0"/>
    </xf>
    <xf numFmtId="0" fontId="52" fillId="13" borderId="0" xfId="0" applyNumberFormat="1" applyFont="1" applyFill="1" applyBorder="1" applyAlignment="1" applyProtection="1">
      <alignment horizontal="center" vertical="center" wrapText="1"/>
      <protection locked="0"/>
    </xf>
    <xf numFmtId="0" fontId="54" fillId="13" borderId="58" xfId="0" applyFont="1" applyFill="1" applyBorder="1" applyAlignment="1" applyProtection="1">
      <alignment horizontal="center" vertical="center"/>
      <protection locked="0"/>
    </xf>
    <xf numFmtId="0" fontId="71" fillId="13" borderId="58" xfId="0" applyFont="1" applyFill="1" applyBorder="1" applyAlignment="1" applyProtection="1">
      <alignment horizontal="center" vertical="center"/>
      <protection locked="0"/>
    </xf>
    <xf numFmtId="0" fontId="54" fillId="13" borderId="58" xfId="0" applyFont="1" applyFill="1" applyBorder="1" applyAlignment="1" applyProtection="1">
      <protection locked="0"/>
    </xf>
    <xf numFmtId="49" fontId="47" fillId="13" borderId="58" xfId="0" applyNumberFormat="1" applyFont="1" applyFill="1" applyBorder="1" applyAlignment="1" applyProtection="1">
      <alignment horizontal="center" vertical="center"/>
      <protection locked="0"/>
    </xf>
    <xf numFmtId="9" fontId="47" fillId="13" borderId="58" xfId="0" applyNumberFormat="1" applyFont="1" applyFill="1" applyBorder="1" applyAlignment="1" applyProtection="1">
      <alignment horizontal="center" vertical="center" wrapText="1"/>
      <protection locked="0"/>
    </xf>
    <xf numFmtId="0" fontId="103" fillId="13" borderId="58" xfId="0" applyFont="1" applyFill="1" applyBorder="1" applyAlignment="1" applyProtection="1">
      <alignment vertical="center"/>
      <protection locked="0"/>
    </xf>
    <xf numFmtId="0" fontId="47"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protection locked="0"/>
    </xf>
    <xf numFmtId="0" fontId="52" fillId="13" borderId="58" xfId="0" applyFont="1" applyFill="1" applyBorder="1" applyAlignment="1" applyProtection="1">
      <alignment vertical="center" wrapText="1"/>
      <protection locked="0"/>
    </xf>
    <xf numFmtId="0" fontId="47" fillId="13" borderId="58" xfId="0" applyFont="1" applyFill="1" applyBorder="1" applyAlignment="1" applyProtection="1">
      <alignment vertical="center" wrapText="1"/>
      <protection locked="0"/>
    </xf>
    <xf numFmtId="0" fontId="54" fillId="13" borderId="58" xfId="0" applyFont="1" applyFill="1" applyBorder="1" applyAlignment="1" applyProtection="1">
      <alignment horizontal="center" vertical="center" wrapText="1"/>
      <protection locked="0"/>
    </xf>
    <xf numFmtId="9" fontId="54" fillId="13" borderId="0" xfId="0" applyNumberFormat="1" applyFont="1" applyFill="1" applyBorder="1" applyAlignment="1" applyProtection="1">
      <alignment horizontal="center" vertical="center" wrapText="1"/>
      <protection locked="0"/>
    </xf>
    <xf numFmtId="0" fontId="54" fillId="13"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3" borderId="35" xfId="0" applyFont="1" applyFill="1" applyBorder="1" applyAlignment="1" applyProtection="1">
      <alignment horizontal="center" vertical="center"/>
      <protection locked="0"/>
    </xf>
    <xf numFmtId="0" fontId="70" fillId="13" borderId="35" xfId="0" applyFont="1" applyFill="1" applyBorder="1" applyAlignment="1" applyProtection="1">
      <alignment horizontal="center" vertical="center"/>
      <protection locked="0"/>
    </xf>
    <xf numFmtId="0" fontId="54" fillId="13" borderId="35" xfId="0" applyFont="1" applyFill="1" applyBorder="1" applyAlignment="1" applyProtection="1">
      <alignment horizontal="center" vertical="center"/>
      <protection locked="0"/>
    </xf>
    <xf numFmtId="0" fontId="52" fillId="13" borderId="35" xfId="0" applyFont="1" applyFill="1" applyBorder="1" applyAlignment="1" applyProtection="1">
      <alignment horizontal="center" vertical="center"/>
      <protection locked="0"/>
    </xf>
    <xf numFmtId="49" fontId="47" fillId="13" borderId="0" xfId="0" applyNumberFormat="1" applyFont="1" applyFill="1" applyBorder="1" applyAlignment="1" applyProtection="1">
      <alignment horizontal="center" vertical="center"/>
      <protection locked="0"/>
    </xf>
    <xf numFmtId="0" fontId="103" fillId="13" borderId="0" xfId="0" applyFont="1" applyFill="1" applyBorder="1" applyAlignment="1" applyProtection="1">
      <alignment vertical="center"/>
      <protection locked="0"/>
    </xf>
    <xf numFmtId="0" fontId="47" fillId="13" borderId="0" xfId="0"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wrapText="1"/>
      <protection locked="0"/>
    </xf>
    <xf numFmtId="0" fontId="47" fillId="13" borderId="0" xfId="0"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wrapText="1"/>
      <protection locked="0"/>
    </xf>
    <xf numFmtId="0" fontId="75" fillId="13" borderId="0" xfId="0" applyFont="1" applyFill="1" applyAlignment="1" applyProtection="1">
      <alignment horizontal="center" vertical="center"/>
      <protection locked="0"/>
    </xf>
    <xf numFmtId="0" fontId="56" fillId="13" borderId="0" xfId="0" applyFont="1" applyFill="1" applyAlignment="1" applyProtection="1">
      <protection locked="0"/>
    </xf>
    <xf numFmtId="0" fontId="52" fillId="13"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3" borderId="0" xfId="0" applyFont="1" applyFill="1" applyProtection="1">
      <alignment vertical="center"/>
      <protection locked="0"/>
    </xf>
    <xf numFmtId="0" fontId="131" fillId="13"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3" borderId="0" xfId="0" applyFont="1" applyFill="1" applyAlignment="1" applyProtection="1">
      <alignment vertical="center"/>
    </xf>
    <xf numFmtId="0" fontId="105" fillId="13" borderId="0" xfId="0" applyFont="1" applyFill="1" applyAlignment="1" applyProtection="1">
      <alignment vertical="center"/>
    </xf>
    <xf numFmtId="0" fontId="253" fillId="13" borderId="0" xfId="0" applyFont="1" applyFill="1" applyAlignment="1" applyProtection="1">
      <alignment horizontal="left" vertical="center"/>
    </xf>
    <xf numFmtId="0" fontId="105" fillId="13" borderId="0" xfId="0" applyFont="1" applyFill="1" applyAlignment="1" applyProtection="1">
      <alignment horizontal="left" vertical="center"/>
    </xf>
    <xf numFmtId="0" fontId="119" fillId="13" borderId="0" xfId="0" applyFont="1" applyFill="1" applyAlignment="1" applyProtection="1">
      <alignment vertical="center"/>
    </xf>
    <xf numFmtId="0" fontId="252" fillId="13" borderId="0" xfId="0" applyFont="1" applyFill="1" applyAlignment="1" applyProtection="1">
      <alignment vertical="center"/>
    </xf>
    <xf numFmtId="0" fontId="130" fillId="13" borderId="0" xfId="0" applyFont="1" applyFill="1" applyAlignment="1" applyProtection="1">
      <alignment horizontal="left" vertical="center"/>
    </xf>
    <xf numFmtId="0" fontId="48" fillId="13"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2"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2" borderId="125" xfId="9" applyFont="1" applyFill="1" applyBorder="1" applyAlignment="1" applyProtection="1">
      <alignment horizontal="left" vertical="center" wrapText="1"/>
    </xf>
    <xf numFmtId="0" fontId="150" fillId="12" borderId="125" xfId="9" applyFont="1" applyFill="1" applyBorder="1" applyAlignment="1" applyProtection="1">
      <alignment horizontal="left" vertical="center" wrapText="1"/>
    </xf>
    <xf numFmtId="10" fontId="119"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4"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136" fillId="6" borderId="1" xfId="2" applyFont="1" applyFill="1" applyBorder="1" applyAlignment="1">
      <alignment horizont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0" fontId="140" fillId="6" borderId="0" xfId="2" applyFont="1" applyFill="1" applyAlignment="1">
      <alignment vertical="center"/>
    </xf>
    <xf numFmtId="0" fontId="140" fillId="6" borderId="1" xfId="2" applyFont="1" applyFill="1" applyBorder="1" applyAlignment="1">
      <alignment horizontal="left" vertic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79" fontId="254" fillId="6" borderId="1" xfId="2" applyNumberFormat="1" applyFont="1" applyFill="1" applyBorder="1" applyAlignment="1">
      <alignment horizontal="center"/>
    </xf>
    <xf numFmtId="0" fontId="99" fillId="0" borderId="0" xfId="0" applyFont="1" applyAlignment="1"/>
    <xf numFmtId="0" fontId="150" fillId="12" borderId="125" xfId="9"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2" xfId="0"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protection locked="0"/>
    </xf>
    <xf numFmtId="49" fontId="47" fillId="0" borderId="2" xfId="0" applyNumberFormat="1"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77" fontId="135" fillId="0" borderId="1" xfId="1" applyNumberFormat="1" applyFont="1" applyFill="1" applyBorder="1" applyAlignment="1" applyProtection="1">
      <alignment vertical="center"/>
      <protection locked="0"/>
    </xf>
    <xf numFmtId="0" fontId="99" fillId="0" borderId="0" xfId="10">
      <alignment vertical="center"/>
    </xf>
    <xf numFmtId="0" fontId="255" fillId="0" borderId="1" xfId="10" applyFont="1" applyBorder="1" applyAlignment="1">
      <alignment horizontal="left" vertical="center" wrapText="1" shrinkToFit="1"/>
    </xf>
    <xf numFmtId="9" fontId="256" fillId="0" borderId="1" xfId="10" applyNumberFormat="1" applyFont="1" applyBorder="1" applyAlignment="1">
      <alignment horizontal="center" vertical="center" wrapText="1" shrinkToFit="1"/>
    </xf>
    <xf numFmtId="0" fontId="99" fillId="0" borderId="0" xfId="10" applyAlignment="1"/>
    <xf numFmtId="0" fontId="99" fillId="0" borderId="0" xfId="10" applyAlignment="1">
      <alignment vertical="center" wrapText="1"/>
    </xf>
    <xf numFmtId="49" fontId="115" fillId="0" borderId="1" xfId="10" applyNumberFormat="1" applyFont="1" applyBorder="1" applyAlignment="1">
      <alignment horizontal="center" vertical="center" wrapText="1" shrinkToFit="1"/>
    </xf>
    <xf numFmtId="0" fontId="115" fillId="0" borderId="1" xfId="10" applyFont="1" applyBorder="1" applyAlignment="1">
      <alignment vertical="center" wrapText="1" shrinkToFit="1"/>
    </xf>
    <xf numFmtId="0" fontId="115" fillId="0" borderId="1" xfId="10" applyFont="1" applyBorder="1" applyAlignment="1">
      <alignment horizontal="center" vertical="center" wrapText="1" shrinkToFit="1"/>
    </xf>
    <xf numFmtId="49" fontId="255" fillId="0" borderId="1" xfId="10" applyNumberFormat="1" applyFont="1" applyBorder="1" applyAlignment="1">
      <alignment horizontal="center" vertical="center" wrapText="1" shrinkToFit="1"/>
    </xf>
    <xf numFmtId="0" fontId="112" fillId="0" borderId="0" xfId="10" applyFont="1" applyAlignment="1">
      <alignment wrapText="1"/>
    </xf>
    <xf numFmtId="0" fontId="115" fillId="0" borderId="1" xfId="10" applyFont="1" applyBorder="1" applyAlignment="1">
      <alignment horizontal="left" vertical="center" wrapText="1" shrinkToFit="1"/>
    </xf>
    <xf numFmtId="179" fontId="115" fillId="0" borderId="1" xfId="10" applyNumberFormat="1" applyFont="1" applyBorder="1" applyAlignment="1">
      <alignment horizontal="center" vertical="center" wrapText="1" shrinkToFit="1"/>
    </xf>
    <xf numFmtId="9" fontId="115" fillId="0" borderId="1" xfId="10" applyNumberFormat="1" applyFont="1" applyBorder="1" applyAlignment="1">
      <alignment horizontal="left" vertical="center" wrapText="1" shrinkToFit="1"/>
    </xf>
    <xf numFmtId="181" fontId="259" fillId="0" borderId="1" xfId="10" applyNumberFormat="1" applyFont="1" applyBorder="1" applyAlignment="1">
      <alignment horizontal="center" vertical="center" wrapText="1" shrinkToFit="1"/>
    </xf>
    <xf numFmtId="9" fontId="260" fillId="0" borderId="1" xfId="10" applyNumberFormat="1" applyFont="1" applyBorder="1" applyAlignment="1">
      <alignment horizontal="center" vertical="center" wrapText="1"/>
    </xf>
    <xf numFmtId="179" fontId="259" fillId="0" borderId="1" xfId="10" applyNumberFormat="1" applyFont="1" applyBorder="1" applyAlignment="1">
      <alignment horizontal="center" vertical="center" wrapText="1" shrinkToFit="1"/>
    </xf>
    <xf numFmtId="0" fontId="115" fillId="0" borderId="0" xfId="10" applyFont="1" applyAlignment="1">
      <alignment horizontal="center" vertical="center"/>
    </xf>
    <xf numFmtId="9" fontId="261" fillId="20" borderId="1" xfId="10" applyNumberFormat="1" applyFont="1" applyFill="1" applyBorder="1" applyAlignment="1">
      <alignment horizontal="center" vertical="center" wrapText="1"/>
    </xf>
    <xf numFmtId="0" fontId="99" fillId="0" borderId="0" xfId="10" applyAlignment="1">
      <alignment vertical="center" wrapText="1" shrinkToFit="1"/>
    </xf>
    <xf numFmtId="179" fontId="115" fillId="0" borderId="0" xfId="10" applyNumberFormat="1" applyFont="1" applyAlignment="1">
      <alignment horizontal="center" vertical="center"/>
    </xf>
    <xf numFmtId="0" fontId="112" fillId="0" borderId="1" xfId="10" applyFont="1" applyBorder="1" applyAlignment="1">
      <alignment vertical="center" wrapText="1"/>
    </xf>
    <xf numFmtId="0" fontId="112" fillId="0" borderId="1" xfId="10" applyFont="1" applyBorder="1" applyAlignment="1">
      <alignment horizontal="center" vertical="center" wrapText="1"/>
    </xf>
    <xf numFmtId="9" fontId="255" fillId="0" borderId="1" xfId="10" applyNumberFormat="1" applyFont="1" applyBorder="1" applyAlignment="1">
      <alignment horizontal="center" vertical="center" wrapText="1"/>
    </xf>
    <xf numFmtId="9" fontId="112" fillId="0" borderId="1" xfId="10" applyNumberFormat="1" applyFont="1" applyBorder="1" applyAlignment="1">
      <alignment horizontal="center" vertical="center" wrapText="1"/>
    </xf>
    <xf numFmtId="179" fontId="262" fillId="0" borderId="0" xfId="10" applyNumberFormat="1" applyFont="1">
      <alignment vertical="center"/>
    </xf>
    <xf numFmtId="10" fontId="112" fillId="0" borderId="1" xfId="10" applyNumberFormat="1" applyFont="1" applyBorder="1" applyAlignment="1">
      <alignment horizontal="center" vertical="center" wrapText="1"/>
    </xf>
    <xf numFmtId="9" fontId="112" fillId="20" borderId="1" xfId="10" applyNumberFormat="1" applyFont="1" applyFill="1" applyBorder="1" applyAlignment="1">
      <alignment horizontal="center" vertical="center" wrapText="1"/>
    </xf>
    <xf numFmtId="10" fontId="118" fillId="0" borderId="1" xfId="10" applyNumberFormat="1" applyFont="1" applyBorder="1" applyAlignment="1">
      <alignment horizontal="center" vertical="center" wrapText="1"/>
    </xf>
    <xf numFmtId="0" fontId="112" fillId="0" borderId="1" xfId="10" applyFont="1" applyBorder="1" applyAlignment="1">
      <alignment wrapText="1"/>
    </xf>
    <xf numFmtId="0" fontId="129" fillId="0" borderId="0" xfId="1" applyFont="1" applyAlignment="1" applyProtection="1">
      <alignment horizontal="left" vertical="center"/>
      <protection hidden="1"/>
    </xf>
    <xf numFmtId="179" fontId="262" fillId="0" borderId="0" xfId="10" applyNumberFormat="1" applyFont="1" applyAlignment="1">
      <alignment vertical="center" wrapText="1" shrinkToFit="1"/>
    </xf>
    <xf numFmtId="181" fontId="115" fillId="0" borderId="0" xfId="10" applyNumberFormat="1" applyFont="1" applyAlignment="1">
      <alignment horizontal="center" vertical="center"/>
    </xf>
    <xf numFmtId="179" fontId="99" fillId="0" borderId="0" xfId="10" applyNumberFormat="1">
      <alignment vertical="center"/>
    </xf>
    <xf numFmtId="49" fontId="115" fillId="0" borderId="13" xfId="10" applyNumberFormat="1" applyFont="1" applyBorder="1" applyAlignment="1">
      <alignment horizontal="center" vertical="center" wrapText="1" shrinkToFit="1"/>
    </xf>
    <xf numFmtId="0" fontId="115" fillId="0" borderId="13" xfId="10" applyFont="1" applyBorder="1" applyAlignment="1">
      <alignment vertical="center" wrapText="1" shrinkToFit="1"/>
    </xf>
    <xf numFmtId="0" fontId="115" fillId="0" borderId="5" xfId="10" applyFont="1" applyBorder="1" applyAlignment="1">
      <alignment horizontal="center" vertical="center" wrapText="1" shrinkToFit="1"/>
    </xf>
    <xf numFmtId="0" fontId="115" fillId="0" borderId="54" xfId="10" applyFont="1" applyBorder="1" applyAlignment="1">
      <alignment horizontal="center" vertical="center" wrapText="1" shrinkToFit="1"/>
    </xf>
    <xf numFmtId="180" fontId="115" fillId="0" borderId="54" xfId="10" applyNumberFormat="1" applyFont="1" applyBorder="1" applyAlignment="1">
      <alignment horizontal="center" vertical="center" wrapText="1" shrinkToFit="1"/>
    </xf>
    <xf numFmtId="0" fontId="115" fillId="0" borderId="3" xfId="10" applyFont="1" applyBorder="1" applyAlignment="1">
      <alignment horizontal="left" vertical="center" wrapText="1" shrinkToFit="1"/>
    </xf>
    <xf numFmtId="10" fontId="115" fillId="0" borderId="1" xfId="10" applyNumberFormat="1" applyFont="1" applyBorder="1" applyAlignment="1">
      <alignment horizontal="center" vertical="center" wrapText="1" shrinkToFit="1"/>
    </xf>
    <xf numFmtId="9" fontId="115" fillId="0" borderId="0" xfId="10" applyNumberFormat="1" applyFont="1" applyAlignment="1">
      <alignment horizontal="center" vertical="center"/>
    </xf>
    <xf numFmtId="0" fontId="115" fillId="0" borderId="5" xfId="10" applyFont="1" applyBorder="1" applyAlignment="1">
      <alignment horizontal="right" vertical="center" wrapText="1" shrinkToFit="1"/>
    </xf>
    <xf numFmtId="49" fontId="115" fillId="0" borderId="54" xfId="10" applyNumberFormat="1" applyFont="1" applyBorder="1" applyAlignment="1">
      <alignment horizontal="center" vertical="center" wrapText="1" shrinkToFit="1"/>
    </xf>
    <xf numFmtId="10" fontId="116" fillId="0" borderId="0" xfId="10" applyNumberFormat="1" applyFont="1" applyAlignment="1">
      <alignment horizontal="center" vertical="center"/>
    </xf>
    <xf numFmtId="0" fontId="263" fillId="0" borderId="0" xfId="10" applyFont="1">
      <alignment vertical="center"/>
    </xf>
    <xf numFmtId="183" fontId="115" fillId="0" borderId="0" xfId="10" applyNumberFormat="1" applyFont="1" applyAlignment="1">
      <alignment horizontal="center" vertical="center"/>
    </xf>
    <xf numFmtId="9" fontId="115" fillId="0" borderId="1" xfId="10" applyNumberFormat="1" applyFont="1" applyBorder="1" applyAlignment="1">
      <alignment horizontal="center" vertical="center" wrapText="1" shrinkToFit="1"/>
    </xf>
    <xf numFmtId="10" fontId="115" fillId="0" borderId="0" xfId="10" applyNumberFormat="1" applyFont="1" applyAlignment="1">
      <alignment horizontal="center" vertical="center"/>
    </xf>
    <xf numFmtId="0" fontId="99" fillId="0" borderId="0" xfId="10" applyAlignment="1">
      <alignment horizontal="left" vertical="center" wrapText="1"/>
    </xf>
    <xf numFmtId="0" fontId="99" fillId="0" borderId="0" xfId="10" applyAlignment="1">
      <alignment horizontal="center" vertical="center" wrapText="1"/>
    </xf>
    <xf numFmtId="0" fontId="262" fillId="0" borderId="0" xfId="10" applyFont="1" applyAlignment="1">
      <alignment horizontal="center" vertical="center" wrapText="1"/>
    </xf>
    <xf numFmtId="0" fontId="262" fillId="0" borderId="0" xfId="10" applyFont="1" applyAlignment="1">
      <alignment vertical="center" wrapText="1"/>
    </xf>
    <xf numFmtId="0" fontId="141" fillId="0" borderId="1" xfId="10" applyFont="1" applyBorder="1" applyAlignment="1">
      <alignment horizontal="center" vertical="center" wrapText="1"/>
    </xf>
    <xf numFmtId="9" fontId="141" fillId="0" borderId="1" xfId="10" applyNumberFormat="1" applyFont="1" applyBorder="1" applyAlignment="1">
      <alignment horizontal="center" vertical="center" wrapText="1"/>
    </xf>
    <xf numFmtId="178" fontId="141" fillId="0" borderId="1" xfId="10" applyNumberFormat="1" applyFont="1" applyBorder="1" applyAlignment="1">
      <alignment horizontal="center" vertical="center" wrapText="1"/>
    </xf>
    <xf numFmtId="0" fontId="268" fillId="0" borderId="0" xfId="10" applyFont="1" applyAlignment="1">
      <alignment horizontal="center" vertical="center" wrapText="1"/>
    </xf>
    <xf numFmtId="0" fontId="262" fillId="0" borderId="1" xfId="10" applyFont="1" applyBorder="1" applyAlignment="1">
      <alignment horizontal="center" vertical="center" wrapText="1"/>
    </xf>
    <xf numFmtId="0" fontId="262" fillId="0" borderId="0" xfId="10" applyFont="1" applyAlignment="1">
      <alignment horizontal="left" vertical="center" wrapText="1"/>
    </xf>
    <xf numFmtId="179" fontId="262" fillId="0" borderId="0" xfId="10" applyNumberFormat="1" applyFont="1" applyAlignment="1">
      <alignment vertical="center" wrapText="1"/>
    </xf>
    <xf numFmtId="178" fontId="99" fillId="0" borderId="0" xfId="10" applyNumberFormat="1" applyAlignment="1">
      <alignment vertical="center" wrapText="1"/>
    </xf>
    <xf numFmtId="0" fontId="235" fillId="0" borderId="24" xfId="0" applyFont="1" applyBorder="1" applyAlignment="1" applyProtection="1">
      <alignment vertical="center" wrapText="1"/>
      <protection locked="0"/>
    </xf>
    <xf numFmtId="14" fontId="50" fillId="6" borderId="0" xfId="0" applyNumberFormat="1" applyFont="1" applyFill="1" applyAlignment="1" applyProtection="1">
      <alignment vertical="center" wrapText="1"/>
      <protection locked="0"/>
    </xf>
    <xf numFmtId="0" fontId="0" fillId="22" borderId="0" xfId="0" applyFill="1" applyAlignment="1">
      <alignment horizontal="left" vertical="center" wrapText="1"/>
    </xf>
    <xf numFmtId="0" fontId="271" fillId="22" borderId="0" xfId="0" applyFont="1" applyFill="1" applyAlignment="1">
      <alignment horizontal="left" vertical="center" wrapText="1"/>
    </xf>
    <xf numFmtId="10" fontId="0" fillId="22" borderId="0" xfId="0" applyNumberFormat="1" applyFill="1" applyAlignment="1">
      <alignment horizontal="left" vertical="center" wrapText="1"/>
    </xf>
    <xf numFmtId="0" fontId="0" fillId="24" borderId="0" xfId="0" applyFill="1" applyAlignment="1">
      <alignment horizontal="left" vertical="center" wrapText="1"/>
    </xf>
    <xf numFmtId="0" fontId="272" fillId="24" borderId="0" xfId="0" applyFont="1" applyFill="1" applyAlignment="1">
      <alignment horizontal="left" vertical="center" wrapText="1"/>
    </xf>
    <xf numFmtId="10" fontId="0" fillId="0" borderId="0" xfId="0" applyNumberFormat="1" applyAlignment="1">
      <alignment horizontal="left" vertical="center" wrapText="1"/>
    </xf>
    <xf numFmtId="0" fontId="0" fillId="0" borderId="0" xfId="0" applyAlignment="1">
      <alignment horizontal="left" vertical="center" wrapText="1"/>
    </xf>
    <xf numFmtId="0" fontId="0" fillId="5" borderId="0" xfId="0" applyFill="1" applyAlignment="1">
      <alignment horizontal="left" vertical="center" wrapText="1"/>
    </xf>
    <xf numFmtId="0" fontId="272" fillId="5" borderId="0" xfId="0" applyFont="1" applyFill="1" applyAlignment="1">
      <alignment horizontal="left" vertical="center" wrapText="1"/>
    </xf>
    <xf numFmtId="0" fontId="272" fillId="0" borderId="0" xfId="0" applyFont="1" applyAlignment="1">
      <alignment horizontal="left" vertical="center" wrapText="1"/>
    </xf>
    <xf numFmtId="0" fontId="0" fillId="24" borderId="0" xfId="0" applyFill="1" applyAlignment="1">
      <alignment vertical="center" wrapText="1"/>
    </xf>
    <xf numFmtId="49" fontId="0" fillId="24" borderId="0" xfId="0" applyNumberFormat="1" applyFill="1" applyAlignment="1">
      <alignment horizontal="left" vertical="center" wrapText="1"/>
    </xf>
    <xf numFmtId="49" fontId="0" fillId="0" borderId="0" xfId="0" applyNumberFormat="1" applyAlignment="1">
      <alignment horizontal="left" vertical="center" wrapText="1"/>
    </xf>
    <xf numFmtId="0" fontId="273" fillId="0" borderId="158" xfId="0" applyFont="1" applyBorder="1" applyAlignment="1">
      <alignment horizontal="justify" vertical="center" wrapText="1"/>
    </xf>
    <xf numFmtId="0" fontId="274" fillId="0" borderId="159" xfId="0" applyFont="1" applyBorder="1" applyAlignment="1">
      <alignment horizontal="justify" vertical="center" wrapText="1"/>
    </xf>
    <xf numFmtId="0" fontId="273" fillId="0" borderId="159" xfId="0" applyFont="1" applyBorder="1" applyAlignment="1">
      <alignment horizontal="justify" vertical="center" wrapText="1"/>
    </xf>
    <xf numFmtId="49" fontId="0" fillId="5" borderId="0" xfId="0" applyNumberFormat="1" applyFill="1" applyAlignment="1">
      <alignment horizontal="left" vertical="center" wrapText="1"/>
    </xf>
    <xf numFmtId="0" fontId="275" fillId="0" borderId="159" xfId="0" applyFont="1" applyBorder="1" applyAlignment="1">
      <alignment horizontal="justify" vertical="center" wrapText="1"/>
    </xf>
    <xf numFmtId="9" fontId="0" fillId="0" borderId="0" xfId="0" applyNumberFormat="1" applyAlignment="1">
      <alignment horizontal="left" vertical="center" wrapText="1"/>
    </xf>
    <xf numFmtId="0" fontId="135" fillId="0" borderId="5" xfId="0" applyFont="1" applyFill="1" applyBorder="1" applyAlignment="1" applyProtection="1">
      <alignment horizontal="center" vertical="center" wrapText="1"/>
      <protection locked="0"/>
    </xf>
    <xf numFmtId="0" fontId="0" fillId="23" borderId="1" xfId="0" applyFill="1" applyBorder="1" applyAlignment="1">
      <alignment horizontal="left" vertical="center" wrapText="1"/>
    </xf>
    <xf numFmtId="10" fontId="0" fillId="5" borderId="0" xfId="0" applyNumberFormat="1" applyFill="1" applyAlignment="1">
      <alignment horizontal="left" vertical="center" wrapText="1"/>
    </xf>
    <xf numFmtId="0" fontId="0" fillId="0" borderId="0" xfId="0" applyFill="1" applyAlignment="1">
      <alignment horizontal="left" vertical="center" wrapText="1"/>
    </xf>
    <xf numFmtId="0" fontId="272" fillId="0" borderId="0" xfId="0" applyFont="1" applyFill="1" applyAlignment="1">
      <alignment horizontal="left" vertical="center" wrapText="1"/>
    </xf>
    <xf numFmtId="49" fontId="0" fillId="0" borderId="0" xfId="0" applyNumberFormat="1" applyFill="1" applyAlignment="1">
      <alignment horizontal="left" vertical="center" wrapText="1"/>
    </xf>
    <xf numFmtId="10" fontId="0" fillId="0" borderId="0" xfId="0" applyNumberFormat="1" applyFill="1" applyAlignment="1">
      <alignment horizontal="left" vertical="center" wrapText="1"/>
    </xf>
    <xf numFmtId="0" fontId="0" fillId="0" borderId="0" xfId="0" applyFill="1" applyAlignment="1">
      <alignment vertical="center" wrapText="1"/>
    </xf>
    <xf numFmtId="0" fontId="0" fillId="25" borderId="0" xfId="0" applyFill="1" applyAlignment="1">
      <alignment horizontal="left" vertical="center" wrapText="1"/>
    </xf>
    <xf numFmtId="0" fontId="272" fillId="25" borderId="0" xfId="0" applyFont="1" applyFill="1" applyAlignment="1">
      <alignment horizontal="left" vertical="center" wrapText="1"/>
    </xf>
    <xf numFmtId="0" fontId="272" fillId="22" borderId="0" xfId="0" applyFont="1" applyFill="1" applyAlignment="1">
      <alignment horizontal="left" vertical="center" wrapText="1"/>
    </xf>
    <xf numFmtId="0" fontId="236" fillId="0" borderId="159" xfId="0" applyFont="1" applyBorder="1" applyAlignment="1">
      <alignment horizontal="justify" vertical="center" wrapText="1"/>
    </xf>
    <xf numFmtId="0" fontId="99" fillId="0" borderId="0" xfId="0" applyFont="1" applyAlignment="1">
      <alignment horizontal="left" vertical="center" wrapText="1"/>
    </xf>
    <xf numFmtId="0" fontId="135" fillId="0" borderId="51" xfId="0" applyNumberFormat="1" applyFont="1" applyFill="1" applyBorder="1" applyAlignment="1" applyProtection="1">
      <alignment horizontal="center" vertical="center" wrapText="1"/>
      <protection locked="0"/>
    </xf>
    <xf numFmtId="0" fontId="135" fillId="0" borderId="4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47" fillId="0" borderId="37" xfId="0" applyNumberFormat="1"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0" fillId="0" borderId="0" xfId="0" applyAlignment="1">
      <alignment horizontal="center" vertical="center" wrapText="1"/>
    </xf>
    <xf numFmtId="0" fontId="272" fillId="0" borderId="0" xfId="0" applyFont="1" applyAlignment="1">
      <alignment horizontal="center" vertical="center" wrapText="1"/>
    </xf>
    <xf numFmtId="10" fontId="0" fillId="0" borderId="0" xfId="0" applyNumberFormat="1" applyAlignment="1">
      <alignment horizontal="center" vertical="center" wrapText="1"/>
    </xf>
    <xf numFmtId="0" fontId="279" fillId="0" borderId="9" xfId="0" applyNumberFormat="1" applyFont="1" applyFill="1" applyBorder="1" applyAlignment="1" applyProtection="1">
      <alignment horizontal="center" vertical="center" wrapText="1"/>
      <protection locked="0"/>
    </xf>
    <xf numFmtId="0" fontId="279" fillId="0" borderId="37" xfId="0" applyNumberFormat="1" applyFont="1" applyFill="1" applyBorder="1" applyAlignment="1" applyProtection="1">
      <alignment horizontal="center" vertical="center" wrapText="1"/>
      <protection locked="0"/>
    </xf>
    <xf numFmtId="0" fontId="278" fillId="0" borderId="51" xfId="0" applyNumberFormat="1" applyFont="1" applyFill="1" applyBorder="1" applyAlignment="1" applyProtection="1">
      <alignment horizontal="center" vertical="center" wrapText="1"/>
      <protection locked="0"/>
    </xf>
    <xf numFmtId="0" fontId="278" fillId="0" borderId="44" xfId="0" applyNumberFormat="1" applyFont="1" applyFill="1" applyBorder="1" applyAlignment="1" applyProtection="1">
      <alignment horizontal="center" vertical="center" wrapText="1"/>
      <protection locked="0"/>
    </xf>
    <xf numFmtId="0" fontId="280" fillId="26" borderId="1" xfId="0" applyFont="1" applyFill="1" applyBorder="1" applyAlignment="1">
      <alignment vertical="center" wrapText="1" readingOrder="1"/>
    </xf>
    <xf numFmtId="0" fontId="280" fillId="26" borderId="0" xfId="0" applyFont="1" applyFill="1" applyAlignment="1">
      <alignment vertical="center" wrapText="1" readingOrder="1"/>
    </xf>
    <xf numFmtId="0" fontId="99" fillId="0" borderId="0" xfId="0" applyFont="1">
      <alignment vertical="center"/>
    </xf>
    <xf numFmtId="0" fontId="282" fillId="7" borderId="1" xfId="0" applyFont="1" applyFill="1" applyBorder="1">
      <alignment vertical="center"/>
    </xf>
    <xf numFmtId="0" fontId="282" fillId="7" borderId="1" xfId="0" applyFont="1" applyFill="1" applyBorder="1" applyAlignment="1">
      <alignment vertical="center" wrapText="1"/>
    </xf>
    <xf numFmtId="197" fontId="282" fillId="7" borderId="1" xfId="18" applyNumberFormat="1" applyFont="1" applyFill="1" applyBorder="1" applyAlignment="1">
      <alignment vertical="center" wrapText="1"/>
    </xf>
    <xf numFmtId="43" fontId="282" fillId="7" borderId="1" xfId="18" applyFont="1" applyFill="1" applyBorder="1" applyAlignment="1">
      <alignment vertical="center" wrapText="1"/>
    </xf>
    <xf numFmtId="190" fontId="282" fillId="7" borderId="1" xfId="18" applyNumberFormat="1" applyFont="1" applyFill="1" applyBorder="1" applyAlignment="1">
      <alignment vertical="center" wrapText="1"/>
    </xf>
    <xf numFmtId="198" fontId="282" fillId="7" borderId="1" xfId="18" applyNumberFormat="1" applyFont="1" applyFill="1" applyBorder="1" applyAlignment="1">
      <alignment vertical="center" wrapText="1"/>
    </xf>
    <xf numFmtId="10" fontId="282" fillId="7" borderId="1" xfId="18" applyNumberFormat="1" applyFont="1" applyFill="1" applyBorder="1" applyAlignment="1">
      <alignment vertical="center" wrapText="1"/>
    </xf>
    <xf numFmtId="9" fontId="0" fillId="0" borderId="0" xfId="19" applyFont="1" applyAlignment="1">
      <alignment vertical="center"/>
    </xf>
    <xf numFmtId="0" fontId="283" fillId="7" borderId="1" xfId="0" applyFont="1" applyFill="1" applyBorder="1" applyAlignment="1">
      <alignment vertical="center" wrapText="1"/>
    </xf>
    <xf numFmtId="197" fontId="283" fillId="7" borderId="1" xfId="18" applyNumberFormat="1" applyFont="1" applyFill="1" applyBorder="1" applyAlignment="1">
      <alignment vertical="center" wrapText="1"/>
    </xf>
    <xf numFmtId="43" fontId="283" fillId="7" borderId="1" xfId="18" applyFont="1" applyFill="1" applyBorder="1" applyAlignment="1">
      <alignment vertical="center" wrapText="1"/>
    </xf>
    <xf numFmtId="190" fontId="283" fillId="7" borderId="1" xfId="18" applyNumberFormat="1" applyFont="1" applyFill="1" applyBorder="1" applyAlignment="1">
      <alignment vertical="center" wrapText="1"/>
    </xf>
    <xf numFmtId="198" fontId="283" fillId="7" borderId="1" xfId="18" applyNumberFormat="1" applyFont="1" applyFill="1" applyBorder="1" applyAlignment="1">
      <alignment vertical="center" wrapText="1"/>
    </xf>
    <xf numFmtId="10" fontId="283" fillId="7" borderId="1" xfId="18" applyNumberFormat="1" applyFont="1" applyFill="1" applyBorder="1" applyAlignment="1">
      <alignment vertical="center" wrapText="1"/>
    </xf>
    <xf numFmtId="10" fontId="284" fillId="7" borderId="1" xfId="18" applyNumberFormat="1" applyFont="1" applyFill="1" applyBorder="1" applyAlignment="1">
      <alignment vertical="center" wrapText="1"/>
    </xf>
    <xf numFmtId="43" fontId="282" fillId="7" borderId="0" xfId="18" applyFont="1" applyFill="1" applyBorder="1" applyAlignment="1">
      <alignment vertical="center" wrapText="1"/>
    </xf>
    <xf numFmtId="0" fontId="281" fillId="7" borderId="1" xfId="1" applyFont="1" applyFill="1" applyBorder="1" applyAlignment="1">
      <alignment vertical="center" wrapText="1"/>
    </xf>
    <xf numFmtId="3" fontId="281" fillId="7" borderId="1" xfId="1" applyNumberFormat="1" applyFont="1" applyFill="1" applyBorder="1" applyAlignment="1">
      <alignment vertical="center" wrapText="1"/>
    </xf>
    <xf numFmtId="198" fontId="281" fillId="0" borderId="1" xfId="0" applyNumberFormat="1" applyFont="1" applyBorder="1">
      <alignment vertical="center"/>
    </xf>
    <xf numFmtId="198" fontId="281" fillId="0" borderId="0" xfId="0" applyNumberFormat="1" applyFont="1">
      <alignment vertical="center"/>
    </xf>
    <xf numFmtId="41" fontId="281" fillId="7" borderId="1" xfId="1" applyNumberFormat="1" applyFont="1" applyFill="1" applyBorder="1" applyAlignment="1">
      <alignment vertical="center" wrapText="1"/>
    </xf>
    <xf numFmtId="197" fontId="281" fillId="7" borderId="1" xfId="1" applyNumberFormat="1" applyFont="1" applyFill="1" applyBorder="1" applyAlignment="1">
      <alignment vertical="center" wrapText="1"/>
    </xf>
    <xf numFmtId="10" fontId="0" fillId="0" borderId="0" xfId="0" applyNumberFormat="1">
      <alignment vertical="center"/>
    </xf>
    <xf numFmtId="198" fontId="282" fillId="27" borderId="1" xfId="18" applyNumberFormat="1" applyFont="1" applyFill="1" applyBorder="1" applyAlignment="1">
      <alignment vertical="center" wrapText="1"/>
    </xf>
    <xf numFmtId="10" fontId="282" fillId="27" borderId="1" xfId="18" applyNumberFormat="1" applyFont="1" applyFill="1" applyBorder="1" applyAlignment="1">
      <alignment vertical="center" wrapText="1"/>
    </xf>
    <xf numFmtId="0" fontId="272" fillId="0" borderId="0" xfId="0" applyFont="1">
      <alignment vertical="center"/>
    </xf>
    <xf numFmtId="186" fontId="47" fillId="13" borderId="0" xfId="0" applyNumberFormat="1" applyFont="1" applyFill="1" applyBorder="1" applyAlignment="1" applyProtection="1">
      <alignment horizontal="center" vertical="center" wrapText="1"/>
      <protection locked="0"/>
    </xf>
    <xf numFmtId="186" fontId="47" fillId="13" borderId="0" xfId="0" applyNumberFormat="1" applyFont="1" applyFill="1" applyBorder="1" applyAlignment="1" applyProtection="1">
      <alignment horizontal="center" vertical="center"/>
      <protection locked="0"/>
    </xf>
    <xf numFmtId="0" fontId="0" fillId="0" borderId="0" xfId="0" applyAlignment="1">
      <alignment horizontal="center" vertical="center"/>
    </xf>
    <xf numFmtId="0" fontId="269" fillId="0" borderId="24" xfId="0" applyFont="1" applyBorder="1" applyAlignment="1" applyProtection="1">
      <alignment vertical="center" wrapText="1"/>
      <protection locked="0"/>
    </xf>
    <xf numFmtId="49" fontId="235" fillId="0" borderId="24" xfId="0" applyNumberFormat="1" applyFont="1" applyFill="1" applyBorder="1" applyAlignment="1" applyProtection="1">
      <alignment vertical="center" wrapText="1"/>
      <protection locked="0"/>
    </xf>
    <xf numFmtId="0" fontId="286" fillId="0" borderId="49" xfId="0" applyFont="1" applyBorder="1" applyAlignment="1" applyProtection="1">
      <alignment vertical="center"/>
      <protection locked="0"/>
    </xf>
    <xf numFmtId="49" fontId="279" fillId="0" borderId="14" xfId="0" applyNumberFormat="1" applyFont="1" applyFill="1" applyBorder="1" applyAlignment="1" applyProtection="1">
      <alignment horizontal="center" vertical="center" wrapText="1"/>
      <protection locked="0"/>
    </xf>
    <xf numFmtId="49" fontId="285" fillId="0" borderId="14" xfId="0" applyNumberFormat="1" applyFont="1" applyFill="1" applyBorder="1" applyAlignment="1" applyProtection="1">
      <alignment horizontal="center" vertical="center" wrapText="1"/>
      <protection locked="0"/>
    </xf>
    <xf numFmtId="49" fontId="285" fillId="0" borderId="11" xfId="0" applyNumberFormat="1" applyFont="1" applyFill="1" applyBorder="1" applyAlignment="1" applyProtection="1">
      <alignment horizontal="center" vertical="center" wrapText="1"/>
      <protection locked="0"/>
    </xf>
    <xf numFmtId="49" fontId="279" fillId="0" borderId="39" xfId="0" applyNumberFormat="1" applyFont="1" applyFill="1" applyBorder="1" applyAlignment="1" applyProtection="1">
      <alignment horizontal="center" vertical="center" wrapText="1"/>
      <protection locked="0"/>
    </xf>
    <xf numFmtId="49" fontId="279" fillId="0" borderId="35" xfId="0" applyNumberFormat="1" applyFont="1" applyFill="1" applyBorder="1" applyAlignment="1" applyProtection="1">
      <alignment horizontal="center" vertical="center" wrapText="1"/>
      <protection locked="0"/>
    </xf>
    <xf numFmtId="49" fontId="279" fillId="0" borderId="40" xfId="0" applyNumberFormat="1" applyFont="1" applyFill="1" applyBorder="1" applyAlignment="1" applyProtection="1">
      <alignment horizontal="center" vertical="center" wrapText="1"/>
      <protection locked="0"/>
    </xf>
    <xf numFmtId="49" fontId="285" fillId="0" borderId="35" xfId="0" applyNumberFormat="1" applyFont="1" applyFill="1" applyBorder="1" applyAlignment="1" applyProtection="1">
      <alignment horizontal="center" vertical="center" wrapText="1"/>
      <protection locked="0"/>
    </xf>
    <xf numFmtId="49" fontId="287" fillId="0" borderId="39" xfId="0" applyNumberFormat="1" applyFont="1" applyFill="1" applyBorder="1" applyAlignment="1" applyProtection="1">
      <alignment horizontal="center" vertical="center" wrapText="1"/>
      <protection locked="0"/>
    </xf>
    <xf numFmtId="0" fontId="65" fillId="13" borderId="0" xfId="0" applyNumberFormat="1" applyFont="1" applyFill="1" applyBorder="1" applyAlignment="1" applyProtection="1">
      <alignment vertical="center"/>
      <protection locked="0"/>
    </xf>
    <xf numFmtId="0" fontId="65" fillId="13" borderId="0" xfId="0" applyNumberFormat="1" applyFont="1" applyFill="1" applyBorder="1" applyAlignment="1" applyProtection="1">
      <alignment horizontal="center" vertical="center"/>
      <protection locked="0"/>
    </xf>
    <xf numFmtId="0" fontId="47" fillId="13" borderId="0" xfId="0" applyNumberFormat="1" applyFont="1" applyFill="1" applyBorder="1" applyAlignment="1" applyProtection="1">
      <alignment vertical="center" wrapText="1"/>
      <protection locked="0"/>
    </xf>
    <xf numFmtId="0" fontId="54" fillId="13" borderId="0" xfId="0" applyNumberFormat="1" applyFont="1" applyFill="1" applyBorder="1" applyAlignment="1" applyProtection="1">
      <alignment horizontal="center" vertical="center"/>
      <protection locked="0"/>
    </xf>
    <xf numFmtId="0" fontId="47" fillId="13" borderId="0" xfId="0" applyNumberFormat="1" applyFont="1" applyFill="1" applyBorder="1" applyAlignment="1" applyProtection="1">
      <alignment horizontal="center" vertical="center"/>
      <protection locked="0"/>
    </xf>
    <xf numFmtId="10" fontId="0" fillId="0" borderId="0" xfId="0" applyNumberFormat="1" applyAlignment="1">
      <alignment horizontal="center" vertical="center"/>
    </xf>
    <xf numFmtId="0" fontId="289" fillId="28" borderId="1" xfId="0" applyFont="1" applyFill="1" applyBorder="1" applyAlignment="1">
      <alignment horizontal="center" vertical="center" wrapText="1"/>
    </xf>
    <xf numFmtId="0" fontId="290" fillId="13" borderId="1" xfId="0" applyFont="1" applyFill="1" applyBorder="1" applyAlignment="1">
      <alignment horizontal="center" vertical="center" wrapText="1"/>
    </xf>
    <xf numFmtId="0" fontId="270" fillId="13" borderId="1" xfId="17" applyFill="1" applyBorder="1" applyAlignment="1">
      <alignment horizontal="center" vertical="center" wrapText="1"/>
    </xf>
    <xf numFmtId="10" fontId="291" fillId="13" borderId="1" xfId="0" applyNumberFormat="1" applyFont="1" applyFill="1" applyBorder="1" applyAlignment="1">
      <alignment horizontal="center" vertical="center" wrapText="1"/>
    </xf>
    <xf numFmtId="10" fontId="292" fillId="13" borderId="1" xfId="0" applyNumberFormat="1" applyFont="1" applyFill="1" applyBorder="1" applyAlignment="1">
      <alignment horizontal="center" vertical="center" wrapText="1"/>
    </xf>
    <xf numFmtId="0" fontId="272" fillId="0" borderId="0" xfId="0" applyFont="1" applyAlignment="1">
      <alignment horizontal="center" vertical="center"/>
    </xf>
    <xf numFmtId="0" fontId="99" fillId="0" borderId="0" xfId="0" applyFont="1" applyAlignment="1">
      <alignment horizontal="center" vertical="center"/>
    </xf>
    <xf numFmtId="0" fontId="0" fillId="0" borderId="0" xfId="0" applyAlignment="1">
      <alignment horizontal="center" vertical="center" wrapText="1"/>
    </xf>
    <xf numFmtId="0" fontId="0" fillId="0" borderId="1" xfId="0" applyBorder="1" applyAlignment="1">
      <alignment horizontal="center" vertical="center" wrapText="1"/>
    </xf>
    <xf numFmtId="0" fontId="0" fillId="0" borderId="0" xfId="0" applyAlignment="1">
      <alignment horizontal="center" vertical="center"/>
    </xf>
    <xf numFmtId="0" fontId="99" fillId="0" borderId="0" xfId="0" applyFont="1" applyAlignment="1">
      <alignment horizontal="center" vertical="center"/>
    </xf>
    <xf numFmtId="10" fontId="0" fillId="0" borderId="0" xfId="0" applyNumberFormat="1" applyAlignment="1">
      <alignment vertical="center" wrapText="1"/>
    </xf>
    <xf numFmtId="0" fontId="99" fillId="0" borderId="0" xfId="0" applyFont="1" applyAlignment="1">
      <alignment vertical="center" wrapText="1"/>
    </xf>
    <xf numFmtId="10" fontId="99" fillId="0" borderId="0" xfId="0" applyNumberFormat="1" applyFont="1" applyAlignment="1">
      <alignment horizontal="center" vertical="center"/>
    </xf>
    <xf numFmtId="0" fontId="0" fillId="0" borderId="0" xfId="0" applyFont="1" applyAlignment="1">
      <alignment horizontal="center" vertical="center"/>
    </xf>
    <xf numFmtId="0" fontId="293" fillId="0" borderId="65" xfId="0" applyFont="1" applyBorder="1" applyAlignment="1">
      <alignment horizontal="center" vertical="center" wrapText="1"/>
    </xf>
    <xf numFmtId="0" fontId="293" fillId="0" borderId="56" xfId="0" applyFont="1" applyBorder="1" applyAlignment="1">
      <alignment horizontal="center" vertical="center" wrapText="1"/>
    </xf>
    <xf numFmtId="0" fontId="293" fillId="0" borderId="43" xfId="0" applyFont="1" applyBorder="1" applyAlignment="1">
      <alignment horizontal="center" vertical="center" wrapText="1"/>
    </xf>
    <xf numFmtId="0" fontId="294" fillId="31" borderId="43" xfId="0" applyFont="1" applyFill="1" applyBorder="1">
      <alignment vertical="center"/>
    </xf>
    <xf numFmtId="0" fontId="293" fillId="29" borderId="43" xfId="0" applyFont="1" applyFill="1" applyBorder="1" applyAlignment="1">
      <alignment horizontal="center" vertical="center" wrapText="1"/>
    </xf>
    <xf numFmtId="0" fontId="294" fillId="30" borderId="43" xfId="0" applyFont="1" applyFill="1" applyBorder="1" applyAlignment="1">
      <alignment horizontal="center" vertical="center"/>
    </xf>
    <xf numFmtId="0" fontId="294" fillId="30" borderId="43" xfId="0" applyFont="1" applyFill="1" applyBorder="1" applyAlignment="1">
      <alignment horizontal="center" vertical="center" wrapText="1"/>
    </xf>
    <xf numFmtId="0" fontId="0" fillId="0" borderId="0" xfId="0" applyAlignment="1">
      <alignment vertical="center"/>
    </xf>
    <xf numFmtId="0" fontId="293" fillId="0" borderId="82" xfId="0" applyFont="1" applyBorder="1" applyAlignment="1">
      <alignment vertical="center" wrapText="1"/>
    </xf>
    <xf numFmtId="0" fontId="294" fillId="0" borderId="81" xfId="0" applyFont="1" applyBorder="1" applyAlignment="1">
      <alignment vertical="center" wrapText="1"/>
    </xf>
    <xf numFmtId="0" fontId="294" fillId="29" borderId="43" xfId="0" applyFont="1" applyFill="1" applyBorder="1" applyAlignment="1">
      <alignment horizontal="center" vertical="center" wrapText="1"/>
    </xf>
    <xf numFmtId="0" fontId="293" fillId="0" borderId="81" xfId="0" applyFont="1" applyBorder="1" applyAlignment="1">
      <alignment vertical="center" wrapText="1"/>
    </xf>
    <xf numFmtId="0" fontId="99" fillId="0" borderId="1" xfId="0" applyFont="1" applyBorder="1" applyAlignment="1">
      <alignment horizontal="center" vertical="center" wrapText="1"/>
    </xf>
    <xf numFmtId="0" fontId="99" fillId="0" borderId="1" xfId="0" applyFont="1" applyBorder="1" applyAlignment="1">
      <alignment horizontal="center" vertical="center"/>
    </xf>
    <xf numFmtId="0" fontId="0" fillId="0" borderId="1" xfId="0" applyBorder="1" applyAlignment="1">
      <alignment horizontal="center" vertical="center"/>
    </xf>
    <xf numFmtId="0" fontId="272" fillId="5" borderId="0" xfId="0" applyFont="1" applyFill="1" applyAlignment="1">
      <alignment vertical="center"/>
    </xf>
    <xf numFmtId="10" fontId="99" fillId="0" borderId="0" xfId="0" applyNumberFormat="1" applyFont="1">
      <alignment vertical="center"/>
    </xf>
    <xf numFmtId="0" fontId="276" fillId="0" borderId="159" xfId="0" applyFont="1" applyBorder="1" applyAlignment="1">
      <alignment horizontal="justify" vertical="center" wrapText="1"/>
    </xf>
    <xf numFmtId="0" fontId="99" fillId="0" borderId="0" xfId="0" applyFont="1" applyFill="1" applyAlignment="1">
      <alignment horizontal="left" vertical="center" wrapText="1"/>
    </xf>
    <xf numFmtId="49" fontId="99" fillId="0" borderId="0" xfId="0" applyNumberFormat="1" applyFont="1" applyAlignment="1">
      <alignment horizontal="left" vertical="center" wrapText="1"/>
    </xf>
    <xf numFmtId="0" fontId="273" fillId="0" borderId="0" xfId="0" applyFont="1" applyBorder="1" applyAlignment="1">
      <alignment horizontal="justify" vertical="center" wrapText="1"/>
    </xf>
    <xf numFmtId="0" fontId="274" fillId="0" borderId="0" xfId="0" applyFont="1" applyBorder="1" applyAlignment="1">
      <alignment horizontal="justify" vertical="center" wrapText="1"/>
    </xf>
    <xf numFmtId="0" fontId="236" fillId="0" borderId="0" xfId="0" applyFont="1" applyBorder="1" applyAlignment="1">
      <alignment horizontal="justify" vertical="center" wrapText="1"/>
    </xf>
    <xf numFmtId="0" fontId="99" fillId="0" borderId="0" xfId="0" applyFont="1" applyAlignment="1">
      <alignment horizontal="center" vertical="center" wrapText="1"/>
    </xf>
    <xf numFmtId="49" fontId="99" fillId="25" borderId="0" xfId="0" applyNumberFormat="1" applyFont="1" applyFill="1" applyAlignment="1">
      <alignment horizontal="left" vertical="center" wrapText="1"/>
    </xf>
    <xf numFmtId="0" fontId="0" fillId="27" borderId="0" xfId="0" applyFill="1" applyAlignment="1">
      <alignment horizontal="left" vertical="center" wrapText="1"/>
    </xf>
    <xf numFmtId="0" fontId="272" fillId="27" borderId="0" xfId="0" applyFont="1" applyFill="1" applyAlignment="1">
      <alignment horizontal="left" vertical="center" wrapText="1"/>
    </xf>
    <xf numFmtId="49" fontId="0" fillId="27" borderId="0" xfId="0" applyNumberFormat="1" applyFill="1" applyAlignment="1">
      <alignment horizontal="left" vertical="center" wrapText="1"/>
    </xf>
    <xf numFmtId="10" fontId="0" fillId="27" borderId="0" xfId="0" applyNumberFormat="1" applyFill="1" applyAlignment="1">
      <alignment horizontal="left" vertical="center" wrapText="1"/>
    </xf>
    <xf numFmtId="49" fontId="99" fillId="27" borderId="0" xfId="0" applyNumberFormat="1" applyFont="1" applyFill="1" applyAlignment="1">
      <alignment horizontal="left" vertical="center" wrapText="1"/>
    </xf>
    <xf numFmtId="0" fontId="0" fillId="24" borderId="0" xfId="0" applyFill="1" applyAlignment="1">
      <alignment horizontal="center" vertical="center" wrapText="1"/>
    </xf>
    <xf numFmtId="0" fontId="272" fillId="24" borderId="0" xfId="0" applyFont="1" applyFill="1" applyAlignment="1">
      <alignment horizontal="center" vertical="center" wrapText="1"/>
    </xf>
    <xf numFmtId="10" fontId="0" fillId="24" borderId="0" xfId="0" applyNumberFormat="1" applyFill="1" applyAlignment="1">
      <alignment horizontal="center" vertical="center" wrapText="1"/>
    </xf>
    <xf numFmtId="0" fontId="99" fillId="24" borderId="0" xfId="0" applyFont="1" applyFill="1" applyAlignment="1">
      <alignment horizontal="center" vertical="center" wrapText="1"/>
    </xf>
    <xf numFmtId="49" fontId="99" fillId="5" borderId="0" xfId="0" applyNumberFormat="1" applyFont="1" applyFill="1" applyAlignment="1">
      <alignment horizontal="left" vertical="center" wrapText="1"/>
    </xf>
    <xf numFmtId="0" fontId="47" fillId="6" borderId="1"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99" fillId="0" borderId="0" xfId="0" applyFont="1" applyAlignment="1">
      <alignment horizontal="center" vertical="center"/>
    </xf>
    <xf numFmtId="49" fontId="99" fillId="0" borderId="0" xfId="0" applyNumberFormat="1" applyFont="1" applyFill="1" applyAlignment="1">
      <alignment horizontal="left" vertical="center" wrapText="1"/>
    </xf>
    <xf numFmtId="0" fontId="99" fillId="24" borderId="0" xfId="0" applyFont="1" applyFill="1" applyAlignment="1">
      <alignment horizontal="left" vertical="center" wrapText="1"/>
    </xf>
    <xf numFmtId="49" fontId="99" fillId="24" borderId="0" xfId="0" applyNumberFormat="1" applyFont="1" applyFill="1" applyAlignment="1">
      <alignment horizontal="left" vertical="center" wrapText="1"/>
    </xf>
    <xf numFmtId="0" fontId="99" fillId="23" borderId="0" xfId="0" applyFont="1" applyFill="1" applyAlignment="1">
      <alignment horizontal="left" vertical="center" wrapText="1"/>
    </xf>
    <xf numFmtId="0" fontId="0" fillId="23" borderId="0" xfId="0" applyFill="1" applyAlignment="1">
      <alignment horizontal="left" vertical="center" wrapText="1"/>
    </xf>
    <xf numFmtId="0" fontId="272" fillId="23" borderId="0" xfId="0" applyFont="1" applyFill="1" applyAlignment="1">
      <alignment horizontal="left" vertical="center" wrapText="1"/>
    </xf>
    <xf numFmtId="0" fontId="99" fillId="25" borderId="0" xfId="0" applyFont="1" applyFill="1" applyAlignment="1">
      <alignment horizontal="left" vertical="center" wrapText="1"/>
    </xf>
    <xf numFmtId="0" fontId="272" fillId="0" borderId="0" xfId="0" applyNumberFormat="1" applyFont="1" applyAlignment="1">
      <alignment horizontal="left" vertical="center" wrapText="1"/>
    </xf>
    <xf numFmtId="0" fontId="295" fillId="0" borderId="0" xfId="0" applyFont="1" applyAlignment="1">
      <alignment horizontal="left" vertical="center" wrapText="1"/>
    </xf>
    <xf numFmtId="14" fontId="295" fillId="0" borderId="0" xfId="0" applyNumberFormat="1" applyFont="1" applyAlignment="1">
      <alignment horizontal="left" vertical="center" wrapText="1"/>
    </xf>
    <xf numFmtId="0" fontId="0" fillId="0" borderId="0" xfId="0" applyAlignment="1">
      <alignment horizontal="center" vertical="center"/>
    </xf>
    <xf numFmtId="0" fontId="99" fillId="0" borderId="0" xfId="0" applyFont="1" applyAlignment="1">
      <alignment horizontal="center" vertical="center"/>
    </xf>
    <xf numFmtId="10" fontId="99" fillId="0" borderId="0" xfId="0" applyNumberFormat="1" applyFont="1" applyAlignment="1">
      <alignment horizontal="left" vertical="center" wrapText="1"/>
    </xf>
    <xf numFmtId="0" fontId="99" fillId="0" borderId="0" xfId="0" applyNumberFormat="1" applyFont="1" applyAlignment="1">
      <alignment horizontal="left" vertical="center" wrapText="1"/>
    </xf>
    <xf numFmtId="0" fontId="0" fillId="0" borderId="0" xfId="0" applyBorder="1" applyAlignment="1">
      <alignment horizontal="left" vertical="center" wrapText="1"/>
    </xf>
    <xf numFmtId="0" fontId="272" fillId="0" borderId="0" xfId="0" applyFont="1" applyBorder="1" applyAlignment="1">
      <alignment horizontal="left" vertical="center" wrapText="1"/>
    </xf>
    <xf numFmtId="0" fontId="276" fillId="0" borderId="0" xfId="0" applyFont="1" applyBorder="1" applyAlignment="1">
      <alignment horizontal="justify" vertical="center" wrapText="1"/>
    </xf>
    <xf numFmtId="0" fontId="270" fillId="0" borderId="0" xfId="17" applyBorder="1" applyAlignment="1">
      <alignment horizontal="justify" vertical="center" wrapText="1"/>
    </xf>
    <xf numFmtId="181" fontId="222" fillId="13" borderId="0" xfId="0" applyNumberFormat="1" applyFont="1" applyFill="1" applyBorder="1" applyAlignment="1" applyProtection="1">
      <alignment horizontal="center" vertical="center" wrapText="1"/>
      <protection locked="0"/>
    </xf>
    <xf numFmtId="0" fontId="135" fillId="0" borderId="41" xfId="0" applyNumberFormat="1" applyFont="1" applyFill="1" applyBorder="1" applyAlignment="1" applyProtection="1">
      <alignment horizontal="center" vertical="center" wrapText="1"/>
      <protection locked="0"/>
    </xf>
    <xf numFmtId="0" fontId="135" fillId="0" borderId="7" xfId="0" applyNumberFormat="1" applyFont="1" applyFill="1" applyBorder="1" applyAlignment="1" applyProtection="1">
      <alignment horizontal="center" vertical="center" wrapText="1"/>
      <protection locked="0"/>
    </xf>
    <xf numFmtId="0" fontId="135" fillId="0" borderId="46" xfId="0" applyFont="1" applyFill="1" applyBorder="1" applyAlignment="1" applyProtection="1">
      <alignment horizontal="center" vertical="center" wrapText="1"/>
      <protection locked="0"/>
    </xf>
    <xf numFmtId="176" fontId="135" fillId="0" borderId="37" xfId="0" applyNumberFormat="1" applyFont="1" applyFill="1" applyBorder="1" applyAlignment="1" applyProtection="1">
      <alignment horizontal="center" vertical="center" wrapText="1"/>
      <protection locked="0"/>
    </xf>
    <xf numFmtId="176" fontId="135" fillId="0" borderId="41" xfId="0" applyNumberFormat="1" applyFont="1" applyFill="1" applyBorder="1" applyAlignment="1" applyProtection="1">
      <alignment horizontal="center" vertical="center" wrapText="1"/>
      <protection locked="0"/>
    </xf>
    <xf numFmtId="179" fontId="135" fillId="0" borderId="41" xfId="0" applyNumberFormat="1" applyFont="1" applyFill="1" applyBorder="1" applyAlignment="1" applyProtection="1">
      <alignment horizontal="center" vertical="center" wrapText="1"/>
      <protection locked="0"/>
    </xf>
    <xf numFmtId="14" fontId="0" fillId="5" borderId="0" xfId="0" applyNumberFormat="1" applyFill="1" applyAlignment="1">
      <alignment horizontal="left" vertical="center" wrapText="1"/>
    </xf>
    <xf numFmtId="0" fontId="295" fillId="25" borderId="0" xfId="0" applyFont="1" applyFill="1" applyAlignment="1">
      <alignment horizontal="left" vertical="center" wrapText="1"/>
    </xf>
    <xf numFmtId="0" fontId="98" fillId="0" borderId="9" xfId="0" applyNumberFormat="1" applyFont="1" applyFill="1" applyBorder="1" applyAlignment="1" applyProtection="1">
      <alignment horizontal="center" vertical="center" wrapText="1"/>
      <protection locked="0"/>
    </xf>
    <xf numFmtId="0" fontId="0" fillId="0" borderId="0" xfId="0" applyFill="1">
      <alignment vertical="center"/>
    </xf>
    <xf numFmtId="0" fontId="272" fillId="0" borderId="0" xfId="0" applyFont="1" applyFill="1">
      <alignment vertical="center"/>
    </xf>
    <xf numFmtId="0" fontId="293" fillId="0" borderId="0" xfId="0" applyFont="1" applyBorder="1" applyAlignment="1">
      <alignment horizontal="center" vertical="center" wrapText="1"/>
    </xf>
    <xf numFmtId="177" fontId="54" fillId="13" borderId="0" xfId="0" applyNumberFormat="1" applyFont="1" applyFill="1" applyAlignment="1" applyProtection="1">
      <alignment horizontal="center" vertical="center"/>
      <protection locked="0"/>
    </xf>
    <xf numFmtId="0" fontId="47" fillId="32" borderId="5" xfId="0" applyFont="1" applyFill="1" applyBorder="1" applyAlignment="1" applyProtection="1">
      <alignment horizontal="center" vertical="center" wrapText="1"/>
    </xf>
    <xf numFmtId="0" fontId="282" fillId="24" borderId="1" xfId="0" applyFont="1" applyFill="1" applyBorder="1">
      <alignment vertical="center"/>
    </xf>
    <xf numFmtId="0" fontId="282" fillId="24" borderId="1" xfId="0" applyFont="1" applyFill="1" applyBorder="1" applyAlignment="1">
      <alignment vertical="center" wrapText="1"/>
    </xf>
    <xf numFmtId="197" fontId="282" fillId="24" borderId="1" xfId="18" applyNumberFormat="1" applyFont="1" applyFill="1" applyBorder="1" applyAlignment="1">
      <alignment vertical="center" wrapText="1"/>
    </xf>
    <xf numFmtId="43" fontId="282" fillId="24" borderId="1" xfId="18" applyFont="1" applyFill="1" applyBorder="1" applyAlignment="1">
      <alignment vertical="center" wrapText="1"/>
    </xf>
    <xf numFmtId="190" fontId="282" fillId="24" borderId="1" xfId="18" applyNumberFormat="1" applyFont="1" applyFill="1" applyBorder="1" applyAlignment="1">
      <alignment vertical="center" wrapText="1"/>
    </xf>
    <xf numFmtId="198" fontId="282" fillId="24" borderId="1" xfId="18" applyNumberFormat="1" applyFont="1" applyFill="1" applyBorder="1" applyAlignment="1">
      <alignment vertical="center" wrapText="1"/>
    </xf>
    <xf numFmtId="10" fontId="282" fillId="24" borderId="1" xfId="18" applyNumberFormat="1" applyFont="1" applyFill="1" applyBorder="1" applyAlignment="1">
      <alignment vertical="center" wrapText="1"/>
    </xf>
    <xf numFmtId="0" fontId="295" fillId="24" borderId="0" xfId="0" applyFont="1" applyFill="1" applyAlignment="1">
      <alignment vertical="center" wrapText="1"/>
    </xf>
    <xf numFmtId="0" fontId="280" fillId="33" borderId="1" xfId="0" applyFont="1" applyFill="1" applyBorder="1" applyAlignment="1">
      <alignment vertical="center" wrapText="1" readingOrder="1"/>
    </xf>
    <xf numFmtId="43" fontId="282" fillId="33" borderId="1" xfId="18" applyFont="1" applyFill="1" applyBorder="1" applyAlignment="1">
      <alignment vertical="center" wrapText="1"/>
    </xf>
    <xf numFmtId="43" fontId="283" fillId="33" borderId="1" xfId="18" applyFont="1" applyFill="1" applyBorder="1" applyAlignment="1">
      <alignment vertical="center" wrapText="1"/>
    </xf>
    <xf numFmtId="198" fontId="281" fillId="33" borderId="1" xfId="0" applyNumberFormat="1" applyFont="1" applyFill="1" applyBorder="1">
      <alignment vertical="center"/>
    </xf>
    <xf numFmtId="0" fontId="0" fillId="33" borderId="0" xfId="0" applyFill="1">
      <alignment vertical="center"/>
    </xf>
    <xf numFmtId="0" fontId="0" fillId="5" borderId="0" xfId="0" applyFill="1" applyAlignment="1"/>
    <xf numFmtId="0" fontId="0" fillId="32" borderId="0" xfId="0" applyFill="1" applyAlignment="1"/>
    <xf numFmtId="9" fontId="0" fillId="0" borderId="0" xfId="0" applyNumberFormat="1" applyAlignment="1"/>
    <xf numFmtId="10" fontId="0" fillId="5" borderId="0" xfId="0" applyNumberFormat="1" applyFill="1" applyAlignment="1"/>
    <xf numFmtId="9" fontId="0" fillId="32" borderId="0" xfId="0" applyNumberFormat="1" applyFill="1" applyAlignment="1"/>
    <xf numFmtId="10" fontId="0" fillId="0" borderId="0" xfId="0" applyNumberFormat="1" applyAlignment="1"/>
    <xf numFmtId="43" fontId="0" fillId="0" borderId="0" xfId="18" applyFont="1" applyAlignment="1"/>
    <xf numFmtId="43" fontId="0" fillId="5" borderId="0" xfId="18" applyFont="1" applyFill="1" applyAlignment="1"/>
    <xf numFmtId="43" fontId="0" fillId="32" borderId="0" xfId="18" applyFont="1" applyFill="1" applyAlignment="1"/>
    <xf numFmtId="43" fontId="0" fillId="0" borderId="0" xfId="0" applyNumberFormat="1" applyAlignment="1"/>
    <xf numFmtId="43" fontId="0" fillId="5" borderId="0" xfId="0" applyNumberFormat="1" applyFill="1" applyAlignment="1"/>
    <xf numFmtId="43" fontId="0" fillId="32" borderId="0" xfId="0" applyNumberFormat="1" applyFill="1" applyAlignment="1"/>
    <xf numFmtId="0" fontId="20" fillId="0" borderId="1" xfId="0" applyFont="1" applyFill="1" applyBorder="1" applyAlignment="1">
      <alignment horizontal="center" vertical="center"/>
    </xf>
    <xf numFmtId="0" fontId="99" fillId="0" borderId="0" xfId="0" applyFont="1" applyAlignment="1">
      <alignment horizontal="center" vertical="center" wrapText="1"/>
    </xf>
    <xf numFmtId="0" fontId="0" fillId="0" borderId="1" xfId="0" applyBorder="1" applyAlignment="1">
      <alignment horizontal="center" vertical="center" wrapText="1"/>
    </xf>
    <xf numFmtId="0" fontId="293" fillId="0" borderId="65" xfId="0" applyFont="1" applyBorder="1" applyAlignment="1">
      <alignment horizontal="center" vertical="center"/>
    </xf>
    <xf numFmtId="0" fontId="294" fillId="29" borderId="65" xfId="0" applyFont="1" applyFill="1" applyBorder="1" applyAlignment="1">
      <alignment horizontal="center" vertical="center"/>
    </xf>
    <xf numFmtId="0" fontId="293" fillId="30" borderId="65" xfId="0" applyFont="1" applyFill="1" applyBorder="1" applyAlignment="1">
      <alignment horizontal="center" vertical="center" wrapText="1"/>
    </xf>
    <xf numFmtId="0" fontId="20" fillId="0" borderId="1" xfId="0" applyFont="1" applyFill="1" applyBorder="1" applyAlignment="1">
      <alignment horizontal="center" vertical="center"/>
    </xf>
    <xf numFmtId="0" fontId="293" fillId="0" borderId="65" xfId="0" applyFont="1" applyBorder="1" applyAlignment="1">
      <alignment horizontal="center" vertical="center"/>
    </xf>
    <xf numFmtId="0" fontId="294" fillId="29" borderId="65" xfId="0" applyFont="1" applyFill="1" applyBorder="1" applyAlignment="1">
      <alignment horizontal="center" vertical="center"/>
    </xf>
    <xf numFmtId="0" fontId="293" fillId="30" borderId="65" xfId="0" applyFont="1" applyFill="1" applyBorder="1" applyAlignment="1">
      <alignment horizontal="center" vertical="center" wrapText="1"/>
    </xf>
    <xf numFmtId="49" fontId="272" fillId="0" borderId="0" xfId="0" applyNumberFormat="1" applyFont="1" applyAlignment="1">
      <alignment horizontal="left" vertical="center" wrapText="1"/>
    </xf>
    <xf numFmtId="0" fontId="99" fillId="0" borderId="15" xfId="0" applyFont="1" applyFill="1" applyBorder="1" applyAlignment="1">
      <alignment horizontal="center" vertical="center" wrapText="1"/>
    </xf>
    <xf numFmtId="0" fontId="272" fillId="0" borderId="15" xfId="0" applyFont="1" applyFill="1" applyBorder="1" applyAlignment="1">
      <alignment horizontal="center" vertical="center" wrapText="1"/>
    </xf>
    <xf numFmtId="0" fontId="297" fillId="0" borderId="0" xfId="0" applyFont="1" applyBorder="1" applyAlignment="1">
      <alignment horizontal="center" vertical="center" wrapText="1"/>
    </xf>
    <xf numFmtId="0" fontId="294" fillId="29" borderId="56" xfId="0" applyFont="1" applyFill="1" applyBorder="1" applyAlignment="1">
      <alignment horizontal="center" vertical="center"/>
    </xf>
    <xf numFmtId="0" fontId="294" fillId="29" borderId="43" xfId="0" applyFont="1" applyFill="1" applyBorder="1" applyAlignment="1">
      <alignment horizontal="center" vertical="center"/>
    </xf>
    <xf numFmtId="0" fontId="293" fillId="30" borderId="43" xfId="0" applyFont="1" applyFill="1" applyBorder="1" applyAlignment="1">
      <alignment horizontal="center" vertical="center"/>
    </xf>
    <xf numFmtId="0" fontId="294" fillId="30" borderId="56" xfId="0" applyFont="1" applyFill="1" applyBorder="1" applyAlignment="1">
      <alignment horizontal="center" vertical="center"/>
    </xf>
    <xf numFmtId="0" fontId="295" fillId="0" borderId="15" xfId="0" applyFont="1" applyFill="1" applyBorder="1" applyAlignment="1">
      <alignment horizontal="center" vertical="center" wrapText="1"/>
    </xf>
    <xf numFmtId="0" fontId="295" fillId="0" borderId="0" xfId="0" applyFont="1" applyAlignment="1">
      <alignment horizontal="center" vertical="center" wrapText="1"/>
    </xf>
    <xf numFmtId="0" fontId="298" fillId="0" borderId="0" xfId="0" applyFont="1" applyBorder="1" applyAlignment="1">
      <alignment horizontal="center" vertical="center" wrapText="1"/>
    </xf>
    <xf numFmtId="199" fontId="0" fillId="0" borderId="0" xfId="0" applyNumberFormat="1">
      <alignment vertical="center"/>
    </xf>
    <xf numFmtId="0" fontId="20" fillId="0" borderId="1" xfId="0" applyFont="1" applyBorder="1" applyAlignment="1">
      <alignment horizontal="center" vertical="center" wrapText="1"/>
    </xf>
    <xf numFmtId="176" fontId="20" fillId="0" borderId="1" xfId="0" applyNumberFormat="1" applyFont="1" applyBorder="1" applyAlignment="1">
      <alignment horizontal="center" vertical="center" wrapText="1"/>
    </xf>
    <xf numFmtId="184" fontId="20" fillId="0" borderId="1" xfId="0" applyNumberFormat="1" applyFont="1" applyBorder="1" applyAlignment="1">
      <alignment horizontal="center" vertical="center" wrapText="1"/>
    </xf>
    <xf numFmtId="0" fontId="20" fillId="0" borderId="0" xfId="0" applyFont="1" applyAlignment="1">
      <alignment horizontal="center" vertical="center" wrapText="1"/>
    </xf>
    <xf numFmtId="0" fontId="278" fillId="0" borderId="5" xfId="0" applyFont="1" applyFill="1" applyBorder="1" applyAlignment="1" applyProtection="1">
      <alignment horizontal="center" vertical="center" wrapText="1"/>
      <protection locked="0"/>
    </xf>
    <xf numFmtId="0" fontId="278" fillId="0" borderId="37" xfId="0" applyNumberFormat="1" applyFont="1" applyFill="1" applyBorder="1" applyAlignment="1" applyProtection="1">
      <alignment horizontal="center" vertical="center" wrapText="1"/>
      <protection locked="0"/>
    </xf>
    <xf numFmtId="10" fontId="20" fillId="0" borderId="0" xfId="0" applyNumberFormat="1" applyFont="1" applyAlignment="1">
      <alignment horizontal="center" vertical="center" wrapText="1"/>
    </xf>
    <xf numFmtId="0" fontId="20" fillId="0" borderId="1" xfId="0" applyFont="1" applyFill="1" applyBorder="1" applyAlignment="1">
      <alignment horizontal="center" vertical="center" wrapText="1"/>
    </xf>
    <xf numFmtId="176" fontId="20" fillId="0" borderId="1" xfId="0" applyNumberFormat="1" applyFont="1" applyFill="1" applyBorder="1" applyAlignment="1">
      <alignment horizontal="center" vertical="center"/>
    </xf>
    <xf numFmtId="184" fontId="20" fillId="0" borderId="1" xfId="0" applyNumberFormat="1" applyFont="1" applyFill="1" applyBorder="1" applyAlignment="1">
      <alignment horizontal="center" vertical="center"/>
    </xf>
    <xf numFmtId="0" fontId="20" fillId="0" borderId="1" xfId="0" applyFont="1" applyFill="1" applyBorder="1" applyAlignment="1">
      <alignment vertical="center" wrapText="1"/>
    </xf>
    <xf numFmtId="31" fontId="20" fillId="0" borderId="1" xfId="0" applyNumberFormat="1" applyFont="1" applyFill="1" applyBorder="1" applyAlignment="1">
      <alignment horizontal="center" vertical="center" wrapText="1"/>
    </xf>
    <xf numFmtId="10" fontId="0" fillId="0" borderId="0" xfId="0" applyNumberFormat="1" applyFill="1">
      <alignment vertical="center"/>
    </xf>
    <xf numFmtId="0" fontId="20" fillId="0" borderId="0" xfId="0" applyFont="1" applyFill="1" applyAlignment="1">
      <alignment horizontal="center" vertical="center"/>
    </xf>
    <xf numFmtId="0" fontId="136" fillId="0" borderId="1" xfId="0" applyFont="1" applyFill="1" applyBorder="1" applyAlignment="1">
      <alignment horizontal="center" vertical="center"/>
    </xf>
    <xf numFmtId="0" fontId="20" fillId="35" borderId="1" xfId="0" applyFont="1" applyFill="1" applyBorder="1" applyAlignment="1">
      <alignment horizontal="center" vertical="center" wrapText="1"/>
    </xf>
    <xf numFmtId="0" fontId="20" fillId="35" borderId="1" xfId="0" applyFont="1" applyFill="1" applyBorder="1" applyAlignment="1">
      <alignment horizontal="center" vertical="center"/>
    </xf>
    <xf numFmtId="176" fontId="20" fillId="35" borderId="1" xfId="0" applyNumberFormat="1" applyFont="1" applyFill="1" applyBorder="1" applyAlignment="1">
      <alignment horizontal="center" vertical="center"/>
    </xf>
    <xf numFmtId="184" fontId="20" fillId="35" borderId="1" xfId="0" applyNumberFormat="1" applyFont="1" applyFill="1" applyBorder="1" applyAlignment="1">
      <alignment horizontal="center" vertical="center"/>
    </xf>
    <xf numFmtId="0" fontId="20" fillId="35" borderId="1" xfId="0" applyFont="1" applyFill="1" applyBorder="1" applyAlignment="1">
      <alignment vertical="center" wrapText="1"/>
    </xf>
    <xf numFmtId="0" fontId="98" fillId="6" borderId="5" xfId="0" applyFont="1" applyFill="1" applyBorder="1" applyAlignment="1" applyProtection="1">
      <alignment horizontal="center" vertical="center" wrapText="1"/>
    </xf>
    <xf numFmtId="0" fontId="99" fillId="0" borderId="15" xfId="0" applyFont="1" applyBorder="1" applyAlignment="1">
      <alignment horizontal="center" vertical="center" wrapText="1"/>
    </xf>
    <xf numFmtId="0" fontId="272" fillId="0" borderId="1" xfId="0" applyFont="1" applyBorder="1" applyAlignment="1">
      <alignment horizontal="center" vertical="center"/>
    </xf>
    <xf numFmtId="0" fontId="295" fillId="0" borderId="1" xfId="0" applyFont="1" applyBorder="1" applyAlignment="1">
      <alignment horizontal="center" vertical="center"/>
    </xf>
    <xf numFmtId="197" fontId="73" fillId="3" borderId="20" xfId="0" applyNumberFormat="1" applyFont="1" applyFill="1" applyBorder="1" applyAlignment="1" applyProtection="1">
      <alignment vertical="center" wrapText="1"/>
      <protection locked="0"/>
    </xf>
    <xf numFmtId="197" fontId="73" fillId="3" borderId="51" xfId="0" applyNumberFormat="1" applyFont="1" applyFill="1" applyBorder="1" applyAlignment="1" applyProtection="1">
      <alignment vertical="center" wrapText="1"/>
      <protection locked="0"/>
    </xf>
    <xf numFmtId="0" fontId="285" fillId="2" borderId="35" xfId="0" applyNumberFormat="1" applyFont="1" applyFill="1" applyBorder="1" applyAlignment="1" applyProtection="1">
      <alignment horizontal="center" vertical="center" wrapText="1"/>
      <protection locked="0"/>
    </xf>
    <xf numFmtId="0" fontId="99" fillId="0" borderId="0" xfId="0" applyFont="1" applyAlignment="1">
      <alignment horizontal="center" vertical="center" wrapText="1"/>
    </xf>
    <xf numFmtId="0" fontId="295" fillId="0" borderId="0" xfId="0" applyFont="1" applyAlignment="1">
      <alignment vertical="center" wrapText="1"/>
    </xf>
    <xf numFmtId="0" fontId="136" fillId="0" borderId="1" xfId="0" applyFont="1" applyBorder="1" applyAlignment="1">
      <alignment horizontal="center" vertical="center" wrapText="1"/>
    </xf>
    <xf numFmtId="0" fontId="136" fillId="35" borderId="1" xfId="0" applyFont="1" applyFill="1" applyBorder="1" applyAlignment="1">
      <alignment horizontal="center" vertical="center" wrapText="1"/>
    </xf>
    <xf numFmtId="0" fontId="136" fillId="0" borderId="1" xfId="0" applyFont="1" applyFill="1" applyBorder="1" applyAlignment="1">
      <alignment horizontal="center" vertical="center" wrapText="1"/>
    </xf>
    <xf numFmtId="0" fontId="299" fillId="26" borderId="0" xfId="0" applyFont="1" applyFill="1" applyAlignment="1">
      <alignment vertical="center" wrapText="1" readingOrder="1"/>
    </xf>
    <xf numFmtId="10" fontId="283" fillId="24" borderId="1" xfId="18" applyNumberFormat="1" applyFont="1" applyFill="1" applyBorder="1" applyAlignment="1">
      <alignment vertical="center" wrapText="1"/>
    </xf>
    <xf numFmtId="10" fontId="300" fillId="7" borderId="1" xfId="18" applyNumberFormat="1" applyFont="1" applyFill="1" applyBorder="1" applyAlignment="1">
      <alignment vertical="center" wrapText="1"/>
    </xf>
    <xf numFmtId="43" fontId="283" fillId="7" borderId="0" xfId="18" applyFont="1" applyFill="1" applyBorder="1" applyAlignment="1">
      <alignment vertical="center" wrapText="1"/>
    </xf>
    <xf numFmtId="198" fontId="283" fillId="0" borderId="0" xfId="0" applyNumberFormat="1" applyFont="1">
      <alignment vertical="center"/>
    </xf>
    <xf numFmtId="0" fontId="20" fillId="0" borderId="1" xfId="0" applyFont="1" applyFill="1" applyBorder="1" applyAlignment="1">
      <alignment horizontal="center" vertical="center"/>
    </xf>
    <xf numFmtId="14" fontId="99" fillId="0" borderId="0" xfId="0" applyNumberFormat="1" applyFont="1">
      <alignment vertical="center"/>
    </xf>
    <xf numFmtId="0" fontId="20" fillId="25" borderId="1" xfId="0" applyFont="1" applyFill="1" applyBorder="1" applyAlignment="1">
      <alignment horizontal="center" vertical="center" wrapText="1"/>
    </xf>
    <xf numFmtId="0" fontId="20" fillId="25" borderId="1" xfId="0" applyFont="1" applyFill="1" applyBorder="1" applyAlignment="1">
      <alignment horizontal="center" vertical="center"/>
    </xf>
    <xf numFmtId="176" fontId="20" fillId="25" borderId="1" xfId="0" applyNumberFormat="1" applyFont="1" applyFill="1" applyBorder="1" applyAlignment="1">
      <alignment horizontal="center" vertical="center"/>
    </xf>
    <xf numFmtId="0" fontId="136" fillId="25" borderId="1" xfId="0" applyFont="1" applyFill="1" applyBorder="1" applyAlignment="1">
      <alignment horizontal="center" vertical="center" wrapText="1"/>
    </xf>
    <xf numFmtId="184" fontId="20" fillId="25" borderId="1" xfId="0" applyNumberFormat="1" applyFont="1" applyFill="1" applyBorder="1" applyAlignment="1">
      <alignment horizontal="center" vertical="center"/>
    </xf>
    <xf numFmtId="0" fontId="20" fillId="25" borderId="1" xfId="0" applyFont="1" applyFill="1" applyBorder="1" applyAlignment="1">
      <alignment vertical="center" wrapText="1"/>
    </xf>
    <xf numFmtId="31" fontId="20" fillId="25" borderId="1" xfId="0" applyNumberFormat="1" applyFont="1" applyFill="1" applyBorder="1" applyAlignment="1">
      <alignment horizontal="center" vertical="center" wrapText="1"/>
    </xf>
    <xf numFmtId="0" fontId="20" fillId="25" borderId="0" xfId="0" applyFont="1" applyFill="1" applyAlignment="1">
      <alignment horizontal="center" vertical="center"/>
    </xf>
    <xf numFmtId="0" fontId="20" fillId="25" borderId="3" xfId="0" applyFont="1" applyFill="1" applyBorder="1" applyAlignment="1">
      <alignment horizontal="center" vertical="center"/>
    </xf>
    <xf numFmtId="0" fontId="105" fillId="2" borderId="6" xfId="0" applyNumberFormat="1" applyFont="1" applyFill="1" applyBorder="1" applyAlignment="1" applyProtection="1">
      <alignment horizontal="center" vertical="center" wrapText="1"/>
      <protection locked="0"/>
    </xf>
    <xf numFmtId="0" fontId="130" fillId="0" borderId="24" xfId="0" applyFont="1" applyFill="1" applyBorder="1" applyAlignment="1" applyProtection="1">
      <alignment horizontal="center" vertical="center" wrapText="1"/>
      <protection locked="0"/>
    </xf>
    <xf numFmtId="0" fontId="130" fillId="0" borderId="33" xfId="0" applyFont="1" applyFill="1" applyBorder="1" applyAlignment="1" applyProtection="1">
      <alignment horizontal="center" vertical="center" wrapText="1"/>
      <protection locked="0"/>
    </xf>
    <xf numFmtId="0" fontId="105" fillId="5" borderId="5" xfId="0" applyFont="1" applyFill="1" applyBorder="1" applyAlignment="1" applyProtection="1">
      <alignment horizontal="center" vertical="center" wrapText="1"/>
      <protection locked="0"/>
    </xf>
    <xf numFmtId="0" fontId="301" fillId="0" borderId="37" xfId="0" applyNumberFormat="1" applyFont="1" applyFill="1" applyBorder="1" applyAlignment="1" applyProtection="1">
      <alignment horizontal="center" vertical="center" wrapText="1"/>
      <protection locked="0"/>
    </xf>
    <xf numFmtId="0" fontId="0" fillId="25" borderId="0" xfId="0" applyFill="1">
      <alignment vertical="center"/>
    </xf>
    <xf numFmtId="43" fontId="0" fillId="0" borderId="0" xfId="0" applyNumberFormat="1">
      <alignment vertical="center"/>
    </xf>
    <xf numFmtId="14" fontId="99" fillId="25" borderId="0" xfId="0" applyNumberFormat="1" applyFont="1" applyFill="1">
      <alignment vertical="center"/>
    </xf>
    <xf numFmtId="14" fontId="0" fillId="25" borderId="0" xfId="0" applyNumberFormat="1" applyFill="1">
      <alignment vertical="center"/>
    </xf>
    <xf numFmtId="0" fontId="99" fillId="25" borderId="0" xfId="0" applyFont="1" applyFill="1">
      <alignment vertical="center"/>
    </xf>
    <xf numFmtId="0" fontId="99" fillId="0" borderId="0" xfId="0" applyFont="1" applyFill="1">
      <alignment vertical="center"/>
    </xf>
    <xf numFmtId="0" fontId="99" fillId="0" borderId="0" xfId="0" applyFont="1" applyFill="1" applyAlignment="1">
      <alignment vertical="center" wrapText="1"/>
    </xf>
    <xf numFmtId="49" fontId="279" fillId="0" borderId="39" xfId="0" applyNumberFormat="1" applyFont="1" applyBorder="1" applyAlignment="1" applyProtection="1">
      <alignment horizontal="center" vertical="center" wrapText="1"/>
      <protection locked="0"/>
    </xf>
    <xf numFmtId="49" fontId="279" fillId="0" borderId="35" xfId="0" applyNumberFormat="1" applyFont="1" applyBorder="1" applyAlignment="1" applyProtection="1">
      <alignment horizontal="center" vertical="center" wrapText="1"/>
      <protection locked="0"/>
    </xf>
    <xf numFmtId="49" fontId="285" fillId="0" borderId="11" xfId="0" applyNumberFormat="1" applyFont="1" applyBorder="1" applyAlignment="1" applyProtection="1">
      <alignment horizontal="center" vertical="center" wrapText="1"/>
      <protection locked="0"/>
    </xf>
    <xf numFmtId="49" fontId="285" fillId="0" borderId="14" xfId="0" applyNumberFormat="1" applyFont="1" applyBorder="1" applyAlignment="1" applyProtection="1">
      <alignment horizontal="center" vertical="center" wrapText="1"/>
      <protection locked="0"/>
    </xf>
    <xf numFmtId="0" fontId="98" fillId="0" borderId="37" xfId="0" applyFont="1" applyBorder="1" applyAlignment="1" applyProtection="1">
      <alignment horizontal="center" vertical="center" wrapText="1"/>
      <protection locked="0"/>
    </xf>
    <xf numFmtId="0" fontId="135" fillId="0" borderId="24" xfId="0" applyFont="1" applyFill="1" applyBorder="1" applyAlignment="1" applyProtection="1">
      <alignment horizontal="center" vertical="center" wrapText="1"/>
      <protection locked="0"/>
    </xf>
    <xf numFmtId="14" fontId="0" fillId="0" borderId="0" xfId="0" applyNumberFormat="1">
      <alignment vertical="center"/>
    </xf>
    <xf numFmtId="0" fontId="20" fillId="0" borderId="1" xfId="0" applyFont="1" applyBorder="1" applyAlignment="1">
      <alignment horizontal="center" vertical="center"/>
    </xf>
    <xf numFmtId="0" fontId="136" fillId="36" borderId="1" xfId="0" applyFont="1" applyFill="1" applyBorder="1" applyAlignment="1">
      <alignment horizontal="center" vertical="center" wrapText="1"/>
    </xf>
    <xf numFmtId="0" fontId="20" fillId="36" borderId="1" xfId="0" applyFont="1" applyFill="1" applyBorder="1" applyAlignment="1">
      <alignment horizontal="center" vertical="center"/>
    </xf>
    <xf numFmtId="10" fontId="20" fillId="0" borderId="0" xfId="0" applyNumberFormat="1" applyFont="1" applyFill="1" applyAlignment="1">
      <alignment horizontal="center" vertical="center" wrapText="1"/>
    </xf>
    <xf numFmtId="10" fontId="20" fillId="0" borderId="1" xfId="0" applyNumberFormat="1" applyFont="1" applyFill="1" applyBorder="1" applyAlignment="1">
      <alignment horizontal="center" vertical="center" wrapText="1"/>
    </xf>
    <xf numFmtId="10" fontId="20" fillId="25" borderId="0" xfId="0" applyNumberFormat="1" applyFont="1" applyFill="1" applyAlignment="1">
      <alignment horizontal="center" vertical="center" wrapText="1"/>
    </xf>
    <xf numFmtId="10" fontId="0" fillId="0" borderId="0" xfId="0" applyNumberFormat="1" applyFill="1" applyAlignment="1">
      <alignment vertical="center" wrapText="1"/>
    </xf>
    <xf numFmtId="10" fontId="0" fillId="25" borderId="0" xfId="0" applyNumberFormat="1" applyFill="1" applyAlignment="1">
      <alignment vertical="center" wrapText="1"/>
    </xf>
    <xf numFmtId="10" fontId="99" fillId="0" borderId="0" xfId="0" applyNumberFormat="1" applyFont="1" applyAlignment="1">
      <alignment vertical="center" wrapText="1"/>
    </xf>
    <xf numFmtId="10" fontId="272" fillId="0" borderId="0" xfId="0" applyNumberFormat="1" applyFont="1">
      <alignment vertical="center"/>
    </xf>
    <xf numFmtId="10" fontId="295" fillId="0" borderId="0" xfId="0" applyNumberFormat="1" applyFont="1">
      <alignment vertical="center"/>
    </xf>
    <xf numFmtId="0" fontId="99" fillId="5" borderId="0" xfId="0" applyFont="1" applyFill="1">
      <alignment vertical="center"/>
    </xf>
    <xf numFmtId="10" fontId="0" fillId="5" borderId="0" xfId="0" applyNumberFormat="1" applyFill="1" applyAlignment="1">
      <alignment vertical="center" wrapText="1"/>
    </xf>
    <xf numFmtId="0" fontId="0" fillId="5" borderId="0" xfId="0" applyFill="1">
      <alignment vertical="center"/>
    </xf>
    <xf numFmtId="0" fontId="0" fillId="0" borderId="1" xfId="0" applyBorder="1" applyAlignment="1">
      <alignment horizontal="center" vertical="center"/>
    </xf>
    <xf numFmtId="0" fontId="0" fillId="0" borderId="0" xfId="0" applyAlignment="1">
      <alignment horizontal="center" vertical="center"/>
    </xf>
    <xf numFmtId="0" fontId="99" fillId="0" borderId="0" xfId="0" applyFont="1" applyAlignment="1">
      <alignment horizontal="center" vertical="center"/>
    </xf>
    <xf numFmtId="0" fontId="0" fillId="0" borderId="0" xfId="0" applyAlignment="1">
      <alignment horizontal="center" vertical="center"/>
    </xf>
    <xf numFmtId="0" fontId="99" fillId="0" borderId="0" xfId="0" applyFont="1" applyAlignment="1">
      <alignment horizontal="center" vertical="center"/>
    </xf>
    <xf numFmtId="0" fontId="105" fillId="24" borderId="5" xfId="0" applyFont="1" applyFill="1" applyBorder="1" applyAlignment="1" applyProtection="1">
      <alignment horizontal="center" vertical="center" wrapText="1"/>
    </xf>
    <xf numFmtId="0" fontId="54" fillId="13" borderId="0" xfId="0" applyNumberFormat="1" applyFont="1" applyFill="1" applyBorder="1" applyAlignment="1" applyProtection="1">
      <alignment vertical="center" wrapText="1"/>
      <protection locked="0"/>
    </xf>
    <xf numFmtId="0" fontId="0" fillId="0" borderId="0" xfId="0" applyBorder="1" applyAlignment="1">
      <alignment horizontal="center" vertical="center"/>
    </xf>
    <xf numFmtId="0" fontId="0" fillId="34" borderId="0" xfId="0" applyFill="1" applyBorder="1" applyAlignment="1">
      <alignment horizontal="center" vertical="center"/>
    </xf>
    <xf numFmtId="0" fontId="99" fillId="0" borderId="0" xfId="0" applyFont="1" applyBorder="1" applyAlignment="1">
      <alignment horizontal="center" vertical="center"/>
    </xf>
    <xf numFmtId="0" fontId="272" fillId="34" borderId="0" xfId="0" applyFont="1" applyFill="1" applyBorder="1" applyAlignment="1">
      <alignment horizontal="center" vertical="center"/>
    </xf>
    <xf numFmtId="0" fontId="295" fillId="34" borderId="0" xfId="0" applyFont="1" applyFill="1" applyBorder="1" applyAlignment="1">
      <alignment horizontal="center" vertical="center"/>
    </xf>
    <xf numFmtId="0" fontId="272" fillId="23" borderId="0" xfId="0" applyFont="1" applyFill="1" applyBorder="1" applyAlignment="1">
      <alignment horizontal="center" vertical="center"/>
    </xf>
    <xf numFmtId="0" fontId="272" fillId="37" borderId="1" xfId="0" applyFont="1" applyFill="1" applyBorder="1" applyAlignment="1">
      <alignment horizontal="center" vertical="center"/>
    </xf>
    <xf numFmtId="0" fontId="272" fillId="5" borderId="0" xfId="0" applyFont="1" applyFill="1" applyAlignment="1">
      <alignment horizontal="center" vertical="center" wrapText="1"/>
    </xf>
    <xf numFmtId="0" fontId="0" fillId="5" borderId="0" xfId="0" applyFill="1" applyAlignment="1">
      <alignment horizontal="center" vertical="center"/>
    </xf>
    <xf numFmtId="0" fontId="0" fillId="0" borderId="1" xfId="0" applyBorder="1" applyAlignment="1">
      <alignment horizontal="center" vertical="center"/>
    </xf>
    <xf numFmtId="0" fontId="135" fillId="0" borderId="37" xfId="0" applyNumberFormat="1" applyFont="1" applyFill="1" applyBorder="1" applyAlignment="1" applyProtection="1">
      <alignment horizontal="center" vertical="center" wrapText="1"/>
      <protection locked="0"/>
    </xf>
    <xf numFmtId="0" fontId="135" fillId="0" borderId="36" xfId="0" applyFont="1" applyFill="1" applyBorder="1" applyAlignment="1" applyProtection="1">
      <alignment horizontal="center" vertical="center" wrapText="1"/>
      <protection locked="0"/>
    </xf>
    <xf numFmtId="10" fontId="99" fillId="5" borderId="0" xfId="0" applyNumberFormat="1" applyFont="1" applyFill="1">
      <alignment vertical="center"/>
    </xf>
    <xf numFmtId="0" fontId="99" fillId="0" borderId="0" xfId="0" applyFont="1" applyAlignment="1">
      <alignment horizontal="center" vertical="center"/>
    </xf>
    <xf numFmtId="0" fontId="272" fillId="0" borderId="0" xfId="0" applyFont="1" applyAlignment="1">
      <alignment horizontal="center" vertical="center"/>
    </xf>
    <xf numFmtId="0" fontId="105" fillId="6" borderId="24" xfId="0" applyFont="1" applyFill="1" applyBorder="1" applyAlignment="1" applyProtection="1">
      <alignment horizontal="center" vertical="center" wrapText="1"/>
    </xf>
    <xf numFmtId="0" fontId="135" fillId="6" borderId="62" xfId="0" applyFont="1" applyFill="1" applyBorder="1" applyAlignment="1" applyProtection="1">
      <alignment horizontal="center" vertical="center" wrapText="1"/>
    </xf>
    <xf numFmtId="0" fontId="105" fillId="6" borderId="40" xfId="0" applyNumberFormat="1" applyFont="1" applyFill="1" applyBorder="1" applyAlignment="1" applyProtection="1">
      <alignment horizontal="center" vertical="center" wrapText="1"/>
    </xf>
    <xf numFmtId="0" fontId="0" fillId="10" borderId="1" xfId="0" applyFill="1" applyBorder="1" applyAlignment="1">
      <alignment horizontal="center" vertical="center"/>
    </xf>
    <xf numFmtId="0" fontId="99" fillId="10" borderId="1" xfId="0" applyFont="1" applyFill="1" applyBorder="1" applyAlignment="1">
      <alignment horizontal="center" vertical="center"/>
    </xf>
    <xf numFmtId="0" fontId="0" fillId="0" borderId="0" xfId="0" applyAlignment="1">
      <alignment horizontal="center" vertical="center"/>
    </xf>
    <xf numFmtId="0" fontId="99" fillId="0" borderId="0" xfId="0" applyFont="1" applyAlignment="1">
      <alignment horizontal="center" vertical="center"/>
    </xf>
    <xf numFmtId="0" fontId="272" fillId="0" borderId="1" xfId="0" applyFont="1" applyBorder="1" applyAlignment="1">
      <alignment horizontal="center" vertical="center"/>
    </xf>
    <xf numFmtId="0" fontId="99" fillId="0" borderId="0" xfId="0" applyFont="1" applyAlignment="1">
      <alignment horizontal="center" vertical="center" wrapText="1"/>
    </xf>
    <xf numFmtId="0" fontId="0" fillId="23" borderId="0" xfId="0" applyFill="1" applyAlignment="1">
      <alignment horizontal="center" vertical="center"/>
    </xf>
    <xf numFmtId="0" fontId="272" fillId="0" borderId="1" xfId="0" applyFont="1" applyFill="1" applyBorder="1" applyAlignment="1">
      <alignment horizontal="center" vertical="center"/>
    </xf>
    <xf numFmtId="10" fontId="0" fillId="0" borderId="1" xfId="0" applyNumberFormat="1" applyBorder="1" applyAlignment="1">
      <alignment horizontal="center" vertical="center"/>
    </xf>
    <xf numFmtId="0" fontId="272" fillId="5" borderId="1" xfId="0" applyFont="1" applyFill="1" applyBorder="1" applyAlignment="1">
      <alignment horizontal="center" vertical="center"/>
    </xf>
    <xf numFmtId="0" fontId="0" fillId="33" borderId="0" xfId="0" applyFill="1" applyAlignment="1">
      <alignment horizontal="center" vertical="center"/>
    </xf>
    <xf numFmtId="0" fontId="99" fillId="33" borderId="0" xfId="0" applyFont="1" applyFill="1" applyAlignment="1">
      <alignment horizontal="center" vertical="center"/>
    </xf>
    <xf numFmtId="10" fontId="0" fillId="33" borderId="0" xfId="0" applyNumberFormat="1" applyFill="1" applyAlignment="1">
      <alignment horizontal="center" vertical="center"/>
    </xf>
    <xf numFmtId="10" fontId="0" fillId="33" borderId="0" xfId="0" applyNumberFormat="1" applyFill="1">
      <alignment vertical="center"/>
    </xf>
    <xf numFmtId="0" fontId="0" fillId="23" borderId="0" xfId="0" applyFill="1">
      <alignment vertical="center"/>
    </xf>
    <xf numFmtId="0" fontId="99" fillId="23" borderId="0" xfId="0" applyFont="1" applyFill="1" applyAlignment="1">
      <alignment horizontal="center" vertical="center"/>
    </xf>
    <xf numFmtId="10" fontId="0" fillId="23" borderId="0" xfId="0" applyNumberFormat="1" applyFill="1" applyAlignment="1">
      <alignment horizontal="center" vertical="center"/>
    </xf>
    <xf numFmtId="10" fontId="0" fillId="23" borderId="0" xfId="0" applyNumberFormat="1" applyFill="1">
      <alignment vertical="center"/>
    </xf>
    <xf numFmtId="0" fontId="0" fillId="24" borderId="0" xfId="0" applyFill="1">
      <alignment vertical="center"/>
    </xf>
    <xf numFmtId="0" fontId="0" fillId="24" borderId="0" xfId="0" applyFill="1" applyAlignment="1">
      <alignment horizontal="center" vertical="center"/>
    </xf>
    <xf numFmtId="0" fontId="99" fillId="24" borderId="0" xfId="0" applyFont="1" applyFill="1" applyAlignment="1">
      <alignment horizontal="center" vertical="center"/>
    </xf>
    <xf numFmtId="10" fontId="0" fillId="24" borderId="0" xfId="0" applyNumberFormat="1" applyFill="1" applyAlignment="1">
      <alignment horizontal="center" vertical="center"/>
    </xf>
    <xf numFmtId="10" fontId="0" fillId="24" borderId="0" xfId="0" applyNumberFormat="1" applyFill="1">
      <alignment vertical="center"/>
    </xf>
    <xf numFmtId="0" fontId="199"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09"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7" borderId="13" xfId="0" applyFont="1" applyFill="1" applyBorder="1" applyAlignment="1" applyProtection="1">
      <alignment horizontal="center" vertical="center" wrapText="1"/>
    </xf>
    <xf numFmtId="0" fontId="50" fillId="17"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118" fillId="0" borderId="0" xfId="10" applyFont="1" applyAlignment="1">
      <alignment horizontal="center" vertical="center" wrapText="1"/>
    </xf>
    <xf numFmtId="0" fontId="99" fillId="0" borderId="1" xfId="10" applyBorder="1" applyAlignment="1">
      <alignment horizontal="center" vertical="center" wrapText="1"/>
    </xf>
    <xf numFmtId="0" fontId="115" fillId="0" borderId="5" xfId="10" applyFont="1" applyBorder="1" applyAlignment="1">
      <alignment horizontal="center" vertical="center" wrapText="1" shrinkToFit="1"/>
    </xf>
    <xf numFmtId="0" fontId="115" fillId="0" borderId="54" xfId="10" applyFont="1" applyBorder="1" applyAlignment="1">
      <alignment horizontal="center" vertical="center" wrapText="1" shrinkToFit="1"/>
    </xf>
    <xf numFmtId="0" fontId="115" fillId="0" borderId="3" xfId="10" applyFont="1" applyBorder="1" applyAlignment="1">
      <alignment horizontal="center" vertical="center" wrapText="1" shrinkToFit="1"/>
    </xf>
    <xf numFmtId="0" fontId="115" fillId="0" borderId="1" xfId="10" applyFont="1" applyBorder="1" applyAlignment="1">
      <alignment horizontal="center" vertical="center" wrapText="1" shrinkToFit="1"/>
    </xf>
    <xf numFmtId="0" fontId="115" fillId="0" borderId="1" xfId="10" applyFont="1" applyBorder="1" applyAlignment="1">
      <alignment horizontal="left" vertical="center" wrapText="1" shrinkToFit="1"/>
    </xf>
    <xf numFmtId="0" fontId="115" fillId="0" borderId="46" xfId="10" applyFont="1" applyBorder="1" applyAlignment="1">
      <alignment horizontal="center" vertical="center" wrapText="1" shrinkToFit="1"/>
    </xf>
    <xf numFmtId="0" fontId="115" fillId="0" borderId="36" xfId="10" applyFont="1" applyBorder="1" applyAlignment="1">
      <alignment horizontal="center" vertical="center" wrapText="1" shrinkToFit="1"/>
    </xf>
    <xf numFmtId="0" fontId="115" fillId="0" borderId="22" xfId="10" applyFont="1" applyBorder="1" applyAlignment="1">
      <alignment horizontal="center" vertical="center" wrapText="1" shrinkToFit="1"/>
    </xf>
    <xf numFmtId="0" fontId="115" fillId="0" borderId="58" xfId="10" applyFont="1" applyBorder="1" applyAlignment="1">
      <alignment horizontal="center" vertical="center" wrapText="1" shrinkToFit="1"/>
    </xf>
    <xf numFmtId="0" fontId="115" fillId="0" borderId="0" xfId="10" applyFont="1" applyAlignment="1">
      <alignment horizontal="center" vertical="center" wrapText="1" shrinkToFit="1"/>
    </xf>
    <xf numFmtId="0" fontId="115" fillId="0" borderId="35" xfId="10" applyFont="1" applyBorder="1" applyAlignment="1">
      <alignment horizontal="center" vertical="center" wrapText="1" shrinkToFit="1"/>
    </xf>
    <xf numFmtId="0" fontId="115" fillId="0" borderId="4" xfId="10" applyFont="1" applyBorder="1" applyAlignment="1">
      <alignment horizontal="center" vertical="center" wrapText="1" shrinkToFit="1"/>
    </xf>
    <xf numFmtId="0" fontId="115" fillId="0" borderId="60" xfId="10" applyFont="1" applyBorder="1" applyAlignment="1">
      <alignment horizontal="center" vertical="center" wrapText="1" shrinkToFit="1"/>
    </xf>
    <xf numFmtId="0" fontId="115" fillId="0" borderId="7" xfId="10" applyFont="1" applyBorder="1" applyAlignment="1">
      <alignment horizontal="center" vertical="center" wrapText="1" shrinkToFit="1"/>
    </xf>
    <xf numFmtId="0" fontId="99" fillId="0" borderId="1" xfId="10" applyBorder="1" applyAlignment="1">
      <alignment horizontal="center" vertical="center" wrapText="1" shrinkToFit="1"/>
    </xf>
    <xf numFmtId="181" fontId="115" fillId="0" borderId="1" xfId="10" applyNumberFormat="1" applyFont="1" applyBorder="1" applyAlignment="1">
      <alignment horizontal="center" vertical="center" wrapText="1" shrinkToFit="1"/>
    </xf>
    <xf numFmtId="180" fontId="115" fillId="0" borderId="5" xfId="10" applyNumberFormat="1" applyFont="1" applyBorder="1" applyAlignment="1">
      <alignment horizontal="right" vertical="center" wrapText="1" shrinkToFit="1"/>
    </xf>
    <xf numFmtId="180" fontId="115" fillId="0" borderId="54" xfId="10" applyNumberFormat="1" applyFont="1" applyBorder="1" applyAlignment="1">
      <alignment horizontal="right" vertical="center" wrapText="1" shrinkToFit="1"/>
    </xf>
    <xf numFmtId="0" fontId="115" fillId="0" borderId="54" xfId="10" applyFont="1" applyBorder="1" applyAlignment="1">
      <alignment horizontal="left" vertical="center" wrapText="1" shrinkToFit="1"/>
    </xf>
    <xf numFmtId="0" fontId="115" fillId="0" borderId="3" xfId="10" applyFont="1" applyBorder="1" applyAlignment="1">
      <alignment horizontal="left" vertical="center" wrapText="1" shrinkToFit="1"/>
    </xf>
    <xf numFmtId="0" fontId="115" fillId="0" borderId="5" xfId="10" applyFont="1" applyBorder="1" applyAlignment="1">
      <alignment horizontal="right" vertical="center" wrapText="1" shrinkToFit="1"/>
    </xf>
    <xf numFmtId="0" fontId="115" fillId="0" borderId="54" xfId="10" applyFont="1" applyBorder="1" applyAlignment="1">
      <alignment horizontal="right" vertical="center" wrapText="1" shrinkToFit="1"/>
    </xf>
    <xf numFmtId="10" fontId="115" fillId="0" borderId="54" xfId="10" applyNumberFormat="1" applyFont="1" applyBorder="1" applyAlignment="1">
      <alignment horizontal="left" vertical="center" wrapText="1" shrinkToFit="1"/>
    </xf>
    <xf numFmtId="10" fontId="115" fillId="0" borderId="3" xfId="10" applyNumberFormat="1" applyFont="1" applyBorder="1" applyAlignment="1">
      <alignment horizontal="left" vertical="center" wrapText="1" shrinkToFit="1"/>
    </xf>
    <xf numFmtId="9" fontId="115" fillId="0" borderId="13" xfId="10" applyNumberFormat="1" applyFont="1" applyBorder="1" applyAlignment="1">
      <alignment horizontal="left" vertical="center" wrapText="1" shrinkToFit="1"/>
    </xf>
    <xf numFmtId="9" fontId="115" fillId="0" borderId="2" xfId="10" applyNumberFormat="1" applyFont="1" applyBorder="1" applyAlignment="1">
      <alignment horizontal="left" vertical="center" wrapText="1" shrinkToFit="1"/>
    </xf>
    <xf numFmtId="9" fontId="115" fillId="0" borderId="1" xfId="10" applyNumberFormat="1" applyFont="1" applyBorder="1" applyAlignment="1">
      <alignment horizontal="center" vertical="center" wrapText="1" shrinkToFit="1"/>
    </xf>
    <xf numFmtId="10" fontId="115" fillId="0" borderId="1" xfId="10" applyNumberFormat="1" applyFont="1" applyBorder="1" applyAlignment="1">
      <alignment horizontal="center" vertical="center" wrapText="1" shrinkToFit="1"/>
    </xf>
    <xf numFmtId="183" fontId="115" fillId="0" borderId="1" xfId="10" applyNumberFormat="1" applyFont="1" applyBorder="1" applyAlignment="1">
      <alignment horizontal="center" vertical="center" wrapText="1" shrinkToFit="1"/>
    </xf>
    <xf numFmtId="179" fontId="115" fillId="0" borderId="46" xfId="10" applyNumberFormat="1" applyFont="1" applyBorder="1" applyAlignment="1">
      <alignment horizontal="center" vertical="center" wrapText="1" shrinkToFit="1"/>
    </xf>
    <xf numFmtId="179" fontId="115" fillId="0" borderId="36" xfId="10" applyNumberFormat="1" applyFont="1" applyBorder="1" applyAlignment="1">
      <alignment horizontal="center" vertical="center" wrapText="1" shrinkToFit="1"/>
    </xf>
    <xf numFmtId="179" fontId="115" fillId="0" borderId="22" xfId="10" applyNumberFormat="1" applyFont="1" applyBorder="1" applyAlignment="1">
      <alignment horizontal="center" vertical="center" wrapText="1" shrinkToFit="1"/>
    </xf>
    <xf numFmtId="179" fontId="115" fillId="0" borderId="4" xfId="10" applyNumberFormat="1" applyFont="1" applyBorder="1" applyAlignment="1">
      <alignment horizontal="center" vertical="center" wrapText="1" shrinkToFit="1"/>
    </xf>
    <xf numFmtId="179" fontId="115" fillId="0" borderId="60" xfId="10" applyNumberFormat="1" applyFont="1" applyBorder="1" applyAlignment="1">
      <alignment horizontal="center" vertical="center" wrapText="1" shrinkToFit="1"/>
    </xf>
    <xf numFmtId="179" fontId="115" fillId="0" borderId="7" xfId="10" applyNumberFormat="1" applyFont="1" applyBorder="1" applyAlignment="1">
      <alignment horizontal="center" vertical="center" wrapText="1" shrinkToFit="1"/>
    </xf>
    <xf numFmtId="179" fontId="141" fillId="0" borderId="1" xfId="10" applyNumberFormat="1" applyFont="1" applyBorder="1" applyAlignment="1">
      <alignment horizontal="center" vertical="center" wrapText="1"/>
    </xf>
    <xf numFmtId="0" fontId="265" fillId="21" borderId="0" xfId="10" applyFont="1" applyFill="1" applyAlignment="1">
      <alignment horizontal="center" vertical="center" wrapText="1"/>
    </xf>
    <xf numFmtId="0" fontId="141" fillId="0" borderId="1" xfId="10" applyFont="1" applyBorder="1" applyAlignment="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07" fillId="6" borderId="1" xfId="0" applyFont="1" applyFill="1" applyBorder="1" applyAlignment="1" applyProtection="1">
      <alignment horizontal="left"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182" fontId="47" fillId="6" borderId="5"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132"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0" fillId="6" borderId="37" xfId="0" applyFont="1" applyFill="1" applyBorder="1" applyAlignment="1">
      <alignment horizontal="left" vertical="center"/>
    </xf>
    <xf numFmtId="0" fontId="140" fillId="6" borderId="54" xfId="0" applyFont="1" applyFill="1" applyBorder="1" applyAlignment="1">
      <alignment horizontal="left" vertical="center"/>
    </xf>
    <xf numFmtId="0" fontId="140" fillId="6" borderId="3" xfId="0" applyFont="1" applyFill="1" applyBorder="1" applyAlignment="1">
      <alignment horizontal="left" vertical="center"/>
    </xf>
    <xf numFmtId="0" fontId="142" fillId="6" borderId="1" xfId="0" applyFont="1" applyFill="1" applyBorder="1" applyAlignment="1">
      <alignment horizontal="center" vertical="center"/>
    </xf>
    <xf numFmtId="0" fontId="142"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20" fillId="0" borderId="1" xfId="0" applyFont="1" applyBorder="1" applyAlignment="1"/>
    <xf numFmtId="0" fontId="84" fillId="6" borderId="1" xfId="0" applyFont="1" applyFill="1" applyBorder="1" applyAlignment="1">
      <alignment horizontal="left" vertical="center" wrapText="1"/>
    </xf>
    <xf numFmtId="0" fontId="143" fillId="6" borderId="55" xfId="0" applyFont="1" applyFill="1" applyBorder="1" applyAlignment="1">
      <alignment vertical="center"/>
    </xf>
    <xf numFmtId="0" fontId="143" fillId="6" borderId="36" xfId="0" applyFont="1" applyFill="1" applyBorder="1" applyAlignment="1">
      <alignment vertical="center"/>
    </xf>
    <xf numFmtId="0" fontId="143" fillId="6" borderId="22" xfId="0" applyFont="1" applyFill="1" applyBorder="1" applyAlignment="1">
      <alignment vertical="center"/>
    </xf>
    <xf numFmtId="0" fontId="143" fillId="6" borderId="42" xfId="0" applyFont="1" applyFill="1" applyBorder="1" applyAlignment="1">
      <alignment vertical="center"/>
    </xf>
    <xf numFmtId="0" fontId="143" fillId="6" borderId="47" xfId="0" applyFont="1" applyFill="1" applyBorder="1" applyAlignment="1">
      <alignment vertical="center"/>
    </xf>
    <xf numFmtId="0" fontId="143" fillId="6" borderId="73" xfId="0" applyFont="1" applyFill="1" applyBorder="1" applyAlignment="1">
      <alignment vertical="center"/>
    </xf>
    <xf numFmtId="0" fontId="84" fillId="11" borderId="1" xfId="0" applyFont="1" applyFill="1" applyBorder="1" applyAlignment="1">
      <alignment horizontal="center" vertical="center"/>
    </xf>
    <xf numFmtId="0" fontId="20" fillId="0" borderId="1" xfId="0" applyFont="1" applyBorder="1" applyAlignment="1">
      <alignment horizontal="center"/>
    </xf>
    <xf numFmtId="0" fontId="143" fillId="11" borderId="5" xfId="0" applyFont="1" applyFill="1" applyBorder="1" applyAlignment="1">
      <alignment horizontal="left" vertical="center"/>
    </xf>
    <xf numFmtId="0" fontId="143" fillId="11" borderId="54" xfId="0" applyFont="1" applyFill="1" applyBorder="1" applyAlignment="1">
      <alignment horizontal="left" vertical="center"/>
    </xf>
    <xf numFmtId="0" fontId="143"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9"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9"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221" fillId="0" borderId="23" xfId="0" applyFont="1" applyFill="1" applyBorder="1" applyAlignment="1" applyProtection="1">
      <alignment horizontal="center" vertical="center" wrapText="1"/>
      <protection locked="0"/>
    </xf>
    <xf numFmtId="0" fontId="221" fillId="0" borderId="11"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221" fillId="0" borderId="3" xfId="0" applyFont="1" applyFill="1" applyBorder="1" applyAlignment="1" applyProtection="1">
      <alignment horizontal="center" vertical="center" wrapText="1"/>
      <protection locked="0"/>
    </xf>
    <xf numFmtId="0" fontId="221" fillId="0" borderId="22" xfId="0" applyFont="1" applyFill="1" applyBorder="1" applyAlignment="1" applyProtection="1">
      <alignment horizontal="center" vertical="center" wrapText="1"/>
      <protection locked="0"/>
    </xf>
    <xf numFmtId="0" fontId="304" fillId="0" borderId="11" xfId="0" applyFont="1" applyFill="1" applyBorder="1" applyAlignment="1" applyProtection="1">
      <alignment horizontal="center" vertical="center" wrapText="1"/>
      <protection locked="0"/>
    </xf>
    <xf numFmtId="0" fontId="296" fillId="0" borderId="3" xfId="0" applyFont="1" applyFill="1" applyBorder="1" applyAlignment="1" applyProtection="1">
      <alignment horizontal="center" vertical="center" wrapText="1"/>
      <protection locked="0"/>
    </xf>
    <xf numFmtId="0" fontId="272" fillId="0" borderId="0" xfId="0" applyFont="1" applyFill="1" applyAlignment="1">
      <alignment horizontal="center" vertical="center"/>
    </xf>
    <xf numFmtId="0" fontId="272" fillId="0" borderId="0" xfId="0" applyFont="1" applyAlignment="1">
      <alignment horizontal="center" vertical="center"/>
    </xf>
    <xf numFmtId="0" fontId="0" fillId="0" borderId="0" xfId="0" applyFill="1" applyAlignment="1">
      <alignment horizontal="center" vertical="center"/>
    </xf>
    <xf numFmtId="2" fontId="100" fillId="5" borderId="1" xfId="0" applyNumberFormat="1" applyFont="1" applyFill="1" applyBorder="1" applyAlignment="1">
      <alignment horizontal="center" vertical="center"/>
    </xf>
    <xf numFmtId="0" fontId="100" fillId="5" borderId="1" xfId="0" applyFont="1" applyFill="1" applyBorder="1" applyAlignment="1">
      <alignment horizontal="center" vertical="center"/>
    </xf>
    <xf numFmtId="0" fontId="0" fillId="0" borderId="0" xfId="0" applyAlignment="1">
      <alignment horizontal="center" vertical="center"/>
    </xf>
    <xf numFmtId="0" fontId="0" fillId="23" borderId="1" xfId="0" applyFill="1" applyBorder="1" applyAlignment="1">
      <alignment horizontal="center" vertical="center"/>
    </xf>
    <xf numFmtId="0" fontId="0" fillId="0" borderId="1" xfId="0" applyBorder="1" applyAlignment="1">
      <alignment horizontal="center" vertical="center"/>
    </xf>
    <xf numFmtId="0" fontId="0" fillId="32" borderId="1" xfId="0" applyFill="1" applyBorder="1" applyAlignment="1">
      <alignment horizontal="center" vertical="center"/>
    </xf>
    <xf numFmtId="10" fontId="0" fillId="0" borderId="0" xfId="0" applyNumberFormat="1" applyFill="1" applyAlignment="1">
      <alignment horizontal="center" vertical="center"/>
    </xf>
    <xf numFmtId="0" fontId="0" fillId="23" borderId="0" xfId="0" applyFill="1" applyAlignment="1">
      <alignment horizontal="center" vertical="center"/>
    </xf>
    <xf numFmtId="0" fontId="295" fillId="0" borderId="0" xfId="0" applyFont="1" applyAlignment="1">
      <alignment horizontal="center" vertical="center"/>
    </xf>
    <xf numFmtId="0" fontId="99" fillId="0" borderId="1" xfId="0" applyFont="1" applyBorder="1" applyAlignment="1">
      <alignment horizontal="center" vertical="center"/>
    </xf>
    <xf numFmtId="179" fontId="0" fillId="0" borderId="0" xfId="0" applyNumberFormat="1" applyAlignment="1">
      <alignment horizontal="center" vertical="center"/>
    </xf>
    <xf numFmtId="0" fontId="294" fillId="30" borderId="63" xfId="0" applyFont="1" applyFill="1" applyBorder="1" applyAlignment="1">
      <alignment horizontal="center" vertical="center"/>
    </xf>
    <xf numFmtId="0" fontId="294" fillId="30" borderId="64" xfId="0" applyFont="1" applyFill="1" applyBorder="1" applyAlignment="1">
      <alignment horizontal="center" vertical="center"/>
    </xf>
    <xf numFmtId="0" fontId="294" fillId="30" borderId="65" xfId="0" applyFont="1" applyFill="1" applyBorder="1" applyAlignment="1">
      <alignment horizontal="center" vertical="center"/>
    </xf>
    <xf numFmtId="0" fontId="293" fillId="0" borderId="63" xfId="0" applyFont="1" applyBorder="1" applyAlignment="1">
      <alignment horizontal="center" vertical="center"/>
    </xf>
    <xf numFmtId="0" fontId="293" fillId="0" borderId="64" xfId="0" applyFont="1" applyBorder="1" applyAlignment="1">
      <alignment horizontal="center" vertical="center"/>
    </xf>
    <xf numFmtId="0" fontId="293" fillId="0" borderId="65" xfId="0" applyFont="1" applyBorder="1" applyAlignment="1">
      <alignment horizontal="center" vertical="center"/>
    </xf>
    <xf numFmtId="0" fontId="294" fillId="29" borderId="63" xfId="0" applyFont="1" applyFill="1" applyBorder="1" applyAlignment="1">
      <alignment horizontal="center" vertical="center"/>
    </xf>
    <xf numFmtId="0" fontId="294" fillId="29" borderId="64" xfId="0" applyFont="1" applyFill="1" applyBorder="1" applyAlignment="1">
      <alignment horizontal="center" vertical="center"/>
    </xf>
    <xf numFmtId="0" fontId="294" fillId="29" borderId="65" xfId="0" applyFont="1" applyFill="1" applyBorder="1" applyAlignment="1">
      <alignment horizontal="center" vertical="center"/>
    </xf>
    <xf numFmtId="0" fontId="293" fillId="30" borderId="63" xfId="0" applyFont="1" applyFill="1" applyBorder="1" applyAlignment="1">
      <alignment horizontal="center" vertical="center"/>
    </xf>
    <xf numFmtId="0" fontId="293" fillId="30" borderId="64" xfId="0" applyFont="1" applyFill="1" applyBorder="1" applyAlignment="1">
      <alignment horizontal="center" vertical="center"/>
    </xf>
    <xf numFmtId="0" fontId="293" fillId="30" borderId="65" xfId="0" applyFont="1" applyFill="1" applyBorder="1" applyAlignment="1">
      <alignment horizontal="center" vertical="center"/>
    </xf>
    <xf numFmtId="0" fontId="293" fillId="30" borderId="63" xfId="0" applyFont="1" applyFill="1" applyBorder="1" applyAlignment="1">
      <alignment horizontal="center" vertical="center" wrapText="1"/>
    </xf>
    <xf numFmtId="0" fontId="293" fillId="30" borderId="64" xfId="0" applyFont="1" applyFill="1" applyBorder="1" applyAlignment="1">
      <alignment horizontal="center" vertical="center" wrapText="1"/>
    </xf>
    <xf numFmtId="0" fontId="293" fillId="30" borderId="65" xfId="0" applyFont="1" applyFill="1" applyBorder="1" applyAlignment="1">
      <alignment horizontal="center" vertical="center" wrapText="1"/>
    </xf>
    <xf numFmtId="0" fontId="272" fillId="23" borderId="1" xfId="0" applyFont="1" applyFill="1" applyBorder="1" applyAlignment="1">
      <alignment horizontal="center" vertical="center"/>
    </xf>
    <xf numFmtId="0" fontId="295" fillId="23" borderId="1" xfId="0" applyFont="1" applyFill="1" applyBorder="1" applyAlignment="1">
      <alignment horizontal="center" vertical="center"/>
    </xf>
    <xf numFmtId="0" fontId="272" fillId="23" borderId="13" xfId="0" applyFont="1" applyFill="1" applyBorder="1" applyAlignment="1">
      <alignment horizontal="center" vertical="center"/>
    </xf>
    <xf numFmtId="0" fontId="272" fillId="23" borderId="15" xfId="0" applyFont="1" applyFill="1" applyBorder="1" applyAlignment="1">
      <alignment horizontal="center" vertical="center"/>
    </xf>
    <xf numFmtId="0" fontId="272" fillId="23" borderId="2" xfId="0" applyFont="1" applyFill="1" applyBorder="1" applyAlignment="1">
      <alignment horizontal="center" vertical="center"/>
    </xf>
    <xf numFmtId="0" fontId="99" fillId="0" borderId="0" xfId="0" applyFont="1" applyAlignment="1">
      <alignment horizontal="center" vertical="center" wrapText="1"/>
    </xf>
    <xf numFmtId="0" fontId="272" fillId="0" borderId="1" xfId="0" applyFont="1" applyBorder="1" applyAlignment="1">
      <alignment horizontal="center" vertical="center"/>
    </xf>
    <xf numFmtId="0" fontId="272" fillId="32" borderId="1" xfId="0" applyFont="1" applyFill="1" applyBorder="1" applyAlignment="1">
      <alignment horizontal="center" vertical="center"/>
    </xf>
    <xf numFmtId="0" fontId="272" fillId="0" borderId="13" xfId="0" applyFont="1" applyBorder="1" applyAlignment="1">
      <alignment horizontal="center" vertical="center"/>
    </xf>
    <xf numFmtId="0" fontId="272" fillId="0" borderId="15" xfId="0" applyFont="1" applyBorder="1" applyAlignment="1">
      <alignment horizontal="center" vertical="center"/>
    </xf>
    <xf numFmtId="0" fontId="272" fillId="0" borderId="2" xfId="0" applyFont="1" applyBorder="1" applyAlignment="1">
      <alignment horizontal="center" vertical="center"/>
    </xf>
    <xf numFmtId="0" fontId="99" fillId="0" borderId="13" xfId="0" applyFont="1" applyBorder="1" applyAlignment="1">
      <alignment horizontal="center" vertical="center"/>
    </xf>
    <xf numFmtId="0" fontId="99" fillId="0" borderId="2" xfId="0" applyFont="1" applyBorder="1" applyAlignment="1">
      <alignment horizontal="center" vertical="center"/>
    </xf>
    <xf numFmtId="0" fontId="99" fillId="0" borderId="15" xfId="0" applyFont="1" applyBorder="1" applyAlignment="1">
      <alignment horizontal="center" vertical="center"/>
    </xf>
    <xf numFmtId="0" fontId="295" fillId="0" borderId="1" xfId="0" applyFont="1" applyBorder="1" applyAlignment="1">
      <alignment horizontal="center" vertical="center"/>
    </xf>
    <xf numFmtId="0" fontId="295" fillId="32" borderId="1" xfId="0" applyFont="1" applyFill="1" applyBorder="1" applyAlignment="1">
      <alignment horizontal="center" vertical="center"/>
    </xf>
    <xf numFmtId="0" fontId="272" fillId="37" borderId="5" xfId="0" applyFont="1" applyFill="1" applyBorder="1" applyAlignment="1">
      <alignment horizontal="center" vertical="center" wrapText="1"/>
    </xf>
    <xf numFmtId="0" fontId="272" fillId="37" borderId="54" xfId="0" applyFont="1" applyFill="1" applyBorder="1" applyAlignment="1">
      <alignment horizontal="center" vertical="center" wrapText="1"/>
    </xf>
    <xf numFmtId="0" fontId="272" fillId="37" borderId="3" xfId="0" applyFont="1" applyFill="1" applyBorder="1" applyAlignment="1">
      <alignment horizontal="center" vertical="center" wrapText="1"/>
    </xf>
    <xf numFmtId="0" fontId="272" fillId="37" borderId="36" xfId="0" applyFont="1" applyFill="1" applyBorder="1" applyAlignment="1">
      <alignment horizontal="center" vertical="center" wrapText="1"/>
    </xf>
    <xf numFmtId="0" fontId="0" fillId="0" borderId="5" xfId="0" applyBorder="1" applyAlignment="1">
      <alignment horizontal="center" vertical="center"/>
    </xf>
    <xf numFmtId="0" fontId="0" fillId="0" borderId="54" xfId="0" applyBorder="1" applyAlignment="1">
      <alignment horizontal="center" vertical="center"/>
    </xf>
    <xf numFmtId="0" fontId="0" fillId="0" borderId="3" xfId="0" applyBorder="1" applyAlignment="1">
      <alignment horizontal="center" vertical="center"/>
    </xf>
    <xf numFmtId="0" fontId="0" fillId="34" borderId="1" xfId="0" applyFill="1" applyBorder="1" applyAlignment="1">
      <alignment horizontal="center" vertical="center"/>
    </xf>
    <xf numFmtId="0" fontId="272" fillId="34" borderId="1" xfId="0" applyFont="1" applyFill="1" applyBorder="1" applyAlignment="1">
      <alignment horizontal="center" vertical="center"/>
    </xf>
    <xf numFmtId="0" fontId="295" fillId="34" borderId="1" xfId="0" applyFont="1" applyFill="1" applyBorder="1" applyAlignment="1">
      <alignment horizontal="center" vertical="center"/>
    </xf>
    <xf numFmtId="0" fontId="99" fillId="34" borderId="1" xfId="0" applyFont="1" applyFill="1" applyBorder="1" applyAlignment="1">
      <alignment horizontal="center" vertical="center"/>
    </xf>
    <xf numFmtId="0" fontId="0" fillId="5" borderId="58" xfId="0" applyFill="1" applyBorder="1" applyAlignment="1">
      <alignment vertical="center" wrapText="1"/>
    </xf>
    <xf numFmtId="0" fontId="99" fillId="5" borderId="0" xfId="0" applyFont="1" applyFill="1" applyAlignment="1">
      <alignment horizontal="center" vertical="center" wrapText="1"/>
    </xf>
    <xf numFmtId="0" fontId="0" fillId="5" borderId="0" xfId="0" applyFill="1" applyAlignment="1">
      <alignment horizontal="center" vertical="center" wrapText="1"/>
    </xf>
    <xf numFmtId="0" fontId="99" fillId="0" borderId="36" xfId="0" applyFont="1" applyBorder="1" applyAlignment="1">
      <alignment horizontal="center" vertical="center" wrapText="1"/>
    </xf>
    <xf numFmtId="0" fontId="0" fillId="0" borderId="0" xfId="0" applyAlignment="1">
      <alignment horizontal="center" vertical="center" wrapText="1"/>
    </xf>
    <xf numFmtId="0" fontId="0" fillId="23" borderId="13" xfId="0" applyFill="1" applyBorder="1" applyAlignment="1">
      <alignment horizontal="center" vertical="center" wrapText="1"/>
    </xf>
    <xf numFmtId="0" fontId="0" fillId="23" borderId="15" xfId="0" applyFill="1" applyBorder="1" applyAlignment="1">
      <alignment horizontal="center" vertical="center" wrapText="1"/>
    </xf>
    <xf numFmtId="0" fontId="0" fillId="23" borderId="2" xfId="0" applyFill="1" applyBorder="1" applyAlignment="1">
      <alignment horizontal="center" vertical="center" wrapText="1"/>
    </xf>
    <xf numFmtId="0" fontId="99" fillId="0" borderId="58" xfId="0" applyFont="1" applyBorder="1" applyAlignment="1">
      <alignment horizontal="center" vertical="center" wrapText="1"/>
    </xf>
    <xf numFmtId="0" fontId="0" fillId="23" borderId="1" xfId="0" applyFill="1" applyBorder="1" applyAlignment="1">
      <alignment horizontal="center" vertical="center" wrapText="1"/>
    </xf>
    <xf numFmtId="49" fontId="0" fillId="0" borderId="0" xfId="0" applyNumberFormat="1" applyAlignment="1">
      <alignment horizontal="center" vertical="center" wrapText="1"/>
    </xf>
    <xf numFmtId="0" fontId="0" fillId="0" borderId="1" xfId="0" applyBorder="1" applyAlignment="1">
      <alignment horizontal="center" vertical="center" wrapText="1"/>
    </xf>
    <xf numFmtId="0" fontId="0" fillId="27" borderId="0" xfId="0" applyFill="1" applyAlignment="1">
      <alignment horizontal="center" vertical="center" wrapText="1"/>
    </xf>
    <xf numFmtId="0" fontId="99" fillId="23" borderId="1" xfId="0" applyFont="1" applyFill="1" applyBorder="1" applyAlignment="1">
      <alignment horizontal="center" vertical="center" wrapText="1"/>
    </xf>
    <xf numFmtId="0" fontId="281" fillId="0" borderId="1" xfId="0" applyFont="1" applyBorder="1">
      <alignment vertical="center"/>
    </xf>
    <xf numFmtId="0" fontId="99" fillId="33" borderId="0" xfId="0" applyFont="1" applyFill="1" applyAlignment="1">
      <alignment horizontal="center" vertical="center"/>
    </xf>
    <xf numFmtId="0" fontId="0" fillId="33" borderId="0" xfId="0" applyFill="1" applyAlignment="1">
      <alignment horizontal="center" vertical="center"/>
    </xf>
    <xf numFmtId="0" fontId="99" fillId="0" borderId="0" xfId="0" applyFont="1" applyAlignment="1">
      <alignment horizontal="center" vertical="center"/>
    </xf>
    <xf numFmtId="0" fontId="99" fillId="23" borderId="0" xfId="0" applyFont="1" applyFill="1" applyAlignment="1">
      <alignment horizontal="center" vertical="center"/>
    </xf>
    <xf numFmtId="0" fontId="99" fillId="24" borderId="0" xfId="0" applyFont="1" applyFill="1" applyAlignment="1">
      <alignment horizontal="center" vertical="center"/>
    </xf>
    <xf numFmtId="0" fontId="0" fillId="24" borderId="0" xfId="0" applyFill="1" applyAlignment="1">
      <alignment horizontal="center" vertical="center"/>
    </xf>
    <xf numFmtId="0" fontId="143" fillId="0" borderId="0" xfId="9" applyFont="1" applyAlignment="1">
      <alignment horizontal="left" vertical="center"/>
    </xf>
    <xf numFmtId="0" fontId="107" fillId="0" borderId="0" xfId="9" applyFont="1" applyAlignment="1">
      <alignment horizontal="left" vertical="center"/>
    </xf>
    <xf numFmtId="0" fontId="150" fillId="12" borderId="131" xfId="9" applyFont="1" applyFill="1" applyBorder="1" applyAlignment="1" applyProtection="1">
      <alignment horizontal="left" vertical="center" wrapText="1"/>
    </xf>
    <xf numFmtId="0" fontId="150" fillId="12" borderId="125" xfId="9" applyFont="1" applyFill="1" applyBorder="1" applyAlignment="1" applyProtection="1">
      <alignment horizontal="left" vertical="center" wrapText="1"/>
    </xf>
    <xf numFmtId="0" fontId="150" fillId="12" borderId="127" xfId="9" applyFont="1" applyFill="1" applyBorder="1" applyAlignment="1" applyProtection="1">
      <alignment horizontal="left" vertical="center" wrapText="1"/>
    </xf>
    <xf numFmtId="0" fontId="148" fillId="0" borderId="0" xfId="9" applyFont="1" applyAlignment="1">
      <alignment horizontal="left" vertical="center"/>
    </xf>
    <xf numFmtId="0" fontId="150" fillId="12" borderId="122" xfId="9" applyFont="1" applyFill="1" applyBorder="1" applyAlignment="1" applyProtection="1">
      <alignment horizontal="left" vertical="center" wrapText="1"/>
    </xf>
    <xf numFmtId="0" fontId="104" fillId="12" borderId="131" xfId="9" applyFont="1" applyFill="1" applyBorder="1" applyAlignment="1" applyProtection="1">
      <alignment horizontal="left" vertical="center" wrapText="1"/>
    </xf>
    <xf numFmtId="0" fontId="104" fillId="12" borderId="125" xfId="9" applyFont="1" applyFill="1" applyBorder="1" applyAlignment="1" applyProtection="1">
      <alignment horizontal="left" vertical="center" wrapText="1"/>
    </xf>
    <xf numFmtId="0" fontId="104" fillId="12" borderId="127" xfId="9" applyFont="1" applyFill="1" applyBorder="1" applyAlignment="1" applyProtection="1">
      <alignment horizontal="left" vertical="center" wrapText="1"/>
    </xf>
    <xf numFmtId="0" fontId="150" fillId="12" borderId="153"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cellXfs>
  <cellStyles count="20">
    <cellStyle name="百分比" xfId="19" builtinId="5"/>
    <cellStyle name="百分比 2" xfId="14" xr:uid="{00000000-0005-0000-0000-000001000000}"/>
    <cellStyle name="常规" xfId="0" builtinId="0"/>
    <cellStyle name="常规 16" xfId="10" xr:uid="{00000000-0005-0000-0000-000003000000}"/>
    <cellStyle name="常规 2" xfId="1" xr:uid="{00000000-0005-0000-0000-000004000000}"/>
    <cellStyle name="常规 2 2" xfId="8" xr:uid="{00000000-0005-0000-0000-000005000000}"/>
    <cellStyle name="常规 2 2 2 2 3" xfId="15" xr:uid="{00000000-0005-0000-0000-000006000000}"/>
    <cellStyle name="常规 3" xfId="2" xr:uid="{00000000-0005-0000-0000-000007000000}"/>
    <cellStyle name="常规 3 2" xfId="3" xr:uid="{00000000-0005-0000-0000-000008000000}"/>
    <cellStyle name="常规 4" xfId="4" xr:uid="{00000000-0005-0000-0000-000009000000}"/>
    <cellStyle name="常规 5" xfId="5" xr:uid="{00000000-0005-0000-0000-00000A000000}"/>
    <cellStyle name="常规 6" xfId="6" xr:uid="{00000000-0005-0000-0000-00000B000000}"/>
    <cellStyle name="常规 6 2" xfId="9" xr:uid="{00000000-0005-0000-0000-00000C000000}"/>
    <cellStyle name="常规 6 2 2" xfId="16" xr:uid="{00000000-0005-0000-0000-00000D000000}"/>
    <cellStyle name="常规 6 2 3" xfId="13" xr:uid="{00000000-0005-0000-0000-00000E000000}"/>
    <cellStyle name="常规 7" xfId="7" xr:uid="{00000000-0005-0000-0000-00000F000000}"/>
    <cellStyle name="常规 8" xfId="11" xr:uid="{00000000-0005-0000-0000-000010000000}"/>
    <cellStyle name="常规 9" xfId="12" xr:uid="{00000000-0005-0000-0000-000011000000}"/>
    <cellStyle name="超链接" xfId="17" builtinId="8"/>
    <cellStyle name="千位分隔" xfId="18" builtinId="3"/>
  </cellStyles>
  <dxfs count="296">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sz="1800" b="0" i="0" baseline="0">
                <a:effectLst/>
              </a:rPr>
              <a:t>第一太平戴维斯</a:t>
            </a:r>
            <a:r>
              <a:rPr lang="zh-CN" altLang="zh-CN" sz="1800" b="0" i="0" baseline="0">
                <a:effectLst/>
              </a:rPr>
              <a:t>办公楼市场分析</a:t>
            </a:r>
            <a:endParaRPr lang="zh-CN" altLang="zh-CN">
              <a:effectLst/>
            </a:endParaRPr>
          </a:p>
        </c:rich>
      </c:tx>
      <c:layout>
        <c:manualLayout>
          <c:xMode val="edge"/>
          <c:yMode val="edge"/>
          <c:x val="0.21111111111111111"/>
          <c:y val="3.2407407407407406E-2"/>
        </c:manualLayout>
      </c:layout>
      <c:overlay val="0"/>
      <c:spPr>
        <a:noFill/>
        <a:ln>
          <a:noFill/>
        </a:ln>
        <a:effectLst/>
      </c:spPr>
    </c:title>
    <c:autoTitleDeleted val="0"/>
    <c:plotArea>
      <c:layout/>
      <c:barChart>
        <c:barDir val="col"/>
        <c:grouping val="clustered"/>
        <c:varyColors val="0"/>
        <c:ser>
          <c:idx val="5"/>
          <c:order val="5"/>
          <c:tx>
            <c:strRef>
              <c:f>市场走势!$AA$3</c:f>
              <c:strCache>
                <c:ptCount val="1"/>
                <c:pt idx="0">
                  <c:v>存量（万㎡）</c:v>
                </c:pt>
              </c:strCache>
            </c:strRef>
          </c:tx>
          <c:spPr>
            <a:solidFill>
              <a:schemeClr val="accent6"/>
            </a:solidFill>
            <a:ln>
              <a:noFill/>
            </a:ln>
            <a:effectLst/>
          </c:spPr>
          <c:invertIfNegative val="0"/>
          <c:cat>
            <c:strRef>
              <c:f>市场走势!$U$4:$U$23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市场走势!$AA$4:$AA$23</c:f>
              <c:numCache>
                <c:formatCode>General</c:formatCode>
                <c:ptCount val="20"/>
                <c:pt idx="0">
                  <c:v>924</c:v>
                </c:pt>
                <c:pt idx="1">
                  <c:v>954</c:v>
                </c:pt>
                <c:pt idx="2">
                  <c:v>976</c:v>
                </c:pt>
                <c:pt idx="3">
                  <c:v>992</c:v>
                </c:pt>
                <c:pt idx="4">
                  <c:v>1008</c:v>
                </c:pt>
                <c:pt idx="5">
                  <c:v>1020</c:v>
                </c:pt>
                <c:pt idx="6">
                  <c:v>1030</c:v>
                </c:pt>
                <c:pt idx="7">
                  <c:v>1074</c:v>
                </c:pt>
                <c:pt idx="8">
                  <c:v>1065</c:v>
                </c:pt>
                <c:pt idx="9">
                  <c:v>1072</c:v>
                </c:pt>
                <c:pt idx="10">
                  <c:v>1086.5</c:v>
                </c:pt>
                <c:pt idx="11">
                  <c:v>1102.2</c:v>
                </c:pt>
                <c:pt idx="12">
                  <c:v>1102.2</c:v>
                </c:pt>
                <c:pt idx="13">
                  <c:v>1130.5999999999999</c:v>
                </c:pt>
                <c:pt idx="14">
                  <c:v>1148.5999999999999</c:v>
                </c:pt>
                <c:pt idx="15">
                  <c:v>1241.9000000000001</c:v>
                </c:pt>
                <c:pt idx="16">
                  <c:v>1237.8</c:v>
                </c:pt>
                <c:pt idx="17">
                  <c:v>1247.8</c:v>
                </c:pt>
                <c:pt idx="18">
                  <c:v>1272.5999999999999</c:v>
                </c:pt>
                <c:pt idx="19">
                  <c:v>1289</c:v>
                </c:pt>
              </c:numCache>
            </c:numRef>
          </c:val>
          <c:extLst>
            <c:ext xmlns:c16="http://schemas.microsoft.com/office/drawing/2014/chart" uri="{C3380CC4-5D6E-409C-BE32-E72D297353CC}">
              <c16:uniqueId val="{00000000-CA4C-45D4-92CC-1B034F00E82C}"/>
            </c:ext>
          </c:extLst>
        </c:ser>
        <c:dLbls>
          <c:showLegendKey val="0"/>
          <c:showVal val="0"/>
          <c:showCatName val="0"/>
          <c:showSerName val="0"/>
          <c:showPercent val="0"/>
          <c:showBubbleSize val="0"/>
        </c:dLbls>
        <c:gapWidth val="219"/>
        <c:axId val="223918720"/>
        <c:axId val="223957760"/>
      </c:barChart>
      <c:lineChart>
        <c:grouping val="standard"/>
        <c:varyColors val="0"/>
        <c:ser>
          <c:idx val="3"/>
          <c:order val="3"/>
          <c:tx>
            <c:strRef>
              <c:f>市场走势!$Y$3</c:f>
              <c:strCache>
                <c:ptCount val="1"/>
                <c:pt idx="0">
                  <c:v>新增供应</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市场走势!$U$4:$U$23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市场走势!$Y$4:$Y$23</c:f>
            </c:numRef>
          </c:val>
          <c:smooth val="0"/>
          <c:extLst>
            <c:ext xmlns:c16="http://schemas.microsoft.com/office/drawing/2014/chart" uri="{C3380CC4-5D6E-409C-BE32-E72D297353CC}">
              <c16:uniqueId val="{00000002-CA4C-45D4-92CC-1B034F00E82C}"/>
            </c:ext>
          </c:extLst>
        </c:ser>
        <c:ser>
          <c:idx val="4"/>
          <c:order val="4"/>
          <c:tx>
            <c:strRef>
              <c:f>市场走势!$Z$3</c:f>
              <c:strCache>
                <c:ptCount val="1"/>
                <c:pt idx="0">
                  <c:v>存量（㎡）</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市场走势!$U$4:$U$23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市场走势!$Z$4:$Z$23</c:f>
            </c:numRef>
          </c:val>
          <c:smooth val="0"/>
          <c:extLst>
            <c:ext xmlns:c16="http://schemas.microsoft.com/office/drawing/2014/chart" uri="{C3380CC4-5D6E-409C-BE32-E72D297353CC}">
              <c16:uniqueId val="{00000003-CA4C-45D4-92CC-1B034F00E82C}"/>
            </c:ext>
          </c:extLst>
        </c:ser>
        <c:ser>
          <c:idx val="0"/>
          <c:order val="0"/>
          <c:tx>
            <c:strRef>
              <c:f>市场走势!$V$3</c:f>
              <c:strCache>
                <c:ptCount val="1"/>
                <c:pt idx="0">
                  <c:v>平均有效租金</c:v>
                </c:pt>
              </c:strCache>
            </c:strRef>
          </c:tx>
          <c:spPr>
            <a:ln w="28575" cap="rnd">
              <a:solidFill>
                <a:schemeClr val="accent1"/>
              </a:solidFill>
              <a:round/>
            </a:ln>
            <a:effectLst/>
          </c:spPr>
          <c:marker>
            <c:symbol val="none"/>
          </c:marker>
          <c:cat>
            <c:strRef>
              <c:f>市场走势!$U$4:$U$23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市场走势!$V$4:$V$23</c:f>
              <c:numCache>
                <c:formatCode>General</c:formatCode>
                <c:ptCount val="20"/>
                <c:pt idx="0">
                  <c:v>339.8</c:v>
                </c:pt>
                <c:pt idx="1">
                  <c:v>337.8</c:v>
                </c:pt>
                <c:pt idx="2">
                  <c:v>337.8</c:v>
                </c:pt>
                <c:pt idx="3">
                  <c:v>336.9</c:v>
                </c:pt>
                <c:pt idx="4">
                  <c:v>335.1</c:v>
                </c:pt>
                <c:pt idx="5">
                  <c:v>338.1</c:v>
                </c:pt>
                <c:pt idx="6">
                  <c:v>338.2</c:v>
                </c:pt>
                <c:pt idx="7">
                  <c:v>340</c:v>
                </c:pt>
                <c:pt idx="8">
                  <c:v>345.3</c:v>
                </c:pt>
                <c:pt idx="9">
                  <c:v>355</c:v>
                </c:pt>
                <c:pt idx="10">
                  <c:v>366.9</c:v>
                </c:pt>
                <c:pt idx="11">
                  <c:v>369</c:v>
                </c:pt>
                <c:pt idx="12">
                  <c:v>368</c:v>
                </c:pt>
                <c:pt idx="13">
                  <c:v>368.3</c:v>
                </c:pt>
                <c:pt idx="14">
                  <c:v>367.6</c:v>
                </c:pt>
                <c:pt idx="15">
                  <c:v>364.9</c:v>
                </c:pt>
                <c:pt idx="16">
                  <c:v>363</c:v>
                </c:pt>
                <c:pt idx="17">
                  <c:v>360.5</c:v>
                </c:pt>
                <c:pt idx="18">
                  <c:v>354.8</c:v>
                </c:pt>
                <c:pt idx="19">
                  <c:v>349.2</c:v>
                </c:pt>
              </c:numCache>
            </c:numRef>
          </c:val>
          <c:smooth val="0"/>
          <c:extLst>
            <c:ext xmlns:c16="http://schemas.microsoft.com/office/drawing/2014/chart" uri="{C3380CC4-5D6E-409C-BE32-E72D297353CC}">
              <c16:uniqueId val="{00000004-CA4C-45D4-92CC-1B034F00E82C}"/>
            </c:ext>
          </c:extLst>
        </c:ser>
        <c:dLbls>
          <c:showLegendKey val="0"/>
          <c:showVal val="0"/>
          <c:showCatName val="0"/>
          <c:showSerName val="0"/>
          <c:showPercent val="0"/>
          <c:showBubbleSize val="0"/>
        </c:dLbls>
        <c:marker val="1"/>
        <c:smooth val="0"/>
        <c:axId val="223918720"/>
        <c:axId val="223957760"/>
        <c:extLst>
          <c:ext xmlns:c15="http://schemas.microsoft.com/office/drawing/2012/chart" uri="{02D57815-91ED-43cb-92C2-25804820EDAC}">
            <c15:filteredLineSeries>
              <c15:ser>
                <c:idx val="2"/>
                <c:order val="2"/>
                <c:tx>
                  <c:strRef>
                    <c:extLst>
                      <c:ext uri="{02D57815-91ED-43cb-92C2-25804820EDAC}">
                        <c15:formulaRef>
                          <c15:sqref>市场走势!$X$3</c15:sqref>
                        </c15:formulaRef>
                      </c:ext>
                    </c:extLst>
                    <c:strCache>
                      <c:ptCount val="1"/>
                      <c:pt idx="0">
                        <c:v>租金增长率</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uri="{02D57815-91ED-43cb-92C2-25804820EDAC}">
                        <c15:formulaRef>
                          <c15:sqref>市场走势!$U$4:$U$23</c15:sqref>
                        </c15:formulaRef>
                      </c:ext>
                    </c:extLst>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extLst>
                      <c:ext uri="{02D57815-91ED-43cb-92C2-25804820EDAC}">
                        <c15:formulaRef>
                          <c15:sqref>市场走势!$X$4:$X$23</c15:sqref>
                        </c15:formulaRef>
                      </c:ext>
                    </c:extLst>
                    <c:numCache>
                      <c:formatCode>0.00%</c:formatCode>
                      <c:ptCount val="20"/>
                      <c:pt idx="1">
                        <c:v>-5.885815185403178E-3</c:v>
                      </c:pt>
                      <c:pt idx="2">
                        <c:v>0</c:v>
                      </c:pt>
                      <c:pt idx="3">
                        <c:v>-2.6642984014210599E-3</c:v>
                      </c:pt>
                      <c:pt idx="4">
                        <c:v>-5.3428317008012904E-3</c:v>
                      </c:pt>
                      <c:pt idx="5">
                        <c:v>8.9525514771709933E-3</c:v>
                      </c:pt>
                      <c:pt idx="6">
                        <c:v>2.9577048210578492E-4</c:v>
                      </c:pt>
                      <c:pt idx="7">
                        <c:v>5.3222945002957172E-3</c:v>
                      </c:pt>
                      <c:pt idx="8">
                        <c:v>1.558823529411768E-2</c:v>
                      </c:pt>
                      <c:pt idx="9">
                        <c:v>2.8091514624963766E-2</c:v>
                      </c:pt>
                      <c:pt idx="10">
                        <c:v>3.3521126760563319E-2</c:v>
                      </c:pt>
                      <c:pt idx="11">
                        <c:v>5.7236304170074212E-3</c:v>
                      </c:pt>
                      <c:pt idx="12">
                        <c:v>-2.7100271002710027E-3</c:v>
                      </c:pt>
                      <c:pt idx="13">
                        <c:v>8.1521739130437868E-4</c:v>
                      </c:pt>
                      <c:pt idx="14">
                        <c:v>-1.9006244909041232E-3</c:v>
                      </c:pt>
                      <c:pt idx="15">
                        <c:v>-7.344940152339623E-3</c:v>
                      </c:pt>
                      <c:pt idx="16">
                        <c:v>-5.2069060016442245E-3</c:v>
                      </c:pt>
                      <c:pt idx="17">
                        <c:v>-6.8870523415977963E-3</c:v>
                      </c:pt>
                      <c:pt idx="18">
                        <c:v>-1.5811373092926458E-2</c:v>
                      </c:pt>
                      <c:pt idx="19">
                        <c:v>-1.578354002254798E-2</c:v>
                      </c:pt>
                    </c:numCache>
                  </c:numRef>
                </c:val>
                <c:smooth val="0"/>
                <c:extLst>
                  <c:ext xmlns:c16="http://schemas.microsoft.com/office/drawing/2014/chart" uri="{C3380CC4-5D6E-409C-BE32-E72D297353CC}">
                    <c16:uniqueId val="{00000001-CA4C-45D4-92CC-1B034F00E82C}"/>
                  </c:ext>
                </c:extLst>
              </c15:ser>
            </c15:filteredLineSeries>
          </c:ext>
        </c:extLst>
      </c:lineChart>
      <c:lineChart>
        <c:grouping val="standard"/>
        <c:varyColors val="0"/>
        <c:ser>
          <c:idx val="1"/>
          <c:order val="1"/>
          <c:tx>
            <c:strRef>
              <c:f>市场走势!$W$3</c:f>
              <c:strCache>
                <c:ptCount val="1"/>
                <c:pt idx="0">
                  <c:v>空置率</c:v>
                </c:pt>
              </c:strCache>
            </c:strRef>
          </c:tx>
          <c:spPr>
            <a:ln w="28575" cap="rnd">
              <a:solidFill>
                <a:schemeClr val="accent2"/>
              </a:solidFill>
              <a:round/>
            </a:ln>
            <a:effectLst/>
          </c:spPr>
          <c:marker>
            <c:symbol val="none"/>
          </c:marker>
          <c:cat>
            <c:strRef>
              <c:f>市场走势!$U$4:$U$23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市场走势!$W$4:$W$23</c:f>
              <c:numCache>
                <c:formatCode>0.00%</c:formatCode>
                <c:ptCount val="20"/>
                <c:pt idx="0">
                  <c:v>3.9E-2</c:v>
                </c:pt>
                <c:pt idx="1">
                  <c:v>4.3999999999999997E-2</c:v>
                </c:pt>
                <c:pt idx="2">
                  <c:v>4.9000000000000002E-2</c:v>
                </c:pt>
                <c:pt idx="3">
                  <c:v>5.6000000000000001E-2</c:v>
                </c:pt>
                <c:pt idx="4">
                  <c:v>6.0999999999999999E-2</c:v>
                </c:pt>
                <c:pt idx="5">
                  <c:v>6.5000000000000002E-2</c:v>
                </c:pt>
                <c:pt idx="6">
                  <c:v>5.5E-2</c:v>
                </c:pt>
                <c:pt idx="7">
                  <c:v>7.5999999999999998E-2</c:v>
                </c:pt>
                <c:pt idx="8">
                  <c:v>6.8000000000000005E-2</c:v>
                </c:pt>
                <c:pt idx="9">
                  <c:v>5.8000000000000003E-2</c:v>
                </c:pt>
                <c:pt idx="10">
                  <c:v>6.5000000000000002E-2</c:v>
                </c:pt>
                <c:pt idx="11">
                  <c:v>7.0000000000000007E-2</c:v>
                </c:pt>
                <c:pt idx="12">
                  <c:v>6.9000000000000006E-2</c:v>
                </c:pt>
                <c:pt idx="13">
                  <c:v>8.5999999999999993E-2</c:v>
                </c:pt>
                <c:pt idx="14">
                  <c:v>9.1999999999999998E-2</c:v>
                </c:pt>
                <c:pt idx="15">
                  <c:v>0.127</c:v>
                </c:pt>
                <c:pt idx="16">
                  <c:v>0.13200000000000001</c:v>
                </c:pt>
                <c:pt idx="17">
                  <c:v>0.13600000000000001</c:v>
                </c:pt>
                <c:pt idx="18">
                  <c:v>0.15</c:v>
                </c:pt>
                <c:pt idx="19">
                  <c:v>0.158</c:v>
                </c:pt>
              </c:numCache>
            </c:numRef>
          </c:val>
          <c:smooth val="0"/>
          <c:extLst>
            <c:ext xmlns:c16="http://schemas.microsoft.com/office/drawing/2014/chart" uri="{C3380CC4-5D6E-409C-BE32-E72D297353CC}">
              <c16:uniqueId val="{00000005-CA4C-45D4-92CC-1B034F00E82C}"/>
            </c:ext>
          </c:extLst>
        </c:ser>
        <c:dLbls>
          <c:showLegendKey val="0"/>
          <c:showVal val="0"/>
          <c:showCatName val="0"/>
          <c:showSerName val="0"/>
          <c:showPercent val="0"/>
          <c:showBubbleSize val="0"/>
        </c:dLbls>
        <c:marker val="1"/>
        <c:smooth val="0"/>
        <c:axId val="223969280"/>
        <c:axId val="223959296"/>
      </c:lineChart>
      <c:catAx>
        <c:axId val="223918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23957760"/>
        <c:crosses val="autoZero"/>
        <c:auto val="1"/>
        <c:lblAlgn val="ctr"/>
        <c:lblOffset val="100"/>
        <c:noMultiLvlLbl val="0"/>
      </c:catAx>
      <c:valAx>
        <c:axId val="2239577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23918720"/>
        <c:crosses val="autoZero"/>
        <c:crossBetween val="between"/>
      </c:valAx>
      <c:valAx>
        <c:axId val="223959296"/>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23969280"/>
        <c:crosses val="max"/>
        <c:crossBetween val="between"/>
      </c:valAx>
      <c:catAx>
        <c:axId val="223969280"/>
        <c:scaling>
          <c:orientation val="minMax"/>
        </c:scaling>
        <c:delete val="1"/>
        <c:axPos val="b"/>
        <c:numFmt formatCode="General" sourceLinked="1"/>
        <c:majorTickMark val="out"/>
        <c:minorTickMark val="none"/>
        <c:tickLblPos val="nextTo"/>
        <c:crossAx val="22395929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zh-CN" altLang="en-US" sz="1600" b="0" i="0" baseline="0">
                <a:effectLst/>
              </a:rPr>
              <a:t>北京全市</a:t>
            </a:r>
            <a:r>
              <a:rPr lang="zh-CN" altLang="zh-CN" sz="1600" b="0" i="0" baseline="0">
                <a:effectLst/>
              </a:rPr>
              <a:t>办公楼市场分析</a:t>
            </a:r>
            <a:endParaRPr lang="zh-CN" altLang="zh-CN" sz="1600">
              <a:effectLst/>
            </a:endParaRPr>
          </a:p>
        </c:rich>
      </c:tx>
      <c:overlay val="0"/>
      <c:spPr>
        <a:noFill/>
        <a:ln>
          <a:noFill/>
        </a:ln>
        <a:effectLst/>
      </c:spPr>
    </c:title>
    <c:autoTitleDeleted val="0"/>
    <c:plotArea>
      <c:layout/>
      <c:barChart>
        <c:barDir val="col"/>
        <c:grouping val="clustered"/>
        <c:varyColors val="0"/>
        <c:ser>
          <c:idx val="5"/>
          <c:order val="5"/>
          <c:tx>
            <c:strRef>
              <c:f>市场走势!$Q$76:$Q$77</c:f>
              <c:strCache>
                <c:ptCount val="2"/>
                <c:pt idx="0">
                  <c:v>存量（万㎡）</c:v>
                </c:pt>
              </c:strCache>
            </c:strRef>
          </c:tx>
          <c:spPr>
            <a:solidFill>
              <a:schemeClr val="accent6"/>
            </a:solidFill>
            <a:ln>
              <a:noFill/>
            </a:ln>
            <a:effectLst/>
          </c:spPr>
          <c:invertIfNegative val="0"/>
          <c:cat>
            <c:strRef>
              <c:f>市场走势!$K$78:$K$96</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市场走势!$Q$78:$Q$96</c:f>
              <c:numCache>
                <c:formatCode>General</c:formatCode>
                <c:ptCount val="19"/>
                <c:pt idx="0">
                  <c:v>839</c:v>
                </c:pt>
                <c:pt idx="1">
                  <c:v>869</c:v>
                </c:pt>
                <c:pt idx="2">
                  <c:v>886</c:v>
                </c:pt>
                <c:pt idx="3">
                  <c:v>901</c:v>
                </c:pt>
                <c:pt idx="4">
                  <c:v>921</c:v>
                </c:pt>
                <c:pt idx="5">
                  <c:v>924</c:v>
                </c:pt>
                <c:pt idx="6">
                  <c:v>966</c:v>
                </c:pt>
                <c:pt idx="7">
                  <c:v>976</c:v>
                </c:pt>
                <c:pt idx="8">
                  <c:v>981</c:v>
                </c:pt>
                <c:pt idx="9">
                  <c:v>989</c:v>
                </c:pt>
                <c:pt idx="10">
                  <c:v>1005</c:v>
                </c:pt>
                <c:pt idx="11">
                  <c:v>1009</c:v>
                </c:pt>
                <c:pt idx="12">
                  <c:v>1016</c:v>
                </c:pt>
                <c:pt idx="13">
                  <c:v>1029</c:v>
                </c:pt>
                <c:pt idx="14">
                  <c:v>1106</c:v>
                </c:pt>
                <c:pt idx="15">
                  <c:v>1105</c:v>
                </c:pt>
                <c:pt idx="16">
                  <c:v>1120</c:v>
                </c:pt>
                <c:pt idx="17">
                  <c:v>1134</c:v>
                </c:pt>
                <c:pt idx="18">
                  <c:v>1168</c:v>
                </c:pt>
              </c:numCache>
            </c:numRef>
          </c:val>
          <c:extLst>
            <c:ext xmlns:c16="http://schemas.microsoft.com/office/drawing/2014/chart" uri="{C3380CC4-5D6E-409C-BE32-E72D297353CC}">
              <c16:uniqueId val="{00000000-7BC2-429A-AD9A-E7577A2468AC}"/>
            </c:ext>
          </c:extLst>
        </c:ser>
        <c:dLbls>
          <c:showLegendKey val="0"/>
          <c:showVal val="0"/>
          <c:showCatName val="0"/>
          <c:showSerName val="0"/>
          <c:showPercent val="0"/>
          <c:showBubbleSize val="0"/>
        </c:dLbls>
        <c:gapWidth val="219"/>
        <c:axId val="230841728"/>
        <c:axId val="230872192"/>
      </c:barChart>
      <c:lineChart>
        <c:grouping val="standard"/>
        <c:varyColors val="0"/>
        <c:ser>
          <c:idx val="2"/>
          <c:order val="2"/>
          <c:tx>
            <c:strRef>
              <c:f>市场走势!$N$76:$N$77</c:f>
              <c:strCache>
                <c:ptCount val="2"/>
                <c:pt idx="0">
                  <c:v>租金增长率</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市场走势!$K$78:$K$96</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市场走势!$N$78:$N$96</c:f>
            </c:numRef>
          </c:val>
          <c:smooth val="0"/>
          <c:extLst>
            <c:ext xmlns:c16="http://schemas.microsoft.com/office/drawing/2014/chart" uri="{C3380CC4-5D6E-409C-BE32-E72D297353CC}">
              <c16:uniqueId val="{00000001-7BC2-429A-AD9A-E7577A2468AC}"/>
            </c:ext>
          </c:extLst>
        </c:ser>
        <c:ser>
          <c:idx val="3"/>
          <c:order val="3"/>
          <c:tx>
            <c:strRef>
              <c:f>市场走势!$O$76:$O$77</c:f>
              <c:strCache>
                <c:ptCount val="2"/>
                <c:pt idx="0">
                  <c:v>新增供应</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市场走势!$K$78:$K$96</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市场走势!$O$78:$O$96</c:f>
            </c:numRef>
          </c:val>
          <c:smooth val="0"/>
          <c:extLst>
            <c:ext xmlns:c16="http://schemas.microsoft.com/office/drawing/2014/chart" uri="{C3380CC4-5D6E-409C-BE32-E72D297353CC}">
              <c16:uniqueId val="{00000002-7BC2-429A-AD9A-E7577A2468AC}"/>
            </c:ext>
          </c:extLst>
        </c:ser>
        <c:ser>
          <c:idx val="4"/>
          <c:order val="4"/>
          <c:tx>
            <c:strRef>
              <c:f>市场走势!$P$76:$P$77</c:f>
              <c:strCache>
                <c:ptCount val="2"/>
                <c:pt idx="0">
                  <c:v>库存（㎡）</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市场走势!$K$78:$K$96</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市场走势!$P$78:$P$96</c:f>
            </c:numRef>
          </c:val>
          <c:smooth val="0"/>
          <c:extLst>
            <c:ext xmlns:c16="http://schemas.microsoft.com/office/drawing/2014/chart" uri="{C3380CC4-5D6E-409C-BE32-E72D297353CC}">
              <c16:uniqueId val="{00000003-7BC2-429A-AD9A-E7577A2468AC}"/>
            </c:ext>
          </c:extLst>
        </c:ser>
        <c:ser>
          <c:idx val="0"/>
          <c:order val="0"/>
          <c:tx>
            <c:strRef>
              <c:f>市场走势!$L$76:$L$77</c:f>
              <c:strCache>
                <c:ptCount val="2"/>
                <c:pt idx="0">
                  <c:v>平均有效租金</c:v>
                </c:pt>
              </c:strCache>
            </c:strRef>
          </c:tx>
          <c:spPr>
            <a:ln w="28575" cap="rnd">
              <a:solidFill>
                <a:schemeClr val="accent1"/>
              </a:solidFill>
              <a:round/>
            </a:ln>
            <a:effectLst/>
          </c:spPr>
          <c:marker>
            <c:symbol val="none"/>
          </c:marker>
          <c:cat>
            <c:strRef>
              <c:f>市场走势!$K$78:$K$96</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市场走势!$L$78:$L$96</c:f>
              <c:numCache>
                <c:formatCode>General</c:formatCode>
                <c:ptCount val="19"/>
                <c:pt idx="0">
                  <c:v>363</c:v>
                </c:pt>
                <c:pt idx="1">
                  <c:v>364</c:v>
                </c:pt>
                <c:pt idx="2">
                  <c:v>366</c:v>
                </c:pt>
                <c:pt idx="3">
                  <c:v>365</c:v>
                </c:pt>
                <c:pt idx="4">
                  <c:v>368</c:v>
                </c:pt>
                <c:pt idx="5">
                  <c:v>369</c:v>
                </c:pt>
                <c:pt idx="6">
                  <c:v>370</c:v>
                </c:pt>
                <c:pt idx="7">
                  <c:v>369</c:v>
                </c:pt>
                <c:pt idx="8">
                  <c:v>378</c:v>
                </c:pt>
                <c:pt idx="9">
                  <c:v>387</c:v>
                </c:pt>
                <c:pt idx="10">
                  <c:v>385</c:v>
                </c:pt>
                <c:pt idx="11">
                  <c:v>383</c:v>
                </c:pt>
                <c:pt idx="12">
                  <c:v>380</c:v>
                </c:pt>
                <c:pt idx="13">
                  <c:v>377</c:v>
                </c:pt>
                <c:pt idx="14">
                  <c:v>375</c:v>
                </c:pt>
                <c:pt idx="15">
                  <c:v>371</c:v>
                </c:pt>
                <c:pt idx="16">
                  <c:v>358</c:v>
                </c:pt>
                <c:pt idx="17">
                  <c:v>352</c:v>
                </c:pt>
                <c:pt idx="18">
                  <c:v>343</c:v>
                </c:pt>
              </c:numCache>
            </c:numRef>
          </c:val>
          <c:smooth val="0"/>
          <c:extLst>
            <c:ext xmlns:c16="http://schemas.microsoft.com/office/drawing/2014/chart" uri="{C3380CC4-5D6E-409C-BE32-E72D297353CC}">
              <c16:uniqueId val="{00000004-7BC2-429A-AD9A-E7577A2468AC}"/>
            </c:ext>
          </c:extLst>
        </c:ser>
        <c:dLbls>
          <c:showLegendKey val="0"/>
          <c:showVal val="0"/>
          <c:showCatName val="0"/>
          <c:showSerName val="0"/>
          <c:showPercent val="0"/>
          <c:showBubbleSize val="0"/>
        </c:dLbls>
        <c:marker val="1"/>
        <c:smooth val="0"/>
        <c:axId val="230841728"/>
        <c:axId val="230872192"/>
      </c:lineChart>
      <c:lineChart>
        <c:grouping val="standard"/>
        <c:varyColors val="0"/>
        <c:ser>
          <c:idx val="1"/>
          <c:order val="1"/>
          <c:tx>
            <c:strRef>
              <c:f>市场走势!$M$76:$M$77</c:f>
              <c:strCache>
                <c:ptCount val="2"/>
                <c:pt idx="0">
                  <c:v>空置率</c:v>
                </c:pt>
              </c:strCache>
            </c:strRef>
          </c:tx>
          <c:spPr>
            <a:ln w="28575" cap="rnd">
              <a:solidFill>
                <a:schemeClr val="accent2"/>
              </a:solidFill>
              <a:round/>
            </a:ln>
            <a:effectLst/>
          </c:spPr>
          <c:marker>
            <c:symbol val="none"/>
          </c:marker>
          <c:cat>
            <c:strRef>
              <c:f>市场走势!$K$78:$K$96</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市场走势!$M$78:$M$96</c:f>
              <c:numCache>
                <c:formatCode>0.00%</c:formatCode>
                <c:ptCount val="19"/>
                <c:pt idx="0">
                  <c:v>5.4300000000000001E-2</c:v>
                </c:pt>
                <c:pt idx="1">
                  <c:v>5.1999999999999998E-2</c:v>
                </c:pt>
                <c:pt idx="2">
                  <c:v>5.3699999999999998E-2</c:v>
                </c:pt>
                <c:pt idx="3">
                  <c:v>5.7700000000000001E-2</c:v>
                </c:pt>
                <c:pt idx="4">
                  <c:v>6.6699999999999995E-2</c:v>
                </c:pt>
                <c:pt idx="5">
                  <c:v>5.8000000000000003E-2</c:v>
                </c:pt>
                <c:pt idx="6">
                  <c:v>7.4700000000000003E-2</c:v>
                </c:pt>
                <c:pt idx="7">
                  <c:v>6.5000000000000002E-2</c:v>
                </c:pt>
                <c:pt idx="8">
                  <c:v>5.3999999999999999E-2</c:v>
                </c:pt>
                <c:pt idx="9">
                  <c:v>5.8700000000000002E-2</c:v>
                </c:pt>
                <c:pt idx="10">
                  <c:v>6.6699999999999995E-2</c:v>
                </c:pt>
                <c:pt idx="11">
                  <c:v>6.8699999999999997E-2</c:v>
                </c:pt>
                <c:pt idx="12">
                  <c:v>8.1299999999999997E-2</c:v>
                </c:pt>
                <c:pt idx="13">
                  <c:v>8.8200000000000001E-2</c:v>
                </c:pt>
                <c:pt idx="14">
                  <c:v>0.125</c:v>
                </c:pt>
                <c:pt idx="15">
                  <c:v>0.12770000000000001</c:v>
                </c:pt>
                <c:pt idx="16">
                  <c:v>0.14599999999999999</c:v>
                </c:pt>
                <c:pt idx="17">
                  <c:v>0.1517</c:v>
                </c:pt>
                <c:pt idx="18">
                  <c:v>0.16070000000000001</c:v>
                </c:pt>
              </c:numCache>
            </c:numRef>
          </c:val>
          <c:smooth val="0"/>
          <c:extLst>
            <c:ext xmlns:c16="http://schemas.microsoft.com/office/drawing/2014/chart" uri="{C3380CC4-5D6E-409C-BE32-E72D297353CC}">
              <c16:uniqueId val="{00000005-7BC2-429A-AD9A-E7577A2468AC}"/>
            </c:ext>
          </c:extLst>
        </c:ser>
        <c:dLbls>
          <c:showLegendKey val="0"/>
          <c:showVal val="0"/>
          <c:showCatName val="0"/>
          <c:showSerName val="0"/>
          <c:showPercent val="0"/>
          <c:showBubbleSize val="0"/>
        </c:dLbls>
        <c:marker val="1"/>
        <c:smooth val="0"/>
        <c:axId val="230875520"/>
        <c:axId val="230873728"/>
        <c:extLst/>
      </c:lineChart>
      <c:catAx>
        <c:axId val="230841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72192"/>
        <c:crosses val="autoZero"/>
        <c:auto val="1"/>
        <c:lblAlgn val="ctr"/>
        <c:lblOffset val="100"/>
        <c:noMultiLvlLbl val="0"/>
      </c:catAx>
      <c:valAx>
        <c:axId val="2308721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41728"/>
        <c:crosses val="autoZero"/>
        <c:crossBetween val="between"/>
      </c:valAx>
      <c:valAx>
        <c:axId val="230873728"/>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75520"/>
        <c:crosses val="max"/>
        <c:crossBetween val="between"/>
      </c:valAx>
      <c:catAx>
        <c:axId val="230875520"/>
        <c:scaling>
          <c:orientation val="minMax"/>
        </c:scaling>
        <c:delete val="1"/>
        <c:axPos val="b"/>
        <c:numFmt formatCode="General" sourceLinked="1"/>
        <c:majorTickMark val="out"/>
        <c:minorTickMark val="none"/>
        <c:tickLblPos val="nextTo"/>
        <c:crossAx val="23087372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zh-CN" altLang="en-US" sz="1600" b="0" i="0" baseline="0">
                <a:effectLst/>
              </a:rPr>
              <a:t>北京东二环</a:t>
            </a:r>
            <a:r>
              <a:rPr lang="zh-CN" altLang="zh-CN" sz="1600" b="0" i="0" baseline="0">
                <a:effectLst/>
              </a:rPr>
              <a:t>办公楼市场分析</a:t>
            </a:r>
            <a:endParaRPr lang="zh-CN" altLang="zh-CN" sz="1600">
              <a:effectLst/>
            </a:endParaRPr>
          </a:p>
        </c:rich>
      </c:tx>
      <c:overlay val="0"/>
      <c:spPr>
        <a:noFill/>
        <a:ln>
          <a:noFill/>
        </a:ln>
        <a:effectLst/>
      </c:spPr>
    </c:title>
    <c:autoTitleDeleted val="0"/>
    <c:plotArea>
      <c:layout/>
      <c:barChart>
        <c:barDir val="col"/>
        <c:grouping val="clustered"/>
        <c:varyColors val="0"/>
        <c:ser>
          <c:idx val="5"/>
          <c:order val="5"/>
          <c:tx>
            <c:strRef>
              <c:f>市场走势!$AA$52:$AA$53</c:f>
              <c:strCache>
                <c:ptCount val="2"/>
                <c:pt idx="0">
                  <c:v>存量（万㎡）</c:v>
                </c:pt>
              </c:strCache>
            </c:strRef>
          </c:tx>
          <c:spPr>
            <a:solidFill>
              <a:schemeClr val="accent6"/>
            </a:solidFill>
            <a:ln>
              <a:noFill/>
            </a:ln>
            <a:effectLst/>
          </c:spPr>
          <c:invertIfNegative val="0"/>
          <c:cat>
            <c:strRef>
              <c:f>市场走势!$U$54:$U$72</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市场走势!$AA$54:$AA$72</c:f>
              <c:numCache>
                <c:formatCode>General</c:formatCode>
                <c:ptCount val="19"/>
                <c:pt idx="0">
                  <c:v>96</c:v>
                </c:pt>
                <c:pt idx="1">
                  <c:v>99</c:v>
                </c:pt>
                <c:pt idx="2">
                  <c:v>95</c:v>
                </c:pt>
                <c:pt idx="3">
                  <c:v>95</c:v>
                </c:pt>
                <c:pt idx="4">
                  <c:v>95</c:v>
                </c:pt>
                <c:pt idx="5">
                  <c:v>95</c:v>
                </c:pt>
                <c:pt idx="6">
                  <c:v>95</c:v>
                </c:pt>
                <c:pt idx="7">
                  <c:v>95</c:v>
                </c:pt>
                <c:pt idx="8">
                  <c:v>95</c:v>
                </c:pt>
                <c:pt idx="9">
                  <c:v>97</c:v>
                </c:pt>
                <c:pt idx="10">
                  <c:v>97</c:v>
                </c:pt>
                <c:pt idx="11">
                  <c:v>97</c:v>
                </c:pt>
                <c:pt idx="12">
                  <c:v>100</c:v>
                </c:pt>
                <c:pt idx="13">
                  <c:v>100</c:v>
                </c:pt>
                <c:pt idx="14">
                  <c:v>100</c:v>
                </c:pt>
                <c:pt idx="15">
                  <c:v>100</c:v>
                </c:pt>
                <c:pt idx="16">
                  <c:v>100</c:v>
                </c:pt>
                <c:pt idx="17">
                  <c:v>106</c:v>
                </c:pt>
                <c:pt idx="18">
                  <c:v>112</c:v>
                </c:pt>
              </c:numCache>
            </c:numRef>
          </c:val>
          <c:extLst>
            <c:ext xmlns:c16="http://schemas.microsoft.com/office/drawing/2014/chart" uri="{C3380CC4-5D6E-409C-BE32-E72D297353CC}">
              <c16:uniqueId val="{00000000-8086-4AB8-966F-C101B8387184}"/>
            </c:ext>
          </c:extLst>
        </c:ser>
        <c:dLbls>
          <c:showLegendKey val="0"/>
          <c:showVal val="0"/>
          <c:showCatName val="0"/>
          <c:showSerName val="0"/>
          <c:showPercent val="0"/>
          <c:showBubbleSize val="0"/>
        </c:dLbls>
        <c:gapWidth val="219"/>
        <c:axId val="230841728"/>
        <c:axId val="230872192"/>
      </c:barChart>
      <c:lineChart>
        <c:grouping val="standard"/>
        <c:varyColors val="0"/>
        <c:ser>
          <c:idx val="3"/>
          <c:order val="3"/>
          <c:tx>
            <c:strRef>
              <c:f>市场走势!$Y$52:$Y$53</c:f>
              <c:strCache>
                <c:ptCount val="2"/>
                <c:pt idx="0">
                  <c:v>新增供应</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市场走势!$U$54:$U$72</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市场走势!$Y$54:$Y$72</c:f>
            </c:numRef>
          </c:val>
          <c:smooth val="0"/>
          <c:extLst>
            <c:ext xmlns:c16="http://schemas.microsoft.com/office/drawing/2014/chart" uri="{C3380CC4-5D6E-409C-BE32-E72D297353CC}">
              <c16:uniqueId val="{00000002-8086-4AB8-966F-C101B8387184}"/>
            </c:ext>
          </c:extLst>
        </c:ser>
        <c:ser>
          <c:idx val="4"/>
          <c:order val="4"/>
          <c:tx>
            <c:strRef>
              <c:f>市场走势!$Z$52:$Z$53</c:f>
              <c:strCache>
                <c:ptCount val="2"/>
                <c:pt idx="0">
                  <c:v>库存（㎡）</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市场走势!$U$54:$U$72</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市场走势!$Z$54:$Z$72</c:f>
            </c:numRef>
          </c:val>
          <c:smooth val="0"/>
          <c:extLst>
            <c:ext xmlns:c16="http://schemas.microsoft.com/office/drawing/2014/chart" uri="{C3380CC4-5D6E-409C-BE32-E72D297353CC}">
              <c16:uniqueId val="{00000003-8086-4AB8-966F-C101B8387184}"/>
            </c:ext>
          </c:extLst>
        </c:ser>
        <c:ser>
          <c:idx val="0"/>
          <c:order val="0"/>
          <c:tx>
            <c:strRef>
              <c:f>市场走势!$V$52:$V$53</c:f>
              <c:strCache>
                <c:ptCount val="2"/>
                <c:pt idx="0">
                  <c:v>平均有效租金</c:v>
                </c:pt>
              </c:strCache>
            </c:strRef>
          </c:tx>
          <c:spPr>
            <a:ln w="28575" cap="rnd">
              <a:solidFill>
                <a:schemeClr val="accent1"/>
              </a:solidFill>
              <a:round/>
            </a:ln>
            <a:effectLst/>
          </c:spPr>
          <c:marker>
            <c:symbol val="none"/>
          </c:marker>
          <c:cat>
            <c:strRef>
              <c:f>市场走势!$U$54:$U$72</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市场走势!$V$54:$V$72</c:f>
              <c:numCache>
                <c:formatCode>General</c:formatCode>
                <c:ptCount val="19"/>
                <c:pt idx="0">
                  <c:v>331</c:v>
                </c:pt>
                <c:pt idx="1">
                  <c:v>340</c:v>
                </c:pt>
                <c:pt idx="2">
                  <c:v>334</c:v>
                </c:pt>
                <c:pt idx="3">
                  <c:v>334</c:v>
                </c:pt>
                <c:pt idx="4">
                  <c:v>336</c:v>
                </c:pt>
                <c:pt idx="5">
                  <c:v>338</c:v>
                </c:pt>
                <c:pt idx="6">
                  <c:v>342</c:v>
                </c:pt>
                <c:pt idx="7">
                  <c:v>349</c:v>
                </c:pt>
                <c:pt idx="8">
                  <c:v>350</c:v>
                </c:pt>
                <c:pt idx="9">
                  <c:v>358</c:v>
                </c:pt>
                <c:pt idx="10">
                  <c:v>355</c:v>
                </c:pt>
                <c:pt idx="11">
                  <c:v>353</c:v>
                </c:pt>
                <c:pt idx="12">
                  <c:v>346</c:v>
                </c:pt>
                <c:pt idx="13">
                  <c:v>345</c:v>
                </c:pt>
                <c:pt idx="14">
                  <c:v>343</c:v>
                </c:pt>
                <c:pt idx="15">
                  <c:v>342</c:v>
                </c:pt>
                <c:pt idx="16">
                  <c:v>335</c:v>
                </c:pt>
                <c:pt idx="17">
                  <c:v>333</c:v>
                </c:pt>
                <c:pt idx="18">
                  <c:v>323</c:v>
                </c:pt>
              </c:numCache>
            </c:numRef>
          </c:val>
          <c:smooth val="0"/>
          <c:extLst>
            <c:ext xmlns:c16="http://schemas.microsoft.com/office/drawing/2014/chart" uri="{C3380CC4-5D6E-409C-BE32-E72D297353CC}">
              <c16:uniqueId val="{00000004-8086-4AB8-966F-C101B8387184}"/>
            </c:ext>
          </c:extLst>
        </c:ser>
        <c:dLbls>
          <c:showLegendKey val="0"/>
          <c:showVal val="0"/>
          <c:showCatName val="0"/>
          <c:showSerName val="0"/>
          <c:showPercent val="0"/>
          <c:showBubbleSize val="0"/>
        </c:dLbls>
        <c:marker val="1"/>
        <c:smooth val="0"/>
        <c:axId val="230841728"/>
        <c:axId val="230872192"/>
        <c:extLst>
          <c:ext xmlns:c15="http://schemas.microsoft.com/office/drawing/2012/chart" uri="{02D57815-91ED-43cb-92C2-25804820EDAC}">
            <c15:filteredLineSeries>
              <c15:ser>
                <c:idx val="2"/>
                <c:order val="2"/>
                <c:tx>
                  <c:strRef>
                    <c:extLst>
                      <c:ext uri="{02D57815-91ED-43cb-92C2-25804820EDAC}">
                        <c15:formulaRef>
                          <c15:sqref>市场走势!$X$52:$X$53</c15:sqref>
                        </c15:formulaRef>
                      </c:ext>
                    </c:extLst>
                    <c:strCache>
                      <c:ptCount val="2"/>
                      <c:pt idx="0">
                        <c:v>租金增长率</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uri="{02D57815-91ED-43cb-92C2-25804820EDAC}">
                        <c15:formulaRef>
                          <c15:sqref>市场走势!$U$54:$U$72</c15:sqref>
                        </c15:formulaRef>
                      </c:ext>
                    </c:extLst>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uri="{02D57815-91ED-43cb-92C2-25804820EDAC}">
                        <c15:formulaRef>
                          <c15:sqref>市场走势!$X$54:$X$72</c15:sqref>
                        </c15:formulaRef>
                      </c:ext>
                    </c:extLst>
                    <c:numCache>
                      <c:formatCode>0.00%</c:formatCode>
                      <c:ptCount val="19"/>
                      <c:pt idx="1">
                        <c:v>2.7190332326283987E-2</c:v>
                      </c:pt>
                      <c:pt idx="2">
                        <c:v>-1.7647058823529412E-2</c:v>
                      </c:pt>
                      <c:pt idx="3">
                        <c:v>0</c:v>
                      </c:pt>
                      <c:pt idx="4">
                        <c:v>5.9880239520958087E-3</c:v>
                      </c:pt>
                      <c:pt idx="5">
                        <c:v>5.9523809523809521E-3</c:v>
                      </c:pt>
                      <c:pt idx="6">
                        <c:v>1.1834319526627219E-2</c:v>
                      </c:pt>
                      <c:pt idx="7">
                        <c:v>2.046783625730994E-2</c:v>
                      </c:pt>
                      <c:pt idx="8">
                        <c:v>2.8653295128939827E-3</c:v>
                      </c:pt>
                      <c:pt idx="9">
                        <c:v>2.2857142857142857E-2</c:v>
                      </c:pt>
                      <c:pt idx="10">
                        <c:v>-8.3798882681564244E-3</c:v>
                      </c:pt>
                      <c:pt idx="11">
                        <c:v>-5.6338028169014088E-3</c:v>
                      </c:pt>
                      <c:pt idx="12">
                        <c:v>-1.9830028328611898E-2</c:v>
                      </c:pt>
                      <c:pt idx="13">
                        <c:v>-2.8901734104046241E-3</c:v>
                      </c:pt>
                      <c:pt idx="14">
                        <c:v>-5.7971014492753624E-3</c:v>
                      </c:pt>
                      <c:pt idx="15">
                        <c:v>-2.9154518950437317E-3</c:v>
                      </c:pt>
                      <c:pt idx="16">
                        <c:v>-2.046783625730994E-2</c:v>
                      </c:pt>
                      <c:pt idx="17">
                        <c:v>-5.9701492537313433E-3</c:v>
                      </c:pt>
                      <c:pt idx="18">
                        <c:v>-3.003003003003003E-2</c:v>
                      </c:pt>
                    </c:numCache>
                  </c:numRef>
                </c:val>
                <c:smooth val="0"/>
                <c:extLst>
                  <c:ext xmlns:c16="http://schemas.microsoft.com/office/drawing/2014/chart" uri="{C3380CC4-5D6E-409C-BE32-E72D297353CC}">
                    <c16:uniqueId val="{00000001-8086-4AB8-966F-C101B8387184}"/>
                  </c:ext>
                </c:extLst>
              </c15:ser>
            </c15:filteredLineSeries>
          </c:ext>
        </c:extLst>
      </c:lineChart>
      <c:lineChart>
        <c:grouping val="standard"/>
        <c:varyColors val="0"/>
        <c:ser>
          <c:idx val="1"/>
          <c:order val="1"/>
          <c:tx>
            <c:strRef>
              <c:f>市场走势!$W$52:$W$53</c:f>
              <c:strCache>
                <c:ptCount val="2"/>
                <c:pt idx="0">
                  <c:v>空置率</c:v>
                </c:pt>
              </c:strCache>
            </c:strRef>
          </c:tx>
          <c:spPr>
            <a:ln w="28575" cap="rnd">
              <a:solidFill>
                <a:schemeClr val="accent2"/>
              </a:solidFill>
              <a:round/>
            </a:ln>
            <a:effectLst/>
          </c:spPr>
          <c:marker>
            <c:symbol val="none"/>
          </c:marker>
          <c:cat>
            <c:strRef>
              <c:f>市场走势!$U$54:$U$72</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市场走势!$W$54:$W$72</c:f>
              <c:numCache>
                <c:formatCode>0.00%</c:formatCode>
                <c:ptCount val="19"/>
                <c:pt idx="0">
                  <c:v>1.7000000000000001E-2</c:v>
                </c:pt>
                <c:pt idx="1">
                  <c:v>3.2000000000000001E-2</c:v>
                </c:pt>
                <c:pt idx="2">
                  <c:v>1.9E-2</c:v>
                </c:pt>
                <c:pt idx="3">
                  <c:v>1.6500000000000001E-2</c:v>
                </c:pt>
                <c:pt idx="4">
                  <c:v>2.1000000000000001E-2</c:v>
                </c:pt>
                <c:pt idx="5">
                  <c:v>2.9000000000000001E-2</c:v>
                </c:pt>
                <c:pt idx="6">
                  <c:v>2.1000000000000001E-2</c:v>
                </c:pt>
                <c:pt idx="7">
                  <c:v>0.02</c:v>
                </c:pt>
                <c:pt idx="8">
                  <c:v>3.85E-2</c:v>
                </c:pt>
                <c:pt idx="9">
                  <c:v>3.15E-2</c:v>
                </c:pt>
                <c:pt idx="10">
                  <c:v>3.0499999999999999E-2</c:v>
                </c:pt>
                <c:pt idx="11">
                  <c:v>2.64E-2</c:v>
                </c:pt>
                <c:pt idx="12">
                  <c:v>3.2500000000000001E-2</c:v>
                </c:pt>
                <c:pt idx="13">
                  <c:v>2.9499999999999998E-2</c:v>
                </c:pt>
                <c:pt idx="14">
                  <c:v>2.8500000000000001E-2</c:v>
                </c:pt>
                <c:pt idx="15">
                  <c:v>3.4000000000000002E-2</c:v>
                </c:pt>
                <c:pt idx="16">
                  <c:v>3.7499999999999999E-2</c:v>
                </c:pt>
                <c:pt idx="17">
                  <c:v>8.1500000000000003E-2</c:v>
                </c:pt>
                <c:pt idx="18">
                  <c:v>0.126</c:v>
                </c:pt>
              </c:numCache>
            </c:numRef>
          </c:val>
          <c:smooth val="0"/>
          <c:extLst>
            <c:ext xmlns:c16="http://schemas.microsoft.com/office/drawing/2014/chart" uri="{C3380CC4-5D6E-409C-BE32-E72D297353CC}">
              <c16:uniqueId val="{00000005-8086-4AB8-966F-C101B8387184}"/>
            </c:ext>
          </c:extLst>
        </c:ser>
        <c:dLbls>
          <c:showLegendKey val="0"/>
          <c:showVal val="0"/>
          <c:showCatName val="0"/>
          <c:showSerName val="0"/>
          <c:showPercent val="0"/>
          <c:showBubbleSize val="0"/>
        </c:dLbls>
        <c:marker val="1"/>
        <c:smooth val="0"/>
        <c:axId val="230875520"/>
        <c:axId val="230873728"/>
        <c:extLst/>
      </c:lineChart>
      <c:catAx>
        <c:axId val="230841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72192"/>
        <c:crosses val="autoZero"/>
        <c:auto val="1"/>
        <c:lblAlgn val="ctr"/>
        <c:lblOffset val="100"/>
        <c:noMultiLvlLbl val="0"/>
      </c:catAx>
      <c:valAx>
        <c:axId val="2308721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41728"/>
        <c:crosses val="autoZero"/>
        <c:crossBetween val="between"/>
      </c:valAx>
      <c:valAx>
        <c:axId val="230873728"/>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75520"/>
        <c:crosses val="max"/>
        <c:crossBetween val="between"/>
      </c:valAx>
      <c:catAx>
        <c:axId val="230875520"/>
        <c:scaling>
          <c:orientation val="minMax"/>
        </c:scaling>
        <c:delete val="1"/>
        <c:axPos val="b"/>
        <c:numFmt formatCode="General" sourceLinked="1"/>
        <c:majorTickMark val="out"/>
        <c:minorTickMark val="none"/>
        <c:tickLblPos val="nextTo"/>
        <c:crossAx val="23087372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zh-CN" altLang="en-US" sz="1600" b="0" i="0" baseline="0">
                <a:effectLst/>
              </a:rPr>
              <a:t>北京金融街</a:t>
            </a:r>
            <a:r>
              <a:rPr lang="zh-CN" altLang="zh-CN" sz="1600" b="0" i="0" baseline="0">
                <a:effectLst/>
              </a:rPr>
              <a:t>办公楼市场分析</a:t>
            </a:r>
            <a:endParaRPr lang="zh-CN" altLang="zh-CN" sz="1600">
              <a:effectLst/>
            </a:endParaRPr>
          </a:p>
        </c:rich>
      </c:tx>
      <c:overlay val="0"/>
      <c:spPr>
        <a:noFill/>
        <a:ln>
          <a:noFill/>
        </a:ln>
        <a:effectLst/>
      </c:spPr>
    </c:title>
    <c:autoTitleDeleted val="0"/>
    <c:plotArea>
      <c:layout/>
      <c:barChart>
        <c:barDir val="col"/>
        <c:grouping val="clustered"/>
        <c:varyColors val="0"/>
        <c:ser>
          <c:idx val="5"/>
          <c:order val="5"/>
          <c:tx>
            <c:strRef>
              <c:f>市场走势!$AA$76</c:f>
              <c:strCache>
                <c:ptCount val="1"/>
                <c:pt idx="0">
                  <c:v>存量（万㎡）</c:v>
                </c:pt>
              </c:strCache>
            </c:strRef>
          </c:tx>
          <c:spPr>
            <a:solidFill>
              <a:schemeClr val="accent6"/>
            </a:solidFill>
            <a:ln>
              <a:noFill/>
            </a:ln>
            <a:effectLst/>
          </c:spPr>
          <c:invertIfNegative val="0"/>
          <c:cat>
            <c:strRef>
              <c:extLst>
                <c:ext xmlns:c15="http://schemas.microsoft.com/office/drawing/2012/chart" uri="{02D57815-91ED-43cb-92C2-25804820EDAC}">
                  <c15:fullRef>
                    <c15:sqref>市场走势!$U$77:$U$96</c15:sqref>
                  </c15:fullRef>
                </c:ext>
              </c:extLst>
              <c:f>市场走势!$U$78:$U$96</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市场走势!$AA$77:$AA$96</c15:sqref>
                  </c15:fullRef>
                </c:ext>
              </c:extLst>
              <c:f>市场走势!$AA$78:$AA$96</c:f>
              <c:numCache>
                <c:formatCode>General</c:formatCode>
                <c:ptCount val="19"/>
                <c:pt idx="0">
                  <c:v>154</c:v>
                </c:pt>
                <c:pt idx="1">
                  <c:v>154</c:v>
                </c:pt>
                <c:pt idx="2">
                  <c:v>156</c:v>
                </c:pt>
                <c:pt idx="3">
                  <c:v>158</c:v>
                </c:pt>
                <c:pt idx="4">
                  <c:v>158</c:v>
                </c:pt>
                <c:pt idx="5">
                  <c:v>158</c:v>
                </c:pt>
                <c:pt idx="6">
                  <c:v>158</c:v>
                </c:pt>
                <c:pt idx="7">
                  <c:v>158</c:v>
                </c:pt>
                <c:pt idx="8">
                  <c:v>158</c:v>
                </c:pt>
                <c:pt idx="9">
                  <c:v>164</c:v>
                </c:pt>
                <c:pt idx="10">
                  <c:v>164</c:v>
                </c:pt>
                <c:pt idx="11">
                  <c:v>164</c:v>
                </c:pt>
                <c:pt idx="12">
                  <c:v>164</c:v>
                </c:pt>
                <c:pt idx="13">
                  <c:v>164</c:v>
                </c:pt>
                <c:pt idx="14">
                  <c:v>167</c:v>
                </c:pt>
                <c:pt idx="15">
                  <c:v>167</c:v>
                </c:pt>
                <c:pt idx="16">
                  <c:v>170</c:v>
                </c:pt>
                <c:pt idx="17">
                  <c:v>170</c:v>
                </c:pt>
                <c:pt idx="18">
                  <c:v>170</c:v>
                </c:pt>
              </c:numCache>
            </c:numRef>
          </c:val>
          <c:extLst>
            <c:ext xmlns:c16="http://schemas.microsoft.com/office/drawing/2014/chart" uri="{C3380CC4-5D6E-409C-BE32-E72D297353CC}">
              <c16:uniqueId val="{00000000-596D-4276-BF9A-ACCB6B6A9C29}"/>
            </c:ext>
          </c:extLst>
        </c:ser>
        <c:dLbls>
          <c:showLegendKey val="0"/>
          <c:showVal val="0"/>
          <c:showCatName val="0"/>
          <c:showSerName val="0"/>
          <c:showPercent val="0"/>
          <c:showBubbleSize val="0"/>
        </c:dLbls>
        <c:gapWidth val="219"/>
        <c:axId val="230841728"/>
        <c:axId val="230872192"/>
      </c:barChart>
      <c:lineChart>
        <c:grouping val="standard"/>
        <c:varyColors val="0"/>
        <c:ser>
          <c:idx val="3"/>
          <c:order val="3"/>
          <c:tx>
            <c:strRef>
              <c:f>市场走势!$Y$76</c:f>
              <c:strCache>
                <c:ptCount val="1"/>
                <c:pt idx="0">
                  <c:v>新增供应</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c:ext xmlns:c15="http://schemas.microsoft.com/office/drawing/2012/chart" uri="{02D57815-91ED-43cb-92C2-25804820EDAC}">
                  <c15:fullRef>
                    <c15:sqref>市场走势!$U$77:$U$96</c15:sqref>
                  </c15:fullRef>
                </c:ext>
              </c:extLst>
              <c:f>市场走势!$U$78:$U$96</c:f>
              <c:strCache>
                <c:ptCount val="19"/>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strCache>
            </c:strRef>
          </c:cat>
          <c:val>
            <c:numRef>
              <c:extLst>
                <c:ext xmlns:c15="http://schemas.microsoft.com/office/drawing/2012/chart" uri="{02D57815-91ED-43cb-92C2-25804820EDAC}">
                  <c15:fullRef>
                    <c15:sqref>市场走势!$Y$77:$Y$96</c15:sqref>
                  </c15:fullRef>
                </c:ext>
              </c:extLst>
              <c:f>市场走势!$Y$78:$Y$96</c:f>
            </c:numRef>
          </c:val>
          <c:smooth val="0"/>
          <c:extLst>
            <c:ext xmlns:c16="http://schemas.microsoft.com/office/drawing/2014/chart" uri="{C3380CC4-5D6E-409C-BE32-E72D297353CC}">
              <c16:uniqueId val="{00000001-596D-4276-BF9A-ACCB6B6A9C29}"/>
            </c:ext>
          </c:extLst>
        </c:ser>
        <c:ser>
          <c:idx val="4"/>
          <c:order val="4"/>
          <c:tx>
            <c:strRef>
              <c:f>市场走势!$Z$76</c:f>
              <c:strCache>
                <c:ptCount val="1"/>
                <c:pt idx="0">
                  <c:v>库存（万㎡）</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c:ext xmlns:c15="http://schemas.microsoft.com/office/drawing/2012/chart" uri="{02D57815-91ED-43cb-92C2-25804820EDAC}">
                  <c15:fullRef>
                    <c15:sqref>市场走势!$U$77:$U$96</c15:sqref>
                  </c15:fullRef>
                </c:ext>
              </c:extLst>
              <c:f>市场走势!$U$78:$U$96</c:f>
              <c:strCache>
                <c:ptCount val="19"/>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strCache>
            </c:strRef>
          </c:cat>
          <c:val>
            <c:numRef>
              <c:extLst>
                <c:ext xmlns:c15="http://schemas.microsoft.com/office/drawing/2012/chart" uri="{02D57815-91ED-43cb-92C2-25804820EDAC}">
                  <c15:fullRef>
                    <c15:sqref>市场走势!$Z$77:$Z$96</c15:sqref>
                  </c15:fullRef>
                </c:ext>
              </c:extLst>
              <c:f>市场走势!$Z$78:$Z$96</c:f>
            </c:numRef>
          </c:val>
          <c:smooth val="0"/>
          <c:extLst>
            <c:ext xmlns:c16="http://schemas.microsoft.com/office/drawing/2014/chart" uri="{C3380CC4-5D6E-409C-BE32-E72D297353CC}">
              <c16:uniqueId val="{00000002-596D-4276-BF9A-ACCB6B6A9C29}"/>
            </c:ext>
          </c:extLst>
        </c:ser>
        <c:ser>
          <c:idx val="0"/>
          <c:order val="0"/>
          <c:tx>
            <c:strRef>
              <c:f>市场走势!$V$76</c:f>
              <c:strCache>
                <c:ptCount val="1"/>
                <c:pt idx="0">
                  <c:v>平均有效租金</c:v>
                </c:pt>
              </c:strCache>
            </c:strRef>
          </c:tx>
          <c:spPr>
            <a:ln w="28575" cap="rnd">
              <a:solidFill>
                <a:schemeClr val="accent1"/>
              </a:solidFill>
              <a:round/>
            </a:ln>
            <a:effectLst/>
          </c:spPr>
          <c:marker>
            <c:symbol val="none"/>
          </c:marker>
          <c:cat>
            <c:strRef>
              <c:extLst>
                <c:ext xmlns:c15="http://schemas.microsoft.com/office/drawing/2012/chart" uri="{02D57815-91ED-43cb-92C2-25804820EDAC}">
                  <c15:fullRef>
                    <c15:sqref>市场走势!$U$77:$U$96</c15:sqref>
                  </c15:fullRef>
                </c:ext>
              </c:extLst>
              <c:f>市场走势!$U$78:$U$96</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市场走势!$V$77:$V$96</c15:sqref>
                  </c15:fullRef>
                </c:ext>
              </c:extLst>
              <c:f>市场走势!$V$78:$V$96</c:f>
              <c:numCache>
                <c:formatCode>General</c:formatCode>
                <c:ptCount val="19"/>
                <c:pt idx="0">
                  <c:v>625</c:v>
                </c:pt>
                <c:pt idx="1">
                  <c:v>631</c:v>
                </c:pt>
                <c:pt idx="2">
                  <c:v>642</c:v>
                </c:pt>
                <c:pt idx="3">
                  <c:v>641</c:v>
                </c:pt>
                <c:pt idx="4">
                  <c:v>651</c:v>
                </c:pt>
                <c:pt idx="5">
                  <c:v>657</c:v>
                </c:pt>
                <c:pt idx="6">
                  <c:v>667</c:v>
                </c:pt>
                <c:pt idx="7">
                  <c:v>672</c:v>
                </c:pt>
                <c:pt idx="8">
                  <c:v>676</c:v>
                </c:pt>
                <c:pt idx="9">
                  <c:v>687</c:v>
                </c:pt>
                <c:pt idx="10">
                  <c:v>686</c:v>
                </c:pt>
                <c:pt idx="11">
                  <c:v>691</c:v>
                </c:pt>
                <c:pt idx="12">
                  <c:v>692</c:v>
                </c:pt>
                <c:pt idx="13">
                  <c:v>693</c:v>
                </c:pt>
                <c:pt idx="14">
                  <c:v>691</c:v>
                </c:pt>
                <c:pt idx="15">
                  <c:v>689</c:v>
                </c:pt>
                <c:pt idx="16">
                  <c:v>673</c:v>
                </c:pt>
                <c:pt idx="17">
                  <c:v>661</c:v>
                </c:pt>
                <c:pt idx="18">
                  <c:v>647</c:v>
                </c:pt>
              </c:numCache>
            </c:numRef>
          </c:val>
          <c:smooth val="0"/>
          <c:extLst>
            <c:ext xmlns:c16="http://schemas.microsoft.com/office/drawing/2014/chart" uri="{C3380CC4-5D6E-409C-BE32-E72D297353CC}">
              <c16:uniqueId val="{00000003-596D-4276-BF9A-ACCB6B6A9C29}"/>
            </c:ext>
          </c:extLst>
        </c:ser>
        <c:dLbls>
          <c:showLegendKey val="0"/>
          <c:showVal val="0"/>
          <c:showCatName val="0"/>
          <c:showSerName val="0"/>
          <c:showPercent val="0"/>
          <c:showBubbleSize val="0"/>
        </c:dLbls>
        <c:marker val="1"/>
        <c:smooth val="0"/>
        <c:axId val="230841728"/>
        <c:axId val="230872192"/>
        <c:extLst>
          <c:ext xmlns:c15="http://schemas.microsoft.com/office/drawing/2012/chart" uri="{02D57815-91ED-43cb-92C2-25804820EDAC}">
            <c15:filteredLineSeries>
              <c15:ser>
                <c:idx val="2"/>
                <c:order val="2"/>
                <c:tx>
                  <c:strRef>
                    <c:extLst>
                      <c:ext uri="{02D57815-91ED-43cb-92C2-25804820EDAC}">
                        <c15:formulaRef>
                          <c15:sqref>市场走势!$X$76</c15:sqref>
                        </c15:formulaRef>
                      </c:ext>
                    </c:extLst>
                    <c:strCache>
                      <c:ptCount val="1"/>
                      <c:pt idx="0">
                        <c:v>租金增长率</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uri="{02D57815-91ED-43cb-92C2-25804820EDAC}">
                        <c15:fullRef>
                          <c15:sqref>市场走势!$U$77:$U$96</c15:sqref>
                        </c15:fullRef>
                        <c15:formulaRef>
                          <c15:sqref>市场走势!$U$78:$U$96</c15:sqref>
                        </c15:formulaRef>
                      </c:ext>
                    </c:extLst>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uri="{02D57815-91ED-43cb-92C2-25804820EDAC}">
                        <c15:fullRef>
                          <c15:sqref>市场走势!$X$77:$X$96</c15:sqref>
                        </c15:fullRef>
                        <c15:formulaRef>
                          <c15:sqref>市场走势!$X$78:$X$96</c15:sqref>
                        </c15:formulaRef>
                      </c:ext>
                    </c:extLst>
                    <c:numCache>
                      <c:formatCode>0.00%</c:formatCode>
                      <c:ptCount val="19"/>
                      <c:pt idx="1">
                        <c:v>9.5999999999999992E-3</c:v>
                      </c:pt>
                      <c:pt idx="2">
                        <c:v>1.7432646592709985E-2</c:v>
                      </c:pt>
                      <c:pt idx="3">
                        <c:v>-1.557632398753894E-3</c:v>
                      </c:pt>
                      <c:pt idx="4">
                        <c:v>1.5600624024960999E-2</c:v>
                      </c:pt>
                      <c:pt idx="5">
                        <c:v>9.2165898617511521E-3</c:v>
                      </c:pt>
                      <c:pt idx="6">
                        <c:v>1.5220700152207001E-2</c:v>
                      </c:pt>
                      <c:pt idx="7">
                        <c:v>7.4962518740629685E-3</c:v>
                      </c:pt>
                      <c:pt idx="8">
                        <c:v>5.9523809523809521E-3</c:v>
                      </c:pt>
                      <c:pt idx="9">
                        <c:v>1.6272189349112426E-2</c:v>
                      </c:pt>
                      <c:pt idx="10">
                        <c:v>-1.455604075691412E-3</c:v>
                      </c:pt>
                      <c:pt idx="11">
                        <c:v>7.2886297376093291E-3</c:v>
                      </c:pt>
                      <c:pt idx="12">
                        <c:v>1.4471780028943559E-3</c:v>
                      </c:pt>
                      <c:pt idx="13">
                        <c:v>1.4450867052023121E-3</c:v>
                      </c:pt>
                      <c:pt idx="14">
                        <c:v>-2.886002886002886E-3</c:v>
                      </c:pt>
                      <c:pt idx="15">
                        <c:v>-2.8943560057887118E-3</c:v>
                      </c:pt>
                      <c:pt idx="16">
                        <c:v>-2.3222060957910014E-2</c:v>
                      </c:pt>
                      <c:pt idx="17">
                        <c:v>-1.7830609212481426E-2</c:v>
                      </c:pt>
                      <c:pt idx="18">
                        <c:v>-2.118003025718608E-2</c:v>
                      </c:pt>
                    </c:numCache>
                  </c:numRef>
                </c:val>
                <c:smooth val="0"/>
                <c:extLst>
                  <c:ext xmlns:c16="http://schemas.microsoft.com/office/drawing/2014/chart" uri="{C3380CC4-5D6E-409C-BE32-E72D297353CC}">
                    <c16:uniqueId val="{00000005-596D-4276-BF9A-ACCB6B6A9C29}"/>
                  </c:ext>
                </c:extLst>
              </c15:ser>
            </c15:filteredLineSeries>
          </c:ext>
        </c:extLst>
      </c:lineChart>
      <c:lineChart>
        <c:grouping val="standard"/>
        <c:varyColors val="0"/>
        <c:ser>
          <c:idx val="1"/>
          <c:order val="1"/>
          <c:tx>
            <c:strRef>
              <c:f>市场走势!$W$76</c:f>
              <c:strCache>
                <c:ptCount val="1"/>
                <c:pt idx="0">
                  <c:v>空置率</c:v>
                </c:pt>
              </c:strCache>
            </c:strRef>
          </c:tx>
          <c:spPr>
            <a:ln w="28575" cap="rnd">
              <a:solidFill>
                <a:schemeClr val="accent2"/>
              </a:solidFill>
              <a:round/>
            </a:ln>
            <a:effectLst/>
          </c:spPr>
          <c:marker>
            <c:symbol val="none"/>
          </c:marker>
          <c:cat>
            <c:strRef>
              <c:extLst>
                <c:ext xmlns:c15="http://schemas.microsoft.com/office/drawing/2012/chart" uri="{02D57815-91ED-43cb-92C2-25804820EDAC}">
                  <c15:fullRef>
                    <c15:sqref>市场走势!$U$77:$U$96</c15:sqref>
                  </c15:fullRef>
                </c:ext>
              </c:extLst>
              <c:f>市场走势!$U$78:$U$96</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市场走势!$W$77:$W$96</c15:sqref>
                  </c15:fullRef>
                </c:ext>
              </c:extLst>
              <c:f>市场走势!$W$78:$W$96</c:f>
              <c:numCache>
                <c:formatCode>0.00%</c:formatCode>
                <c:ptCount val="19"/>
                <c:pt idx="0">
                  <c:v>1.6500000000000001E-2</c:v>
                </c:pt>
                <c:pt idx="1">
                  <c:v>8.0000000000000002E-3</c:v>
                </c:pt>
                <c:pt idx="2">
                  <c:v>6.4999999999999997E-3</c:v>
                </c:pt>
                <c:pt idx="3">
                  <c:v>1.7000000000000001E-2</c:v>
                </c:pt>
                <c:pt idx="4">
                  <c:v>1.6E-2</c:v>
                </c:pt>
                <c:pt idx="5">
                  <c:v>1.4999999999999999E-2</c:v>
                </c:pt>
                <c:pt idx="6">
                  <c:v>1.9E-2</c:v>
                </c:pt>
                <c:pt idx="7">
                  <c:v>1.8499999999999999E-2</c:v>
                </c:pt>
                <c:pt idx="8">
                  <c:v>1.55E-2</c:v>
                </c:pt>
                <c:pt idx="9">
                  <c:v>2.2499999999999999E-2</c:v>
                </c:pt>
                <c:pt idx="10">
                  <c:v>2.0500000000000001E-2</c:v>
                </c:pt>
                <c:pt idx="11">
                  <c:v>2.01E-2</c:v>
                </c:pt>
                <c:pt idx="12">
                  <c:v>2.1000000000000001E-2</c:v>
                </c:pt>
                <c:pt idx="13">
                  <c:v>1.6E-2</c:v>
                </c:pt>
                <c:pt idx="14">
                  <c:v>2.5000000000000001E-2</c:v>
                </c:pt>
                <c:pt idx="15">
                  <c:v>2.4500000000000001E-2</c:v>
                </c:pt>
                <c:pt idx="16">
                  <c:v>3.1E-2</c:v>
                </c:pt>
                <c:pt idx="17">
                  <c:v>3.1E-2</c:v>
                </c:pt>
                <c:pt idx="18">
                  <c:v>3.2500000000000001E-2</c:v>
                </c:pt>
              </c:numCache>
            </c:numRef>
          </c:val>
          <c:smooth val="0"/>
          <c:extLst>
            <c:ext xmlns:c16="http://schemas.microsoft.com/office/drawing/2014/chart" uri="{C3380CC4-5D6E-409C-BE32-E72D297353CC}">
              <c16:uniqueId val="{00000004-596D-4276-BF9A-ACCB6B6A9C29}"/>
            </c:ext>
          </c:extLst>
        </c:ser>
        <c:dLbls>
          <c:showLegendKey val="0"/>
          <c:showVal val="0"/>
          <c:showCatName val="0"/>
          <c:showSerName val="0"/>
          <c:showPercent val="0"/>
          <c:showBubbleSize val="0"/>
        </c:dLbls>
        <c:marker val="1"/>
        <c:smooth val="0"/>
        <c:axId val="230875520"/>
        <c:axId val="230873728"/>
        <c:extLst/>
      </c:lineChart>
      <c:catAx>
        <c:axId val="230841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72192"/>
        <c:crosses val="autoZero"/>
        <c:auto val="1"/>
        <c:lblAlgn val="ctr"/>
        <c:lblOffset val="100"/>
        <c:noMultiLvlLbl val="0"/>
      </c:catAx>
      <c:valAx>
        <c:axId val="2308721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41728"/>
        <c:crosses val="autoZero"/>
        <c:crossBetween val="between"/>
      </c:valAx>
      <c:valAx>
        <c:axId val="2308737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75520"/>
        <c:crosses val="max"/>
        <c:crossBetween val="between"/>
      </c:valAx>
      <c:catAx>
        <c:axId val="230875520"/>
        <c:scaling>
          <c:orientation val="minMax"/>
        </c:scaling>
        <c:delete val="1"/>
        <c:axPos val="b"/>
        <c:numFmt formatCode="General" sourceLinked="1"/>
        <c:majorTickMark val="out"/>
        <c:minorTickMark val="none"/>
        <c:tickLblPos val="nextTo"/>
        <c:crossAx val="23087372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zh-CN" altLang="en-US" sz="1600" b="0" i="0" baseline="0">
                <a:effectLst/>
              </a:rPr>
              <a:t>北京全市</a:t>
            </a:r>
            <a:r>
              <a:rPr lang="zh-CN" altLang="zh-CN" sz="1600" b="0" i="0" baseline="0">
                <a:effectLst/>
              </a:rPr>
              <a:t>办公楼市场分析</a:t>
            </a:r>
            <a:endParaRPr lang="zh-CN" altLang="zh-CN" sz="1600">
              <a:effectLst/>
            </a:endParaRPr>
          </a:p>
        </c:rich>
      </c:tx>
      <c:overlay val="0"/>
      <c:spPr>
        <a:noFill/>
        <a:ln>
          <a:noFill/>
        </a:ln>
        <a:effectLst/>
      </c:spPr>
    </c:title>
    <c:autoTitleDeleted val="0"/>
    <c:plotArea>
      <c:layout/>
      <c:barChart>
        <c:barDir val="col"/>
        <c:grouping val="clustered"/>
        <c:varyColors val="0"/>
        <c:ser>
          <c:idx val="5"/>
          <c:order val="5"/>
          <c:tx>
            <c:strRef>
              <c:f>市场走势!$AA$101:$AA$102</c:f>
              <c:strCache>
                <c:ptCount val="2"/>
                <c:pt idx="0">
                  <c:v>存量（万㎡）</c:v>
                </c:pt>
              </c:strCache>
            </c:strRef>
          </c:tx>
          <c:spPr>
            <a:solidFill>
              <a:schemeClr val="accent6"/>
            </a:solidFill>
            <a:ln>
              <a:noFill/>
            </a:ln>
            <a:effectLst/>
          </c:spPr>
          <c:invertIfNegative val="0"/>
          <c:cat>
            <c:strRef>
              <c:f>市场走势!$U$103:$U$121</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市场走势!$AA$103:$AA$121</c:f>
              <c:numCache>
                <c:formatCode>General</c:formatCode>
                <c:ptCount val="19"/>
                <c:pt idx="0">
                  <c:v>781</c:v>
                </c:pt>
                <c:pt idx="1">
                  <c:v>815</c:v>
                </c:pt>
                <c:pt idx="2">
                  <c:v>833</c:v>
                </c:pt>
                <c:pt idx="3">
                  <c:v>847</c:v>
                </c:pt>
                <c:pt idx="4">
                  <c:v>871</c:v>
                </c:pt>
                <c:pt idx="5">
                  <c:v>871</c:v>
                </c:pt>
                <c:pt idx="6">
                  <c:v>912</c:v>
                </c:pt>
                <c:pt idx="7">
                  <c:v>931</c:v>
                </c:pt>
                <c:pt idx="8">
                  <c:v>935</c:v>
                </c:pt>
                <c:pt idx="9">
                  <c:v>940</c:v>
                </c:pt>
                <c:pt idx="10">
                  <c:v>957</c:v>
                </c:pt>
                <c:pt idx="11">
                  <c:v>963</c:v>
                </c:pt>
                <c:pt idx="12">
                  <c:v>959</c:v>
                </c:pt>
                <c:pt idx="13">
                  <c:v>969</c:v>
                </c:pt>
                <c:pt idx="14">
                  <c:v>1038</c:v>
                </c:pt>
                <c:pt idx="15">
                  <c:v>1038</c:v>
                </c:pt>
                <c:pt idx="16">
                  <c:v>1056</c:v>
                </c:pt>
                <c:pt idx="17">
                  <c:v>1065</c:v>
                </c:pt>
                <c:pt idx="18">
                  <c:v>1108</c:v>
                </c:pt>
              </c:numCache>
            </c:numRef>
          </c:val>
          <c:extLst>
            <c:ext xmlns:c16="http://schemas.microsoft.com/office/drawing/2014/chart" uri="{C3380CC4-5D6E-409C-BE32-E72D297353CC}">
              <c16:uniqueId val="{00000000-8627-4D14-B43A-E77985217278}"/>
            </c:ext>
          </c:extLst>
        </c:ser>
        <c:dLbls>
          <c:showLegendKey val="0"/>
          <c:showVal val="0"/>
          <c:showCatName val="0"/>
          <c:showSerName val="0"/>
          <c:showPercent val="0"/>
          <c:showBubbleSize val="0"/>
        </c:dLbls>
        <c:gapWidth val="219"/>
        <c:axId val="230841728"/>
        <c:axId val="230872192"/>
      </c:barChart>
      <c:lineChart>
        <c:grouping val="standard"/>
        <c:varyColors val="0"/>
        <c:ser>
          <c:idx val="3"/>
          <c:order val="3"/>
          <c:tx>
            <c:strRef>
              <c:f>市场走势!$Y$101:$Y$102</c:f>
              <c:strCache>
                <c:ptCount val="2"/>
                <c:pt idx="0">
                  <c:v>新增供应</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市场走势!$U$103:$U$121</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市场走势!$Y$103:$Y$121</c:f>
            </c:numRef>
          </c:val>
          <c:smooth val="0"/>
          <c:extLst>
            <c:ext xmlns:c16="http://schemas.microsoft.com/office/drawing/2014/chart" uri="{C3380CC4-5D6E-409C-BE32-E72D297353CC}">
              <c16:uniqueId val="{00000002-8627-4D14-B43A-E77985217278}"/>
            </c:ext>
          </c:extLst>
        </c:ser>
        <c:ser>
          <c:idx val="4"/>
          <c:order val="4"/>
          <c:tx>
            <c:strRef>
              <c:f>市场走势!$Z$101:$Z$102</c:f>
              <c:strCache>
                <c:ptCount val="2"/>
                <c:pt idx="0">
                  <c:v>库存（㎡）</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市场走势!$U$103:$U$121</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市场走势!$Z$103:$Z$121</c:f>
            </c:numRef>
          </c:val>
          <c:smooth val="0"/>
          <c:extLst>
            <c:ext xmlns:c16="http://schemas.microsoft.com/office/drawing/2014/chart" uri="{C3380CC4-5D6E-409C-BE32-E72D297353CC}">
              <c16:uniqueId val="{00000003-8627-4D14-B43A-E77985217278}"/>
            </c:ext>
          </c:extLst>
        </c:ser>
        <c:ser>
          <c:idx val="0"/>
          <c:order val="0"/>
          <c:tx>
            <c:strRef>
              <c:f>市场走势!$V$101:$V$102</c:f>
              <c:strCache>
                <c:ptCount val="2"/>
                <c:pt idx="0">
                  <c:v>平均有效租金</c:v>
                </c:pt>
              </c:strCache>
            </c:strRef>
          </c:tx>
          <c:spPr>
            <a:ln w="28575" cap="rnd">
              <a:solidFill>
                <a:schemeClr val="accent1"/>
              </a:solidFill>
              <a:round/>
            </a:ln>
            <a:effectLst/>
          </c:spPr>
          <c:marker>
            <c:symbol val="none"/>
          </c:marker>
          <c:cat>
            <c:strRef>
              <c:f>市场走势!$U$103:$U$121</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市场走势!$V$103:$V$121</c:f>
              <c:numCache>
                <c:formatCode>General</c:formatCode>
                <c:ptCount val="19"/>
                <c:pt idx="0">
                  <c:v>376</c:v>
                </c:pt>
                <c:pt idx="1">
                  <c:v>377</c:v>
                </c:pt>
                <c:pt idx="2">
                  <c:v>380</c:v>
                </c:pt>
                <c:pt idx="3">
                  <c:v>380</c:v>
                </c:pt>
                <c:pt idx="4">
                  <c:v>383</c:v>
                </c:pt>
                <c:pt idx="5">
                  <c:v>384</c:v>
                </c:pt>
                <c:pt idx="6">
                  <c:v>385</c:v>
                </c:pt>
                <c:pt idx="7">
                  <c:v>381</c:v>
                </c:pt>
                <c:pt idx="8">
                  <c:v>389</c:v>
                </c:pt>
                <c:pt idx="9">
                  <c:v>397</c:v>
                </c:pt>
                <c:pt idx="10">
                  <c:v>393</c:v>
                </c:pt>
                <c:pt idx="11">
                  <c:v>391</c:v>
                </c:pt>
                <c:pt idx="12">
                  <c:v>387</c:v>
                </c:pt>
                <c:pt idx="13">
                  <c:v>381</c:v>
                </c:pt>
                <c:pt idx="14">
                  <c:v>381</c:v>
                </c:pt>
                <c:pt idx="15">
                  <c:v>376</c:v>
                </c:pt>
                <c:pt idx="16">
                  <c:v>357</c:v>
                </c:pt>
                <c:pt idx="17">
                  <c:v>350</c:v>
                </c:pt>
                <c:pt idx="18">
                  <c:v>340</c:v>
                </c:pt>
              </c:numCache>
            </c:numRef>
          </c:val>
          <c:smooth val="0"/>
          <c:extLst>
            <c:ext xmlns:c16="http://schemas.microsoft.com/office/drawing/2014/chart" uri="{C3380CC4-5D6E-409C-BE32-E72D297353CC}">
              <c16:uniqueId val="{00000004-8627-4D14-B43A-E77985217278}"/>
            </c:ext>
          </c:extLst>
        </c:ser>
        <c:dLbls>
          <c:showLegendKey val="0"/>
          <c:showVal val="0"/>
          <c:showCatName val="0"/>
          <c:showSerName val="0"/>
          <c:showPercent val="0"/>
          <c:showBubbleSize val="0"/>
        </c:dLbls>
        <c:marker val="1"/>
        <c:smooth val="0"/>
        <c:axId val="230841728"/>
        <c:axId val="230872192"/>
        <c:extLst>
          <c:ext xmlns:c15="http://schemas.microsoft.com/office/drawing/2012/chart" uri="{02D57815-91ED-43cb-92C2-25804820EDAC}">
            <c15:filteredLineSeries>
              <c15:ser>
                <c:idx val="2"/>
                <c:order val="2"/>
                <c:tx>
                  <c:strRef>
                    <c:extLst>
                      <c:ext uri="{02D57815-91ED-43cb-92C2-25804820EDAC}">
                        <c15:formulaRef>
                          <c15:sqref>市场走势!$X$101:$X$102</c15:sqref>
                        </c15:formulaRef>
                      </c:ext>
                    </c:extLst>
                    <c:strCache>
                      <c:ptCount val="2"/>
                      <c:pt idx="0">
                        <c:v>租金增长率</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uri="{02D57815-91ED-43cb-92C2-25804820EDAC}">
                        <c15:formulaRef>
                          <c15:sqref>市场走势!$U$103:$U$121</c15:sqref>
                        </c15:formulaRef>
                      </c:ext>
                    </c:extLst>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uri="{02D57815-91ED-43cb-92C2-25804820EDAC}">
                        <c15:formulaRef>
                          <c15:sqref>市场走势!$X$103:$X$121</c15:sqref>
                        </c15:formulaRef>
                      </c:ext>
                    </c:extLst>
                    <c:numCache>
                      <c:formatCode>0.00%</c:formatCode>
                      <c:ptCount val="19"/>
                      <c:pt idx="1">
                        <c:v>2.6595744680851063E-3</c:v>
                      </c:pt>
                      <c:pt idx="2">
                        <c:v>7.9575596816976128E-3</c:v>
                      </c:pt>
                      <c:pt idx="3">
                        <c:v>0</c:v>
                      </c:pt>
                      <c:pt idx="4">
                        <c:v>7.8947368421052634E-3</c:v>
                      </c:pt>
                      <c:pt idx="5">
                        <c:v>2.6109660574412533E-3</c:v>
                      </c:pt>
                      <c:pt idx="6">
                        <c:v>2.6041666666666665E-3</c:v>
                      </c:pt>
                      <c:pt idx="7">
                        <c:v>-1.038961038961039E-2</c:v>
                      </c:pt>
                      <c:pt idx="8">
                        <c:v>2.0997375328083989E-2</c:v>
                      </c:pt>
                      <c:pt idx="9">
                        <c:v>2.056555269922879E-2</c:v>
                      </c:pt>
                      <c:pt idx="10">
                        <c:v>-1.0075566750629723E-2</c:v>
                      </c:pt>
                      <c:pt idx="11">
                        <c:v>-5.0890585241730284E-3</c:v>
                      </c:pt>
                      <c:pt idx="12">
                        <c:v>-1.0230179028132993E-2</c:v>
                      </c:pt>
                      <c:pt idx="13">
                        <c:v>-1.5503875968992248E-2</c:v>
                      </c:pt>
                      <c:pt idx="14">
                        <c:v>0</c:v>
                      </c:pt>
                      <c:pt idx="15">
                        <c:v>-1.3123359580052493E-2</c:v>
                      </c:pt>
                      <c:pt idx="16">
                        <c:v>-5.0531914893617018E-2</c:v>
                      </c:pt>
                      <c:pt idx="17">
                        <c:v>-1.9607843137254902E-2</c:v>
                      </c:pt>
                      <c:pt idx="18">
                        <c:v>-2.8571428571428571E-2</c:v>
                      </c:pt>
                    </c:numCache>
                  </c:numRef>
                </c:val>
                <c:smooth val="0"/>
                <c:extLst>
                  <c:ext xmlns:c16="http://schemas.microsoft.com/office/drawing/2014/chart" uri="{C3380CC4-5D6E-409C-BE32-E72D297353CC}">
                    <c16:uniqueId val="{00000001-8627-4D14-B43A-E77985217278}"/>
                  </c:ext>
                </c:extLst>
              </c15:ser>
            </c15:filteredLineSeries>
          </c:ext>
        </c:extLst>
      </c:lineChart>
      <c:lineChart>
        <c:grouping val="standard"/>
        <c:varyColors val="0"/>
        <c:ser>
          <c:idx val="1"/>
          <c:order val="1"/>
          <c:tx>
            <c:strRef>
              <c:f>市场走势!$W$101:$W$102</c:f>
              <c:strCache>
                <c:ptCount val="2"/>
                <c:pt idx="0">
                  <c:v>空置率</c:v>
                </c:pt>
              </c:strCache>
            </c:strRef>
          </c:tx>
          <c:spPr>
            <a:ln w="28575" cap="rnd">
              <a:solidFill>
                <a:schemeClr val="accent2"/>
              </a:solidFill>
              <a:round/>
            </a:ln>
            <a:effectLst/>
          </c:spPr>
          <c:marker>
            <c:symbol val="none"/>
          </c:marker>
          <c:cat>
            <c:strRef>
              <c:f>市场走势!$U$103:$U$121</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市场走势!$W$103:$W$121</c:f>
              <c:numCache>
                <c:formatCode>0.00%</c:formatCode>
                <c:ptCount val="19"/>
                <c:pt idx="0">
                  <c:v>5.9499999999999997E-2</c:v>
                </c:pt>
                <c:pt idx="1">
                  <c:v>5.3499999999999999E-2</c:v>
                </c:pt>
                <c:pt idx="2">
                  <c:v>5.2499999999999998E-2</c:v>
                </c:pt>
                <c:pt idx="3">
                  <c:v>5.6000000000000001E-2</c:v>
                </c:pt>
                <c:pt idx="4">
                  <c:v>6.7500000000000004E-2</c:v>
                </c:pt>
                <c:pt idx="5">
                  <c:v>5.9499999999999997E-2</c:v>
                </c:pt>
                <c:pt idx="6">
                  <c:v>7.3999999999999996E-2</c:v>
                </c:pt>
                <c:pt idx="7">
                  <c:v>6.3500000000000001E-2</c:v>
                </c:pt>
                <c:pt idx="8">
                  <c:v>5.1999999999999998E-2</c:v>
                </c:pt>
                <c:pt idx="9">
                  <c:v>5.5500000000000001E-2</c:v>
                </c:pt>
                <c:pt idx="10">
                  <c:v>6.5000000000000002E-2</c:v>
                </c:pt>
                <c:pt idx="11">
                  <c:v>6.8599999999999994E-2</c:v>
                </c:pt>
                <c:pt idx="12">
                  <c:v>7.9000000000000001E-2</c:v>
                </c:pt>
                <c:pt idx="13">
                  <c:v>8.6300000000000002E-2</c:v>
                </c:pt>
                <c:pt idx="14">
                  <c:v>0.124</c:v>
                </c:pt>
                <c:pt idx="15">
                  <c:v>0.1255</c:v>
                </c:pt>
                <c:pt idx="16">
                  <c:v>0.151</c:v>
                </c:pt>
                <c:pt idx="17">
                  <c:v>0.1525</c:v>
                </c:pt>
                <c:pt idx="18">
                  <c:v>0.16200000000000001</c:v>
                </c:pt>
              </c:numCache>
            </c:numRef>
          </c:val>
          <c:smooth val="0"/>
          <c:extLst>
            <c:ext xmlns:c16="http://schemas.microsoft.com/office/drawing/2014/chart" uri="{C3380CC4-5D6E-409C-BE32-E72D297353CC}">
              <c16:uniqueId val="{00000005-8627-4D14-B43A-E77985217278}"/>
            </c:ext>
          </c:extLst>
        </c:ser>
        <c:dLbls>
          <c:showLegendKey val="0"/>
          <c:showVal val="0"/>
          <c:showCatName val="0"/>
          <c:showSerName val="0"/>
          <c:showPercent val="0"/>
          <c:showBubbleSize val="0"/>
        </c:dLbls>
        <c:marker val="1"/>
        <c:smooth val="0"/>
        <c:axId val="230875520"/>
        <c:axId val="230873728"/>
        <c:extLst/>
      </c:lineChart>
      <c:catAx>
        <c:axId val="230841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72192"/>
        <c:crosses val="autoZero"/>
        <c:auto val="1"/>
        <c:lblAlgn val="ctr"/>
        <c:lblOffset val="100"/>
        <c:noMultiLvlLbl val="0"/>
      </c:catAx>
      <c:valAx>
        <c:axId val="2308721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41728"/>
        <c:crosses val="autoZero"/>
        <c:crossBetween val="between"/>
      </c:valAx>
      <c:valAx>
        <c:axId val="230873728"/>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75520"/>
        <c:crosses val="max"/>
        <c:crossBetween val="between"/>
      </c:valAx>
      <c:catAx>
        <c:axId val="230875520"/>
        <c:scaling>
          <c:orientation val="minMax"/>
        </c:scaling>
        <c:delete val="1"/>
        <c:axPos val="b"/>
        <c:numFmt formatCode="General" sourceLinked="1"/>
        <c:majorTickMark val="out"/>
        <c:minorTickMark val="none"/>
        <c:tickLblPos val="nextTo"/>
        <c:crossAx val="23087372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zh-CN" altLang="en-US" sz="1600" b="0" i="0" baseline="0">
                <a:effectLst/>
              </a:rPr>
              <a:t>北京东二环</a:t>
            </a:r>
            <a:r>
              <a:rPr lang="zh-CN" altLang="zh-CN" sz="1600" b="0" i="0" baseline="0">
                <a:effectLst/>
              </a:rPr>
              <a:t>办公楼市场分析</a:t>
            </a:r>
            <a:endParaRPr lang="zh-CN" altLang="zh-CN" sz="1600">
              <a:effectLst/>
            </a:endParaRPr>
          </a:p>
        </c:rich>
      </c:tx>
      <c:overlay val="0"/>
      <c:spPr>
        <a:noFill/>
        <a:ln>
          <a:noFill/>
        </a:ln>
        <a:effectLst/>
      </c:spPr>
    </c:title>
    <c:autoTitleDeleted val="0"/>
    <c:plotArea>
      <c:layout/>
      <c:barChart>
        <c:barDir val="col"/>
        <c:grouping val="clustered"/>
        <c:varyColors val="0"/>
        <c:ser>
          <c:idx val="5"/>
          <c:order val="5"/>
          <c:tx>
            <c:strRef>
              <c:f>市场走势!$AA$52:$AA$53</c:f>
              <c:strCache>
                <c:ptCount val="2"/>
                <c:pt idx="0">
                  <c:v>存量（万㎡）</c:v>
                </c:pt>
              </c:strCache>
            </c:strRef>
          </c:tx>
          <c:spPr>
            <a:solidFill>
              <a:schemeClr val="accent6"/>
            </a:solidFill>
            <a:ln>
              <a:noFill/>
            </a:ln>
            <a:effectLst/>
          </c:spPr>
          <c:invertIfNegative val="0"/>
          <c:cat>
            <c:strRef>
              <c:f>市场走势!$U$54:$U$72</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市场走势!$AA$54:$AA$72</c:f>
              <c:numCache>
                <c:formatCode>General</c:formatCode>
                <c:ptCount val="19"/>
                <c:pt idx="0">
                  <c:v>96</c:v>
                </c:pt>
                <c:pt idx="1">
                  <c:v>99</c:v>
                </c:pt>
                <c:pt idx="2">
                  <c:v>95</c:v>
                </c:pt>
                <c:pt idx="3">
                  <c:v>95</c:v>
                </c:pt>
                <c:pt idx="4">
                  <c:v>95</c:v>
                </c:pt>
                <c:pt idx="5">
                  <c:v>95</c:v>
                </c:pt>
                <c:pt idx="6">
                  <c:v>95</c:v>
                </c:pt>
                <c:pt idx="7">
                  <c:v>95</c:v>
                </c:pt>
                <c:pt idx="8">
                  <c:v>95</c:v>
                </c:pt>
                <c:pt idx="9">
                  <c:v>97</c:v>
                </c:pt>
                <c:pt idx="10">
                  <c:v>97</c:v>
                </c:pt>
                <c:pt idx="11">
                  <c:v>97</c:v>
                </c:pt>
                <c:pt idx="12">
                  <c:v>100</c:v>
                </c:pt>
                <c:pt idx="13">
                  <c:v>100</c:v>
                </c:pt>
                <c:pt idx="14">
                  <c:v>100</c:v>
                </c:pt>
                <c:pt idx="15">
                  <c:v>100</c:v>
                </c:pt>
                <c:pt idx="16">
                  <c:v>100</c:v>
                </c:pt>
                <c:pt idx="17">
                  <c:v>106</c:v>
                </c:pt>
                <c:pt idx="18">
                  <c:v>112</c:v>
                </c:pt>
              </c:numCache>
            </c:numRef>
          </c:val>
          <c:extLst>
            <c:ext xmlns:c16="http://schemas.microsoft.com/office/drawing/2014/chart" uri="{C3380CC4-5D6E-409C-BE32-E72D297353CC}">
              <c16:uniqueId val="{00000000-9C70-414A-95EB-F6F170E596FE}"/>
            </c:ext>
          </c:extLst>
        </c:ser>
        <c:dLbls>
          <c:showLegendKey val="0"/>
          <c:showVal val="0"/>
          <c:showCatName val="0"/>
          <c:showSerName val="0"/>
          <c:showPercent val="0"/>
          <c:showBubbleSize val="0"/>
        </c:dLbls>
        <c:gapWidth val="219"/>
        <c:axId val="230841728"/>
        <c:axId val="230872192"/>
      </c:barChart>
      <c:lineChart>
        <c:grouping val="standard"/>
        <c:varyColors val="0"/>
        <c:ser>
          <c:idx val="3"/>
          <c:order val="3"/>
          <c:tx>
            <c:strRef>
              <c:f>市场走势!$Y$52:$Y$53</c:f>
              <c:strCache>
                <c:ptCount val="2"/>
                <c:pt idx="0">
                  <c:v>新增供应</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市场走势!$U$54:$U$72</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市场走势!$Y$54:$Y$72</c:f>
            </c:numRef>
          </c:val>
          <c:smooth val="0"/>
          <c:extLst>
            <c:ext xmlns:c16="http://schemas.microsoft.com/office/drawing/2014/chart" uri="{C3380CC4-5D6E-409C-BE32-E72D297353CC}">
              <c16:uniqueId val="{00000001-9C70-414A-95EB-F6F170E596FE}"/>
            </c:ext>
          </c:extLst>
        </c:ser>
        <c:ser>
          <c:idx val="4"/>
          <c:order val="4"/>
          <c:tx>
            <c:strRef>
              <c:f>市场走势!$Z$52:$Z$53</c:f>
              <c:strCache>
                <c:ptCount val="2"/>
                <c:pt idx="0">
                  <c:v>库存（㎡）</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市场走势!$U$54:$U$72</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市场走势!$Z$54:$Z$72</c:f>
            </c:numRef>
          </c:val>
          <c:smooth val="0"/>
          <c:extLst>
            <c:ext xmlns:c16="http://schemas.microsoft.com/office/drawing/2014/chart" uri="{C3380CC4-5D6E-409C-BE32-E72D297353CC}">
              <c16:uniqueId val="{00000002-9C70-414A-95EB-F6F170E596FE}"/>
            </c:ext>
          </c:extLst>
        </c:ser>
        <c:ser>
          <c:idx val="0"/>
          <c:order val="0"/>
          <c:tx>
            <c:strRef>
              <c:f>市场走势!$V$52:$V$53</c:f>
              <c:strCache>
                <c:ptCount val="2"/>
                <c:pt idx="0">
                  <c:v>平均有效租金</c:v>
                </c:pt>
              </c:strCache>
            </c:strRef>
          </c:tx>
          <c:spPr>
            <a:ln w="28575" cap="rnd">
              <a:solidFill>
                <a:schemeClr val="accent1"/>
              </a:solidFill>
              <a:round/>
            </a:ln>
            <a:effectLst/>
          </c:spPr>
          <c:marker>
            <c:symbol val="none"/>
          </c:marker>
          <c:cat>
            <c:strRef>
              <c:f>市场走势!$U$54:$U$72</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市场走势!$V$54:$V$72</c:f>
              <c:numCache>
                <c:formatCode>General</c:formatCode>
                <c:ptCount val="19"/>
                <c:pt idx="0">
                  <c:v>331</c:v>
                </c:pt>
                <c:pt idx="1">
                  <c:v>340</c:v>
                </c:pt>
                <c:pt idx="2">
                  <c:v>334</c:v>
                </c:pt>
                <c:pt idx="3">
                  <c:v>334</c:v>
                </c:pt>
                <c:pt idx="4">
                  <c:v>336</c:v>
                </c:pt>
                <c:pt idx="5">
                  <c:v>338</c:v>
                </c:pt>
                <c:pt idx="6">
                  <c:v>342</c:v>
                </c:pt>
                <c:pt idx="7">
                  <c:v>349</c:v>
                </c:pt>
                <c:pt idx="8">
                  <c:v>350</c:v>
                </c:pt>
                <c:pt idx="9">
                  <c:v>358</c:v>
                </c:pt>
                <c:pt idx="10">
                  <c:v>355</c:v>
                </c:pt>
                <c:pt idx="11">
                  <c:v>353</c:v>
                </c:pt>
                <c:pt idx="12">
                  <c:v>346</c:v>
                </c:pt>
                <c:pt idx="13">
                  <c:v>345</c:v>
                </c:pt>
                <c:pt idx="14">
                  <c:v>343</c:v>
                </c:pt>
                <c:pt idx="15">
                  <c:v>342</c:v>
                </c:pt>
                <c:pt idx="16">
                  <c:v>335</c:v>
                </c:pt>
                <c:pt idx="17">
                  <c:v>333</c:v>
                </c:pt>
                <c:pt idx="18">
                  <c:v>323</c:v>
                </c:pt>
              </c:numCache>
            </c:numRef>
          </c:val>
          <c:smooth val="0"/>
          <c:extLst>
            <c:ext xmlns:c16="http://schemas.microsoft.com/office/drawing/2014/chart" uri="{C3380CC4-5D6E-409C-BE32-E72D297353CC}">
              <c16:uniqueId val="{00000003-9C70-414A-95EB-F6F170E596FE}"/>
            </c:ext>
          </c:extLst>
        </c:ser>
        <c:dLbls>
          <c:showLegendKey val="0"/>
          <c:showVal val="0"/>
          <c:showCatName val="0"/>
          <c:showSerName val="0"/>
          <c:showPercent val="0"/>
          <c:showBubbleSize val="0"/>
        </c:dLbls>
        <c:marker val="1"/>
        <c:smooth val="0"/>
        <c:axId val="230841728"/>
        <c:axId val="230872192"/>
        <c:extLst>
          <c:ext xmlns:c15="http://schemas.microsoft.com/office/drawing/2012/chart" uri="{02D57815-91ED-43cb-92C2-25804820EDAC}">
            <c15:filteredLineSeries>
              <c15:ser>
                <c:idx val="2"/>
                <c:order val="2"/>
                <c:tx>
                  <c:strRef>
                    <c:extLst>
                      <c:ext uri="{02D57815-91ED-43cb-92C2-25804820EDAC}">
                        <c15:formulaRef>
                          <c15:sqref>市场走势!$X$52:$X$53</c15:sqref>
                        </c15:formulaRef>
                      </c:ext>
                    </c:extLst>
                    <c:strCache>
                      <c:ptCount val="2"/>
                      <c:pt idx="0">
                        <c:v>租金增长率</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uri="{02D57815-91ED-43cb-92C2-25804820EDAC}">
                        <c15:formulaRef>
                          <c15:sqref>市场走势!$U$54:$U$72</c15:sqref>
                        </c15:formulaRef>
                      </c:ext>
                    </c:extLst>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uri="{02D57815-91ED-43cb-92C2-25804820EDAC}">
                        <c15:formulaRef>
                          <c15:sqref>市场走势!$X$54:$X$72</c15:sqref>
                        </c15:formulaRef>
                      </c:ext>
                    </c:extLst>
                    <c:numCache>
                      <c:formatCode>0.00%</c:formatCode>
                      <c:ptCount val="19"/>
                      <c:pt idx="1">
                        <c:v>2.7190332326283987E-2</c:v>
                      </c:pt>
                      <c:pt idx="2">
                        <c:v>-1.7647058823529412E-2</c:v>
                      </c:pt>
                      <c:pt idx="3">
                        <c:v>0</c:v>
                      </c:pt>
                      <c:pt idx="4">
                        <c:v>5.9880239520958087E-3</c:v>
                      </c:pt>
                      <c:pt idx="5">
                        <c:v>5.9523809523809521E-3</c:v>
                      </c:pt>
                      <c:pt idx="6">
                        <c:v>1.1834319526627219E-2</c:v>
                      </c:pt>
                      <c:pt idx="7">
                        <c:v>2.046783625730994E-2</c:v>
                      </c:pt>
                      <c:pt idx="8">
                        <c:v>2.8653295128939827E-3</c:v>
                      </c:pt>
                      <c:pt idx="9">
                        <c:v>2.2857142857142857E-2</c:v>
                      </c:pt>
                      <c:pt idx="10">
                        <c:v>-8.3798882681564244E-3</c:v>
                      </c:pt>
                      <c:pt idx="11">
                        <c:v>-5.6338028169014088E-3</c:v>
                      </c:pt>
                      <c:pt idx="12">
                        <c:v>-1.9830028328611898E-2</c:v>
                      </c:pt>
                      <c:pt idx="13">
                        <c:v>-2.8901734104046241E-3</c:v>
                      </c:pt>
                      <c:pt idx="14">
                        <c:v>-5.7971014492753624E-3</c:v>
                      </c:pt>
                      <c:pt idx="15">
                        <c:v>-2.9154518950437317E-3</c:v>
                      </c:pt>
                      <c:pt idx="16">
                        <c:v>-2.046783625730994E-2</c:v>
                      </c:pt>
                      <c:pt idx="17">
                        <c:v>-5.9701492537313433E-3</c:v>
                      </c:pt>
                      <c:pt idx="18">
                        <c:v>-3.003003003003003E-2</c:v>
                      </c:pt>
                    </c:numCache>
                  </c:numRef>
                </c:val>
                <c:smooth val="0"/>
                <c:extLst>
                  <c:ext xmlns:c16="http://schemas.microsoft.com/office/drawing/2014/chart" uri="{C3380CC4-5D6E-409C-BE32-E72D297353CC}">
                    <c16:uniqueId val="{00000005-9C70-414A-95EB-F6F170E596FE}"/>
                  </c:ext>
                </c:extLst>
              </c15:ser>
            </c15:filteredLineSeries>
          </c:ext>
        </c:extLst>
      </c:lineChart>
      <c:lineChart>
        <c:grouping val="standard"/>
        <c:varyColors val="0"/>
        <c:ser>
          <c:idx val="1"/>
          <c:order val="1"/>
          <c:tx>
            <c:strRef>
              <c:f>市场走势!$W$52:$W$53</c:f>
              <c:strCache>
                <c:ptCount val="2"/>
                <c:pt idx="0">
                  <c:v>空置率</c:v>
                </c:pt>
              </c:strCache>
            </c:strRef>
          </c:tx>
          <c:spPr>
            <a:ln w="28575" cap="rnd">
              <a:solidFill>
                <a:schemeClr val="accent2"/>
              </a:solidFill>
              <a:round/>
            </a:ln>
            <a:effectLst/>
          </c:spPr>
          <c:marker>
            <c:symbol val="none"/>
          </c:marker>
          <c:cat>
            <c:strRef>
              <c:f>市场走势!$U$54:$U$72</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市场走势!$W$54:$W$72</c:f>
              <c:numCache>
                <c:formatCode>0.00%</c:formatCode>
                <c:ptCount val="19"/>
                <c:pt idx="0">
                  <c:v>1.7000000000000001E-2</c:v>
                </c:pt>
                <c:pt idx="1">
                  <c:v>3.2000000000000001E-2</c:v>
                </c:pt>
                <c:pt idx="2">
                  <c:v>1.9E-2</c:v>
                </c:pt>
                <c:pt idx="3">
                  <c:v>1.6500000000000001E-2</c:v>
                </c:pt>
                <c:pt idx="4">
                  <c:v>2.1000000000000001E-2</c:v>
                </c:pt>
                <c:pt idx="5">
                  <c:v>2.9000000000000001E-2</c:v>
                </c:pt>
                <c:pt idx="6">
                  <c:v>2.1000000000000001E-2</c:v>
                </c:pt>
                <c:pt idx="7">
                  <c:v>0.02</c:v>
                </c:pt>
                <c:pt idx="8">
                  <c:v>3.85E-2</c:v>
                </c:pt>
                <c:pt idx="9">
                  <c:v>3.15E-2</c:v>
                </c:pt>
                <c:pt idx="10">
                  <c:v>3.0499999999999999E-2</c:v>
                </c:pt>
                <c:pt idx="11">
                  <c:v>2.64E-2</c:v>
                </c:pt>
                <c:pt idx="12">
                  <c:v>3.2500000000000001E-2</c:v>
                </c:pt>
                <c:pt idx="13">
                  <c:v>2.9499999999999998E-2</c:v>
                </c:pt>
                <c:pt idx="14">
                  <c:v>2.8500000000000001E-2</c:v>
                </c:pt>
                <c:pt idx="15">
                  <c:v>3.4000000000000002E-2</c:v>
                </c:pt>
                <c:pt idx="16">
                  <c:v>3.7499999999999999E-2</c:v>
                </c:pt>
                <c:pt idx="17">
                  <c:v>8.1500000000000003E-2</c:v>
                </c:pt>
                <c:pt idx="18">
                  <c:v>0.126</c:v>
                </c:pt>
              </c:numCache>
            </c:numRef>
          </c:val>
          <c:smooth val="0"/>
          <c:extLst>
            <c:ext xmlns:c16="http://schemas.microsoft.com/office/drawing/2014/chart" uri="{C3380CC4-5D6E-409C-BE32-E72D297353CC}">
              <c16:uniqueId val="{00000004-9C70-414A-95EB-F6F170E596FE}"/>
            </c:ext>
          </c:extLst>
        </c:ser>
        <c:dLbls>
          <c:showLegendKey val="0"/>
          <c:showVal val="0"/>
          <c:showCatName val="0"/>
          <c:showSerName val="0"/>
          <c:showPercent val="0"/>
          <c:showBubbleSize val="0"/>
        </c:dLbls>
        <c:marker val="1"/>
        <c:smooth val="0"/>
        <c:axId val="230875520"/>
        <c:axId val="230873728"/>
        <c:extLst/>
      </c:lineChart>
      <c:catAx>
        <c:axId val="230841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72192"/>
        <c:crosses val="autoZero"/>
        <c:auto val="1"/>
        <c:lblAlgn val="ctr"/>
        <c:lblOffset val="100"/>
        <c:noMultiLvlLbl val="0"/>
      </c:catAx>
      <c:valAx>
        <c:axId val="2308721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41728"/>
        <c:crosses val="autoZero"/>
        <c:crossBetween val="between"/>
      </c:valAx>
      <c:valAx>
        <c:axId val="230873728"/>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75520"/>
        <c:crosses val="max"/>
        <c:crossBetween val="between"/>
      </c:valAx>
      <c:catAx>
        <c:axId val="230875520"/>
        <c:scaling>
          <c:orientation val="minMax"/>
        </c:scaling>
        <c:delete val="1"/>
        <c:axPos val="b"/>
        <c:numFmt formatCode="General" sourceLinked="1"/>
        <c:majorTickMark val="out"/>
        <c:minorTickMark val="none"/>
        <c:tickLblPos val="nextTo"/>
        <c:crossAx val="23087372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zh-CN" altLang="en-US" sz="1600" b="0" i="0" baseline="0">
                <a:effectLst/>
              </a:rPr>
              <a:t>北京金融街</a:t>
            </a:r>
            <a:r>
              <a:rPr lang="zh-CN" altLang="zh-CN" sz="1600" b="0" i="0" baseline="0">
                <a:effectLst/>
              </a:rPr>
              <a:t>办公楼市场分析</a:t>
            </a:r>
            <a:endParaRPr lang="zh-CN" altLang="zh-CN" sz="1600">
              <a:effectLst/>
            </a:endParaRPr>
          </a:p>
        </c:rich>
      </c:tx>
      <c:overlay val="0"/>
      <c:spPr>
        <a:noFill/>
        <a:ln>
          <a:noFill/>
        </a:ln>
        <a:effectLst/>
      </c:spPr>
    </c:title>
    <c:autoTitleDeleted val="0"/>
    <c:plotArea>
      <c:layout/>
      <c:barChart>
        <c:barDir val="col"/>
        <c:grouping val="clustered"/>
        <c:varyColors val="0"/>
        <c:ser>
          <c:idx val="5"/>
          <c:order val="5"/>
          <c:tx>
            <c:strRef>
              <c:f>市场走势!$AA$76</c:f>
              <c:strCache>
                <c:ptCount val="1"/>
                <c:pt idx="0">
                  <c:v>存量（万㎡）</c:v>
                </c:pt>
              </c:strCache>
            </c:strRef>
          </c:tx>
          <c:spPr>
            <a:solidFill>
              <a:schemeClr val="accent6"/>
            </a:solidFill>
            <a:ln>
              <a:noFill/>
            </a:ln>
            <a:effectLst/>
          </c:spPr>
          <c:invertIfNegative val="0"/>
          <c:cat>
            <c:strRef>
              <c:extLst>
                <c:ext xmlns:c15="http://schemas.microsoft.com/office/drawing/2012/chart" uri="{02D57815-91ED-43cb-92C2-25804820EDAC}">
                  <c15:fullRef>
                    <c15:sqref>市场走势!$U$77:$U$96</c15:sqref>
                  </c15:fullRef>
                </c:ext>
              </c:extLst>
              <c:f>市场走势!$U$78:$U$96</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市场走势!$AA$77:$AA$96</c15:sqref>
                  </c15:fullRef>
                </c:ext>
              </c:extLst>
              <c:f>市场走势!$AA$78:$AA$96</c:f>
              <c:numCache>
                <c:formatCode>General</c:formatCode>
                <c:ptCount val="19"/>
                <c:pt idx="0">
                  <c:v>154</c:v>
                </c:pt>
                <c:pt idx="1">
                  <c:v>154</c:v>
                </c:pt>
                <c:pt idx="2">
                  <c:v>156</c:v>
                </c:pt>
                <c:pt idx="3">
                  <c:v>158</c:v>
                </c:pt>
                <c:pt idx="4">
                  <c:v>158</c:v>
                </c:pt>
                <c:pt idx="5">
                  <c:v>158</c:v>
                </c:pt>
                <c:pt idx="6">
                  <c:v>158</c:v>
                </c:pt>
                <c:pt idx="7">
                  <c:v>158</c:v>
                </c:pt>
                <c:pt idx="8">
                  <c:v>158</c:v>
                </c:pt>
                <c:pt idx="9">
                  <c:v>164</c:v>
                </c:pt>
                <c:pt idx="10">
                  <c:v>164</c:v>
                </c:pt>
                <c:pt idx="11">
                  <c:v>164</c:v>
                </c:pt>
                <c:pt idx="12">
                  <c:v>164</c:v>
                </c:pt>
                <c:pt idx="13">
                  <c:v>164</c:v>
                </c:pt>
                <c:pt idx="14">
                  <c:v>167</c:v>
                </c:pt>
                <c:pt idx="15">
                  <c:v>167</c:v>
                </c:pt>
                <c:pt idx="16">
                  <c:v>170</c:v>
                </c:pt>
                <c:pt idx="17">
                  <c:v>170</c:v>
                </c:pt>
                <c:pt idx="18">
                  <c:v>170</c:v>
                </c:pt>
              </c:numCache>
            </c:numRef>
          </c:val>
          <c:extLst>
            <c:ext xmlns:c16="http://schemas.microsoft.com/office/drawing/2014/chart" uri="{C3380CC4-5D6E-409C-BE32-E72D297353CC}">
              <c16:uniqueId val="{00000000-4C3C-4EC4-A517-9AE59166A692}"/>
            </c:ext>
          </c:extLst>
        </c:ser>
        <c:dLbls>
          <c:showLegendKey val="0"/>
          <c:showVal val="0"/>
          <c:showCatName val="0"/>
          <c:showSerName val="0"/>
          <c:showPercent val="0"/>
          <c:showBubbleSize val="0"/>
        </c:dLbls>
        <c:gapWidth val="219"/>
        <c:axId val="230841728"/>
        <c:axId val="230872192"/>
      </c:barChart>
      <c:lineChart>
        <c:grouping val="standard"/>
        <c:varyColors val="0"/>
        <c:ser>
          <c:idx val="3"/>
          <c:order val="3"/>
          <c:tx>
            <c:strRef>
              <c:f>市场走势!$Y$76</c:f>
              <c:strCache>
                <c:ptCount val="1"/>
                <c:pt idx="0">
                  <c:v>新增供应</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c:ext xmlns:c15="http://schemas.microsoft.com/office/drawing/2012/chart" uri="{02D57815-91ED-43cb-92C2-25804820EDAC}">
                  <c15:fullRef>
                    <c15:sqref>市场走势!$U$77:$U$96</c15:sqref>
                  </c15:fullRef>
                </c:ext>
              </c:extLst>
              <c:f>市场走势!$U$78:$U$96</c:f>
              <c:strCache>
                <c:ptCount val="19"/>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strCache>
            </c:strRef>
          </c:cat>
          <c:val>
            <c:numRef>
              <c:extLst>
                <c:ext xmlns:c15="http://schemas.microsoft.com/office/drawing/2012/chart" uri="{02D57815-91ED-43cb-92C2-25804820EDAC}">
                  <c15:fullRef>
                    <c15:sqref>市场走势!$Y$77:$Y$96</c15:sqref>
                  </c15:fullRef>
                </c:ext>
              </c:extLst>
              <c:f>市场走势!$Y$78:$Y$96</c:f>
            </c:numRef>
          </c:val>
          <c:smooth val="0"/>
          <c:extLst>
            <c:ext xmlns:c16="http://schemas.microsoft.com/office/drawing/2014/chart" uri="{C3380CC4-5D6E-409C-BE32-E72D297353CC}">
              <c16:uniqueId val="{00000001-4C3C-4EC4-A517-9AE59166A692}"/>
            </c:ext>
          </c:extLst>
        </c:ser>
        <c:ser>
          <c:idx val="4"/>
          <c:order val="4"/>
          <c:tx>
            <c:strRef>
              <c:f>市场走势!$Z$76</c:f>
              <c:strCache>
                <c:ptCount val="1"/>
                <c:pt idx="0">
                  <c:v>库存（万㎡）</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c:ext xmlns:c15="http://schemas.microsoft.com/office/drawing/2012/chart" uri="{02D57815-91ED-43cb-92C2-25804820EDAC}">
                  <c15:fullRef>
                    <c15:sqref>市场走势!$U$77:$U$96</c15:sqref>
                  </c15:fullRef>
                </c:ext>
              </c:extLst>
              <c:f>市场走势!$U$78:$U$96</c:f>
              <c:strCache>
                <c:ptCount val="19"/>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strCache>
            </c:strRef>
          </c:cat>
          <c:val>
            <c:numRef>
              <c:extLst>
                <c:ext xmlns:c15="http://schemas.microsoft.com/office/drawing/2012/chart" uri="{02D57815-91ED-43cb-92C2-25804820EDAC}">
                  <c15:fullRef>
                    <c15:sqref>市场走势!$Z$77:$Z$96</c15:sqref>
                  </c15:fullRef>
                </c:ext>
              </c:extLst>
              <c:f>市场走势!$Z$78:$Z$96</c:f>
            </c:numRef>
          </c:val>
          <c:smooth val="0"/>
          <c:extLst>
            <c:ext xmlns:c16="http://schemas.microsoft.com/office/drawing/2014/chart" uri="{C3380CC4-5D6E-409C-BE32-E72D297353CC}">
              <c16:uniqueId val="{00000002-4C3C-4EC4-A517-9AE59166A692}"/>
            </c:ext>
          </c:extLst>
        </c:ser>
        <c:ser>
          <c:idx val="0"/>
          <c:order val="0"/>
          <c:tx>
            <c:strRef>
              <c:f>市场走势!$V$76</c:f>
              <c:strCache>
                <c:ptCount val="1"/>
                <c:pt idx="0">
                  <c:v>平均有效租金</c:v>
                </c:pt>
              </c:strCache>
            </c:strRef>
          </c:tx>
          <c:spPr>
            <a:ln w="28575" cap="rnd">
              <a:solidFill>
                <a:schemeClr val="accent1"/>
              </a:solidFill>
              <a:round/>
            </a:ln>
            <a:effectLst/>
          </c:spPr>
          <c:marker>
            <c:symbol val="none"/>
          </c:marker>
          <c:cat>
            <c:strRef>
              <c:extLst>
                <c:ext xmlns:c15="http://schemas.microsoft.com/office/drawing/2012/chart" uri="{02D57815-91ED-43cb-92C2-25804820EDAC}">
                  <c15:fullRef>
                    <c15:sqref>市场走势!$U$77:$U$96</c15:sqref>
                  </c15:fullRef>
                </c:ext>
              </c:extLst>
              <c:f>市场走势!$U$78:$U$96</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市场走势!$V$77:$V$96</c15:sqref>
                  </c15:fullRef>
                </c:ext>
              </c:extLst>
              <c:f>市场走势!$V$78:$V$96</c:f>
              <c:numCache>
                <c:formatCode>General</c:formatCode>
                <c:ptCount val="19"/>
                <c:pt idx="0">
                  <c:v>625</c:v>
                </c:pt>
                <c:pt idx="1">
                  <c:v>631</c:v>
                </c:pt>
                <c:pt idx="2">
                  <c:v>642</c:v>
                </c:pt>
                <c:pt idx="3">
                  <c:v>641</c:v>
                </c:pt>
                <c:pt idx="4">
                  <c:v>651</c:v>
                </c:pt>
                <c:pt idx="5">
                  <c:v>657</c:v>
                </c:pt>
                <c:pt idx="6">
                  <c:v>667</c:v>
                </c:pt>
                <c:pt idx="7">
                  <c:v>672</c:v>
                </c:pt>
                <c:pt idx="8">
                  <c:v>676</c:v>
                </c:pt>
                <c:pt idx="9">
                  <c:v>687</c:v>
                </c:pt>
                <c:pt idx="10">
                  <c:v>686</c:v>
                </c:pt>
                <c:pt idx="11">
                  <c:v>691</c:v>
                </c:pt>
                <c:pt idx="12">
                  <c:v>692</c:v>
                </c:pt>
                <c:pt idx="13">
                  <c:v>693</c:v>
                </c:pt>
                <c:pt idx="14">
                  <c:v>691</c:v>
                </c:pt>
                <c:pt idx="15">
                  <c:v>689</c:v>
                </c:pt>
                <c:pt idx="16">
                  <c:v>673</c:v>
                </c:pt>
                <c:pt idx="17">
                  <c:v>661</c:v>
                </c:pt>
                <c:pt idx="18">
                  <c:v>647</c:v>
                </c:pt>
              </c:numCache>
            </c:numRef>
          </c:val>
          <c:smooth val="0"/>
          <c:extLst>
            <c:ext xmlns:c16="http://schemas.microsoft.com/office/drawing/2014/chart" uri="{C3380CC4-5D6E-409C-BE32-E72D297353CC}">
              <c16:uniqueId val="{00000003-4C3C-4EC4-A517-9AE59166A692}"/>
            </c:ext>
          </c:extLst>
        </c:ser>
        <c:dLbls>
          <c:showLegendKey val="0"/>
          <c:showVal val="0"/>
          <c:showCatName val="0"/>
          <c:showSerName val="0"/>
          <c:showPercent val="0"/>
          <c:showBubbleSize val="0"/>
        </c:dLbls>
        <c:marker val="1"/>
        <c:smooth val="0"/>
        <c:axId val="230841728"/>
        <c:axId val="230872192"/>
        <c:extLst>
          <c:ext xmlns:c15="http://schemas.microsoft.com/office/drawing/2012/chart" uri="{02D57815-91ED-43cb-92C2-25804820EDAC}">
            <c15:filteredLineSeries>
              <c15:ser>
                <c:idx val="2"/>
                <c:order val="2"/>
                <c:tx>
                  <c:strRef>
                    <c:extLst>
                      <c:ext uri="{02D57815-91ED-43cb-92C2-25804820EDAC}">
                        <c15:formulaRef>
                          <c15:sqref>市场走势!$X$76</c15:sqref>
                        </c15:formulaRef>
                      </c:ext>
                    </c:extLst>
                    <c:strCache>
                      <c:ptCount val="1"/>
                      <c:pt idx="0">
                        <c:v>租金增长率</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uri="{02D57815-91ED-43cb-92C2-25804820EDAC}">
                        <c15:fullRef>
                          <c15:sqref>市场走势!$U$77:$U$96</c15:sqref>
                        </c15:fullRef>
                        <c15:formulaRef>
                          <c15:sqref>市场走势!$U$78:$U$96</c15:sqref>
                        </c15:formulaRef>
                      </c:ext>
                    </c:extLst>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uri="{02D57815-91ED-43cb-92C2-25804820EDAC}">
                        <c15:fullRef>
                          <c15:sqref>市场走势!$X$77:$X$96</c15:sqref>
                        </c15:fullRef>
                        <c15:formulaRef>
                          <c15:sqref>市场走势!$X$78:$X$96</c15:sqref>
                        </c15:formulaRef>
                      </c:ext>
                    </c:extLst>
                    <c:numCache>
                      <c:formatCode>0.00%</c:formatCode>
                      <c:ptCount val="19"/>
                      <c:pt idx="1">
                        <c:v>9.5999999999999992E-3</c:v>
                      </c:pt>
                      <c:pt idx="2">
                        <c:v>1.7432646592709985E-2</c:v>
                      </c:pt>
                      <c:pt idx="3">
                        <c:v>-1.557632398753894E-3</c:v>
                      </c:pt>
                      <c:pt idx="4">
                        <c:v>1.5600624024960999E-2</c:v>
                      </c:pt>
                      <c:pt idx="5">
                        <c:v>9.2165898617511521E-3</c:v>
                      </c:pt>
                      <c:pt idx="6">
                        <c:v>1.5220700152207001E-2</c:v>
                      </c:pt>
                      <c:pt idx="7">
                        <c:v>7.4962518740629685E-3</c:v>
                      </c:pt>
                      <c:pt idx="8">
                        <c:v>5.9523809523809521E-3</c:v>
                      </c:pt>
                      <c:pt idx="9">
                        <c:v>1.6272189349112426E-2</c:v>
                      </c:pt>
                      <c:pt idx="10">
                        <c:v>-1.455604075691412E-3</c:v>
                      </c:pt>
                      <c:pt idx="11">
                        <c:v>7.2886297376093291E-3</c:v>
                      </c:pt>
                      <c:pt idx="12">
                        <c:v>1.4471780028943559E-3</c:v>
                      </c:pt>
                      <c:pt idx="13">
                        <c:v>1.4450867052023121E-3</c:v>
                      </c:pt>
                      <c:pt idx="14">
                        <c:v>-2.886002886002886E-3</c:v>
                      </c:pt>
                      <c:pt idx="15">
                        <c:v>-2.8943560057887118E-3</c:v>
                      </c:pt>
                      <c:pt idx="16">
                        <c:v>-2.3222060957910014E-2</c:v>
                      </c:pt>
                      <c:pt idx="17">
                        <c:v>-1.7830609212481426E-2</c:v>
                      </c:pt>
                      <c:pt idx="18">
                        <c:v>-2.118003025718608E-2</c:v>
                      </c:pt>
                    </c:numCache>
                  </c:numRef>
                </c:val>
                <c:smooth val="0"/>
                <c:extLst>
                  <c:ext xmlns:c16="http://schemas.microsoft.com/office/drawing/2014/chart" uri="{C3380CC4-5D6E-409C-BE32-E72D297353CC}">
                    <c16:uniqueId val="{00000005-4C3C-4EC4-A517-9AE59166A692}"/>
                  </c:ext>
                </c:extLst>
              </c15:ser>
            </c15:filteredLineSeries>
          </c:ext>
        </c:extLst>
      </c:lineChart>
      <c:lineChart>
        <c:grouping val="standard"/>
        <c:varyColors val="0"/>
        <c:ser>
          <c:idx val="1"/>
          <c:order val="1"/>
          <c:tx>
            <c:strRef>
              <c:f>市场走势!$W$76</c:f>
              <c:strCache>
                <c:ptCount val="1"/>
                <c:pt idx="0">
                  <c:v>空置率</c:v>
                </c:pt>
              </c:strCache>
            </c:strRef>
          </c:tx>
          <c:spPr>
            <a:ln w="28575" cap="rnd">
              <a:solidFill>
                <a:schemeClr val="accent2"/>
              </a:solidFill>
              <a:round/>
            </a:ln>
            <a:effectLst/>
          </c:spPr>
          <c:marker>
            <c:symbol val="none"/>
          </c:marker>
          <c:cat>
            <c:strRef>
              <c:extLst>
                <c:ext xmlns:c15="http://schemas.microsoft.com/office/drawing/2012/chart" uri="{02D57815-91ED-43cb-92C2-25804820EDAC}">
                  <c15:fullRef>
                    <c15:sqref>市场走势!$U$77:$U$96</c15:sqref>
                  </c15:fullRef>
                </c:ext>
              </c:extLst>
              <c:f>市场走势!$U$78:$U$96</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市场走势!$W$77:$W$96</c15:sqref>
                  </c15:fullRef>
                </c:ext>
              </c:extLst>
              <c:f>市场走势!$W$78:$W$96</c:f>
              <c:numCache>
                <c:formatCode>0.00%</c:formatCode>
                <c:ptCount val="19"/>
                <c:pt idx="0">
                  <c:v>1.6500000000000001E-2</c:v>
                </c:pt>
                <c:pt idx="1">
                  <c:v>8.0000000000000002E-3</c:v>
                </c:pt>
                <c:pt idx="2">
                  <c:v>6.4999999999999997E-3</c:v>
                </c:pt>
                <c:pt idx="3">
                  <c:v>1.7000000000000001E-2</c:v>
                </c:pt>
                <c:pt idx="4">
                  <c:v>1.6E-2</c:v>
                </c:pt>
                <c:pt idx="5">
                  <c:v>1.4999999999999999E-2</c:v>
                </c:pt>
                <c:pt idx="6">
                  <c:v>1.9E-2</c:v>
                </c:pt>
                <c:pt idx="7">
                  <c:v>1.8499999999999999E-2</c:v>
                </c:pt>
                <c:pt idx="8">
                  <c:v>1.55E-2</c:v>
                </c:pt>
                <c:pt idx="9">
                  <c:v>2.2499999999999999E-2</c:v>
                </c:pt>
                <c:pt idx="10">
                  <c:v>2.0500000000000001E-2</c:v>
                </c:pt>
                <c:pt idx="11">
                  <c:v>2.01E-2</c:v>
                </c:pt>
                <c:pt idx="12">
                  <c:v>2.1000000000000001E-2</c:v>
                </c:pt>
                <c:pt idx="13">
                  <c:v>1.6E-2</c:v>
                </c:pt>
                <c:pt idx="14">
                  <c:v>2.5000000000000001E-2</c:v>
                </c:pt>
                <c:pt idx="15">
                  <c:v>2.4500000000000001E-2</c:v>
                </c:pt>
                <c:pt idx="16">
                  <c:v>3.1E-2</c:v>
                </c:pt>
                <c:pt idx="17">
                  <c:v>3.1E-2</c:v>
                </c:pt>
                <c:pt idx="18">
                  <c:v>3.2500000000000001E-2</c:v>
                </c:pt>
              </c:numCache>
            </c:numRef>
          </c:val>
          <c:smooth val="0"/>
          <c:extLst>
            <c:ext xmlns:c16="http://schemas.microsoft.com/office/drawing/2014/chart" uri="{C3380CC4-5D6E-409C-BE32-E72D297353CC}">
              <c16:uniqueId val="{00000004-4C3C-4EC4-A517-9AE59166A692}"/>
            </c:ext>
          </c:extLst>
        </c:ser>
        <c:dLbls>
          <c:showLegendKey val="0"/>
          <c:showVal val="0"/>
          <c:showCatName val="0"/>
          <c:showSerName val="0"/>
          <c:showPercent val="0"/>
          <c:showBubbleSize val="0"/>
        </c:dLbls>
        <c:marker val="1"/>
        <c:smooth val="0"/>
        <c:axId val="230875520"/>
        <c:axId val="230873728"/>
        <c:extLst/>
      </c:lineChart>
      <c:catAx>
        <c:axId val="230841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72192"/>
        <c:crosses val="autoZero"/>
        <c:auto val="1"/>
        <c:lblAlgn val="ctr"/>
        <c:lblOffset val="100"/>
        <c:noMultiLvlLbl val="0"/>
      </c:catAx>
      <c:valAx>
        <c:axId val="2308721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41728"/>
        <c:crosses val="autoZero"/>
        <c:crossBetween val="between"/>
      </c:valAx>
      <c:valAx>
        <c:axId val="2308737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75520"/>
        <c:crosses val="max"/>
        <c:crossBetween val="between"/>
      </c:valAx>
      <c:catAx>
        <c:axId val="230875520"/>
        <c:scaling>
          <c:orientation val="minMax"/>
        </c:scaling>
        <c:delete val="1"/>
        <c:axPos val="b"/>
        <c:numFmt formatCode="General" sourceLinked="1"/>
        <c:majorTickMark val="out"/>
        <c:minorTickMark val="none"/>
        <c:tickLblPos val="nextTo"/>
        <c:crossAx val="23087372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戴德五大核心圈甲级及以上办公楼市场分析</a:t>
            </a:r>
          </a:p>
        </c:rich>
      </c:tx>
      <c:layout>
        <c:manualLayout>
          <c:xMode val="edge"/>
          <c:yMode val="edge"/>
          <c:x val="0.28512396694214875"/>
          <c:y val="3.2407407407407406E-2"/>
        </c:manualLayout>
      </c:layout>
      <c:overlay val="0"/>
      <c:spPr>
        <a:noFill/>
        <a:ln>
          <a:noFill/>
        </a:ln>
        <a:effectLst/>
      </c:spPr>
    </c:title>
    <c:autoTitleDeleted val="0"/>
    <c:plotArea>
      <c:layout/>
      <c:barChart>
        <c:barDir val="col"/>
        <c:grouping val="clustered"/>
        <c:varyColors val="0"/>
        <c:ser>
          <c:idx val="4"/>
          <c:order val="4"/>
          <c:tx>
            <c:strRef>
              <c:f>市场走势!$G$52</c:f>
              <c:strCache>
                <c:ptCount val="1"/>
                <c:pt idx="0">
                  <c:v>库存（万㎡）</c:v>
                </c:pt>
              </c:strCache>
            </c:strRef>
          </c:tx>
          <c:invertIfNegative val="0"/>
          <c:cat>
            <c:strRef>
              <c:extLst>
                <c:ext xmlns:c15="http://schemas.microsoft.com/office/drawing/2012/chart" uri="{02D57815-91ED-43cb-92C2-25804820EDAC}">
                  <c15:fullRef>
                    <c15:sqref>市场走势!$B$53:$B$72</c15:sqref>
                  </c15:fullRef>
                </c:ext>
              </c:extLst>
              <c:f>市场走势!$B$54:$B$72</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市场走势!$G$53:$G$72</c15:sqref>
                  </c15:fullRef>
                </c:ext>
              </c:extLst>
              <c:f>市场走势!$G$54:$G$72</c:f>
              <c:numCache>
                <c:formatCode>General</c:formatCode>
                <c:ptCount val="19"/>
                <c:pt idx="0">
                  <c:v>726.34</c:v>
                </c:pt>
                <c:pt idx="1">
                  <c:v>738.04</c:v>
                </c:pt>
                <c:pt idx="2">
                  <c:v>753.04</c:v>
                </c:pt>
                <c:pt idx="3">
                  <c:v>768.7</c:v>
                </c:pt>
                <c:pt idx="4">
                  <c:v>768.64</c:v>
                </c:pt>
                <c:pt idx="5">
                  <c:v>768.64</c:v>
                </c:pt>
                <c:pt idx="6">
                  <c:v>768.64</c:v>
                </c:pt>
                <c:pt idx="7">
                  <c:v>768.64</c:v>
                </c:pt>
                <c:pt idx="8">
                  <c:v>768.64</c:v>
                </c:pt>
                <c:pt idx="9">
                  <c:v>786.3</c:v>
                </c:pt>
                <c:pt idx="10">
                  <c:v>786.24</c:v>
                </c:pt>
                <c:pt idx="11">
                  <c:v>786.24</c:v>
                </c:pt>
                <c:pt idx="12">
                  <c:v>761.26</c:v>
                </c:pt>
                <c:pt idx="13">
                  <c:v>761.26</c:v>
                </c:pt>
                <c:pt idx="14">
                  <c:v>787.26</c:v>
                </c:pt>
                <c:pt idx="15">
                  <c:v>787.26</c:v>
                </c:pt>
                <c:pt idx="16">
                  <c:v>809.6</c:v>
                </c:pt>
                <c:pt idx="17">
                  <c:v>821.6</c:v>
                </c:pt>
                <c:pt idx="18">
                  <c:v>822.09</c:v>
                </c:pt>
              </c:numCache>
            </c:numRef>
          </c:val>
          <c:extLst>
            <c:ext xmlns:c16="http://schemas.microsoft.com/office/drawing/2014/chart" uri="{C3380CC4-5D6E-409C-BE32-E72D297353CC}">
              <c16:uniqueId val="{00000000-A05D-4F86-BC54-C474650A60E0}"/>
            </c:ext>
          </c:extLst>
        </c:ser>
        <c:dLbls>
          <c:showLegendKey val="0"/>
          <c:showVal val="0"/>
          <c:showCatName val="0"/>
          <c:showSerName val="0"/>
          <c:showPercent val="0"/>
          <c:showBubbleSize val="0"/>
        </c:dLbls>
        <c:gapWidth val="150"/>
        <c:axId val="230910592"/>
        <c:axId val="230916480"/>
      </c:barChart>
      <c:lineChart>
        <c:grouping val="standard"/>
        <c:varyColors val="0"/>
        <c:ser>
          <c:idx val="0"/>
          <c:order val="0"/>
          <c:tx>
            <c:strRef>
              <c:f>市场走势!$C$52</c:f>
              <c:strCache>
                <c:ptCount val="1"/>
                <c:pt idx="0">
                  <c:v>平均有效租金</c:v>
                </c:pt>
              </c:strCache>
            </c:strRef>
          </c:tx>
          <c:spPr>
            <a:effectLst/>
          </c:spPr>
          <c:marker>
            <c:symbol val="none"/>
          </c:marker>
          <c:cat>
            <c:strRef>
              <c:extLst>
                <c:ext xmlns:c15="http://schemas.microsoft.com/office/drawing/2012/chart" uri="{02D57815-91ED-43cb-92C2-25804820EDAC}">
                  <c15:fullRef>
                    <c15:sqref>市场走势!$B$53:$B$72</c15:sqref>
                  </c15:fullRef>
                </c:ext>
              </c:extLst>
              <c:f>市场走势!$B$54:$B$72</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市场走势!$C$53:$C$72</c15:sqref>
                  </c15:fullRef>
                </c:ext>
              </c:extLst>
              <c:f>市场走势!$C$54:$C$72</c:f>
              <c:numCache>
                <c:formatCode>General</c:formatCode>
                <c:ptCount val="19"/>
                <c:pt idx="0">
                  <c:v>397.6</c:v>
                </c:pt>
                <c:pt idx="1">
                  <c:v>403.2</c:v>
                </c:pt>
                <c:pt idx="2">
                  <c:v>409.5</c:v>
                </c:pt>
                <c:pt idx="3">
                  <c:v>420.65</c:v>
                </c:pt>
                <c:pt idx="4">
                  <c:v>415.4</c:v>
                </c:pt>
                <c:pt idx="5">
                  <c:v>413.7</c:v>
                </c:pt>
                <c:pt idx="6">
                  <c:v>422.7</c:v>
                </c:pt>
                <c:pt idx="7">
                  <c:v>427.4</c:v>
                </c:pt>
                <c:pt idx="8">
                  <c:v>430.2</c:v>
                </c:pt>
                <c:pt idx="9">
                  <c:v>457.2</c:v>
                </c:pt>
                <c:pt idx="10">
                  <c:v>439.96</c:v>
                </c:pt>
                <c:pt idx="11">
                  <c:v>438.88</c:v>
                </c:pt>
                <c:pt idx="12">
                  <c:v>436.62</c:v>
                </c:pt>
                <c:pt idx="13">
                  <c:v>433.64</c:v>
                </c:pt>
                <c:pt idx="14">
                  <c:v>427.97</c:v>
                </c:pt>
                <c:pt idx="15">
                  <c:v>423.66</c:v>
                </c:pt>
                <c:pt idx="16">
                  <c:v>404.79</c:v>
                </c:pt>
                <c:pt idx="17">
                  <c:v>393.19</c:v>
                </c:pt>
                <c:pt idx="18">
                  <c:v>387.27</c:v>
                </c:pt>
              </c:numCache>
            </c:numRef>
          </c:val>
          <c:smooth val="0"/>
          <c:extLst>
            <c:ext xmlns:c16="http://schemas.microsoft.com/office/drawing/2014/chart" uri="{C3380CC4-5D6E-409C-BE32-E72D297353CC}">
              <c16:uniqueId val="{00000001-A05D-4F86-BC54-C474650A60E0}"/>
            </c:ext>
          </c:extLst>
        </c:ser>
        <c:dLbls>
          <c:showLegendKey val="0"/>
          <c:showVal val="0"/>
          <c:showCatName val="0"/>
          <c:showSerName val="0"/>
          <c:showPercent val="0"/>
          <c:showBubbleSize val="0"/>
        </c:dLbls>
        <c:marker val="1"/>
        <c:smooth val="0"/>
        <c:axId val="230910592"/>
        <c:axId val="230916480"/>
      </c:lineChart>
      <c:lineChart>
        <c:grouping val="standard"/>
        <c:varyColors val="0"/>
        <c:ser>
          <c:idx val="1"/>
          <c:order val="1"/>
          <c:tx>
            <c:strRef>
              <c:f>市场走势!$D$52</c:f>
              <c:strCache>
                <c:ptCount val="1"/>
                <c:pt idx="0">
                  <c:v>空置率</c:v>
                </c:pt>
              </c:strCache>
            </c:strRef>
          </c:tx>
          <c:spPr>
            <a:ln w="28575" cap="rnd">
              <a:solidFill>
                <a:schemeClr val="accent2"/>
              </a:solidFill>
              <a:round/>
            </a:ln>
            <a:effectLst/>
          </c:spPr>
          <c:marker>
            <c:symbol val="none"/>
          </c:marker>
          <c:cat>
            <c:strRef>
              <c:extLst>
                <c:ext xmlns:c15="http://schemas.microsoft.com/office/drawing/2012/chart" uri="{02D57815-91ED-43cb-92C2-25804820EDAC}">
                  <c15:fullRef>
                    <c15:sqref>市场走势!$B$53:$B$72</c15:sqref>
                  </c15:fullRef>
                </c:ext>
              </c:extLst>
              <c:f>市场走势!$B$54:$B$72</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市场走势!$D$53:$D$72</c15:sqref>
                  </c15:fullRef>
                </c:ext>
              </c:extLst>
              <c:f>市场走势!$D$54:$D$72</c:f>
              <c:numCache>
                <c:formatCode>0.00%</c:formatCode>
                <c:ptCount val="19"/>
                <c:pt idx="0">
                  <c:v>4.3999999999999997E-2</c:v>
                </c:pt>
                <c:pt idx="1">
                  <c:v>4.4999999999999998E-2</c:v>
                </c:pt>
                <c:pt idx="2">
                  <c:v>0.05</c:v>
                </c:pt>
                <c:pt idx="3">
                  <c:v>5.5E-2</c:v>
                </c:pt>
                <c:pt idx="4">
                  <c:v>4.3999999999999997E-2</c:v>
                </c:pt>
                <c:pt idx="5">
                  <c:v>4.4999999999999998E-2</c:v>
                </c:pt>
                <c:pt idx="6">
                  <c:v>3.5000000000000003E-2</c:v>
                </c:pt>
                <c:pt idx="7">
                  <c:v>2.9000000000000001E-2</c:v>
                </c:pt>
                <c:pt idx="8">
                  <c:v>3.1E-2</c:v>
                </c:pt>
                <c:pt idx="9">
                  <c:v>3.4000000000000002E-2</c:v>
                </c:pt>
                <c:pt idx="10">
                  <c:v>3.7999999999999999E-2</c:v>
                </c:pt>
                <c:pt idx="11">
                  <c:v>4.3200000000000002E-2</c:v>
                </c:pt>
                <c:pt idx="12">
                  <c:v>5.6000000000000001E-2</c:v>
                </c:pt>
                <c:pt idx="13">
                  <c:v>5.57E-2</c:v>
                </c:pt>
                <c:pt idx="14">
                  <c:v>7.5999999999999998E-2</c:v>
                </c:pt>
                <c:pt idx="15">
                  <c:v>0.08</c:v>
                </c:pt>
                <c:pt idx="16">
                  <c:v>9.9000000000000005E-2</c:v>
                </c:pt>
                <c:pt idx="17">
                  <c:v>0.112</c:v>
                </c:pt>
                <c:pt idx="18">
                  <c:v>0.108</c:v>
                </c:pt>
              </c:numCache>
            </c:numRef>
          </c:val>
          <c:smooth val="0"/>
          <c:extLst>
            <c:ext xmlns:c16="http://schemas.microsoft.com/office/drawing/2014/chart" uri="{C3380CC4-5D6E-409C-BE32-E72D297353CC}">
              <c16:uniqueId val="{00000002-A05D-4F86-BC54-C474650A60E0}"/>
            </c:ext>
          </c:extLst>
        </c:ser>
        <c:dLbls>
          <c:showLegendKey val="0"/>
          <c:showVal val="0"/>
          <c:showCatName val="0"/>
          <c:showSerName val="0"/>
          <c:showPercent val="0"/>
          <c:showBubbleSize val="0"/>
        </c:dLbls>
        <c:marker val="1"/>
        <c:smooth val="0"/>
        <c:axId val="230919552"/>
        <c:axId val="230918016"/>
        <c:extLst>
          <c:ext xmlns:c15="http://schemas.microsoft.com/office/drawing/2012/chart" uri="{02D57815-91ED-43cb-92C2-25804820EDAC}">
            <c15:filteredLineSeries>
              <c15:ser>
                <c:idx val="2"/>
                <c:order val="2"/>
                <c:tx>
                  <c:strRef>
                    <c:extLst>
                      <c:ext uri="{02D57815-91ED-43cb-92C2-25804820EDAC}">
                        <c15:formulaRef>
                          <c15:sqref>市场走势!$E$52</c15:sqref>
                        </c15:formulaRef>
                      </c:ext>
                    </c:extLst>
                    <c:strCache>
                      <c:ptCount val="1"/>
                      <c:pt idx="0">
                        <c:v>租金增长率</c:v>
                      </c:pt>
                    </c:strCache>
                  </c:strRef>
                </c:tx>
                <c:marker>
                  <c:symbol val="none"/>
                </c:marker>
                <c:cat>
                  <c:strRef>
                    <c:extLst>
                      <c:ext uri="{02D57815-91ED-43cb-92C2-25804820EDAC}">
                        <c15:fullRef>
                          <c15:sqref>市场走势!$B$53:$B$72</c15:sqref>
                        </c15:fullRef>
                        <c15:formulaRef>
                          <c15:sqref>市场走势!$B$54:$B$72</c15:sqref>
                        </c15:formulaRef>
                      </c:ext>
                    </c:extLst>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uri="{02D57815-91ED-43cb-92C2-25804820EDAC}">
                        <c15:fullRef>
                          <c15:sqref>市场走势!$E$53:$E$72</c15:sqref>
                        </c15:fullRef>
                        <c15:formulaRef>
                          <c15:sqref>市场走势!$E$54:$E$72</c15:sqref>
                        </c15:formulaRef>
                      </c:ext>
                    </c:extLst>
                    <c:numCache>
                      <c:formatCode>0.00%</c:formatCode>
                      <c:ptCount val="19"/>
                      <c:pt idx="1">
                        <c:v>1.4084507042253435E-2</c:v>
                      </c:pt>
                      <c:pt idx="2">
                        <c:v>1.5625000000000028E-2</c:v>
                      </c:pt>
                      <c:pt idx="3">
                        <c:v>2.7228327228327173E-2</c:v>
                      </c:pt>
                      <c:pt idx="4">
                        <c:v>-1.2480684654701058E-2</c:v>
                      </c:pt>
                      <c:pt idx="5">
                        <c:v>-4.0924410207029095E-3</c:v>
                      </c:pt>
                      <c:pt idx="6">
                        <c:v>2.1754894851341553E-2</c:v>
                      </c:pt>
                      <c:pt idx="7">
                        <c:v>1.1118996924532739E-2</c:v>
                      </c:pt>
                      <c:pt idx="8">
                        <c:v>6.5512400561535131E-3</c:v>
                      </c:pt>
                      <c:pt idx="9">
                        <c:v>6.2761506276150625E-2</c:v>
                      </c:pt>
                      <c:pt idx="10">
                        <c:v>-3.7707786526684182E-2</c:v>
                      </c:pt>
                      <c:pt idx="11">
                        <c:v>-2.45476861532863E-3</c:v>
                      </c:pt>
                      <c:pt idx="12">
                        <c:v>-5.1494713816988488E-3</c:v>
                      </c:pt>
                      <c:pt idx="13">
                        <c:v>-6.8251568869955983E-3</c:v>
                      </c:pt>
                      <c:pt idx="14">
                        <c:v>-1.3075362051471173E-2</c:v>
                      </c:pt>
                      <c:pt idx="15">
                        <c:v>-1.0070799355094988E-2</c:v>
                      </c:pt>
                      <c:pt idx="16">
                        <c:v>-4.4540433366378709E-2</c:v>
                      </c:pt>
                      <c:pt idx="17">
                        <c:v>-2.8656834407964678E-2</c:v>
                      </c:pt>
                      <c:pt idx="18">
                        <c:v>-1.5056334087845612E-2</c:v>
                      </c:pt>
                    </c:numCache>
                  </c:numRef>
                </c:val>
                <c:smooth val="0"/>
                <c:extLst>
                  <c:ext xmlns:c16="http://schemas.microsoft.com/office/drawing/2014/chart" uri="{C3380CC4-5D6E-409C-BE32-E72D297353CC}">
                    <c16:uniqueId val="{00000003-A05D-4F86-BC54-C474650A60E0}"/>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市场走势!$F$52</c15:sqref>
                        </c15:formulaRef>
                      </c:ext>
                    </c:extLst>
                    <c:strCache>
                      <c:ptCount val="1"/>
                      <c:pt idx="0">
                        <c:v>新增供应</c:v>
                      </c:pt>
                    </c:strCache>
                  </c:strRef>
                </c:tx>
                <c:marker>
                  <c:symbol val="none"/>
                </c:marker>
                <c:cat>
                  <c:strRef>
                    <c:extLst>
                      <c:ext xmlns:c15="http://schemas.microsoft.com/office/drawing/2012/chart" uri="{02D57815-91ED-43cb-92C2-25804820EDAC}">
                        <c15:fullRef>
                          <c15:sqref>市场走势!$B$53:$B$72</c15:sqref>
                        </c15:fullRef>
                        <c15:formulaRef>
                          <c15:sqref>市场走势!$B$54:$B$72</c15:sqref>
                        </c15:formulaRef>
                      </c:ext>
                    </c:extLst>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市场走势!$F$53:$F$72</c15:sqref>
                        </c15:fullRef>
                        <c15:formulaRef>
                          <c15:sqref>市场走势!$F$54:$F$72</c15:sqref>
                        </c15:formulaRef>
                      </c:ext>
                    </c:extLst>
                    <c:numCache>
                      <c:formatCode>General</c:formatCode>
                      <c:ptCount val="19"/>
                      <c:pt idx="1">
                        <c:v>11.699999999999932</c:v>
                      </c:pt>
                      <c:pt idx="2">
                        <c:v>15</c:v>
                      </c:pt>
                      <c:pt idx="3">
                        <c:v>15.660000000000082</c:v>
                      </c:pt>
                      <c:pt idx="4">
                        <c:v>-6.0000000000059117E-2</c:v>
                      </c:pt>
                      <c:pt idx="5">
                        <c:v>0</c:v>
                      </c:pt>
                      <c:pt idx="6">
                        <c:v>0</c:v>
                      </c:pt>
                      <c:pt idx="7">
                        <c:v>0</c:v>
                      </c:pt>
                      <c:pt idx="8">
                        <c:v>0</c:v>
                      </c:pt>
                      <c:pt idx="9">
                        <c:v>17.659999999999968</c:v>
                      </c:pt>
                      <c:pt idx="10">
                        <c:v>-5.999999999994543E-2</c:v>
                      </c:pt>
                      <c:pt idx="11">
                        <c:v>0</c:v>
                      </c:pt>
                      <c:pt idx="12">
                        <c:v>-24.980000000000018</c:v>
                      </c:pt>
                      <c:pt idx="13">
                        <c:v>0</c:v>
                      </c:pt>
                      <c:pt idx="14">
                        <c:v>26</c:v>
                      </c:pt>
                      <c:pt idx="15">
                        <c:v>0</c:v>
                      </c:pt>
                      <c:pt idx="16">
                        <c:v>22.340000000000032</c:v>
                      </c:pt>
                      <c:pt idx="17">
                        <c:v>12</c:v>
                      </c:pt>
                      <c:pt idx="18">
                        <c:v>0.49000000000000909</c:v>
                      </c:pt>
                    </c:numCache>
                  </c:numRef>
                </c:val>
                <c:smooth val="0"/>
                <c:extLst xmlns:c15="http://schemas.microsoft.com/office/drawing/2012/chart">
                  <c:ext xmlns:c16="http://schemas.microsoft.com/office/drawing/2014/chart" uri="{C3380CC4-5D6E-409C-BE32-E72D297353CC}">
                    <c16:uniqueId val="{00000004-A05D-4F86-BC54-C474650A60E0}"/>
                  </c:ext>
                </c:extLst>
              </c15:ser>
            </c15:filteredLineSeries>
          </c:ext>
        </c:extLst>
      </c:lineChart>
      <c:catAx>
        <c:axId val="230910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916480"/>
        <c:crosses val="autoZero"/>
        <c:auto val="1"/>
        <c:lblAlgn val="ctr"/>
        <c:lblOffset val="100"/>
        <c:noMultiLvlLbl val="0"/>
      </c:catAx>
      <c:valAx>
        <c:axId val="2309164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910592"/>
        <c:crosses val="autoZero"/>
        <c:crossBetween val="between"/>
      </c:valAx>
      <c:valAx>
        <c:axId val="230918016"/>
        <c:scaling>
          <c:orientation val="minMax"/>
          <c:max val="0.2"/>
        </c:scaling>
        <c:delete val="0"/>
        <c:axPos val="r"/>
        <c:minorGridlines>
          <c:spPr>
            <a:ln>
              <a:noFill/>
            </a:ln>
          </c:spPr>
        </c:minorGridlines>
        <c:numFmt formatCode="0.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919552"/>
        <c:crosses val="max"/>
        <c:crossBetween val="between"/>
      </c:valAx>
      <c:catAx>
        <c:axId val="230919552"/>
        <c:scaling>
          <c:orientation val="minMax"/>
        </c:scaling>
        <c:delete val="1"/>
        <c:axPos val="b"/>
        <c:numFmt formatCode="General" sourceLinked="1"/>
        <c:majorTickMark val="out"/>
        <c:minorTickMark val="none"/>
        <c:tickLblPos val="nextTo"/>
        <c:crossAx val="230918016"/>
        <c:crosses val="autoZero"/>
        <c:auto val="1"/>
        <c:lblAlgn val="ctr"/>
        <c:lblOffset val="100"/>
        <c:noMultiLvlLbl val="0"/>
      </c:catAx>
      <c:spPr>
        <a:noFill/>
        <a:ln>
          <a:noFill/>
        </a:ln>
        <a:effectLst/>
      </c:spPr>
    </c:plotArea>
    <c:legend>
      <c:legendPos val="b"/>
      <c:layout>
        <c:manualLayout>
          <c:xMode val="edge"/>
          <c:yMode val="edge"/>
          <c:x val="9.0099009900990096E-2"/>
          <c:y val="0.88946704578594338"/>
          <c:w val="0.81980198019801975"/>
          <c:h val="7.812554680664916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戴德东二环甲级及以上办公楼市场分析</a:t>
            </a:r>
          </a:p>
        </c:rich>
      </c:tx>
      <c:layout>
        <c:manualLayout>
          <c:xMode val="edge"/>
          <c:yMode val="edge"/>
          <c:x val="0.28512396694214875"/>
          <c:y val="3.2407407407407406E-2"/>
        </c:manualLayout>
      </c:layout>
      <c:overlay val="0"/>
      <c:spPr>
        <a:noFill/>
        <a:ln>
          <a:noFill/>
        </a:ln>
        <a:effectLst/>
      </c:spPr>
    </c:title>
    <c:autoTitleDeleted val="0"/>
    <c:plotArea>
      <c:layout/>
      <c:barChart>
        <c:barDir val="col"/>
        <c:grouping val="clustered"/>
        <c:varyColors val="0"/>
        <c:ser>
          <c:idx val="4"/>
          <c:order val="4"/>
          <c:tx>
            <c:strRef>
              <c:f>市场走势!$G$28</c:f>
              <c:strCache>
                <c:ptCount val="1"/>
                <c:pt idx="0">
                  <c:v>库存（万㎡）</c:v>
                </c:pt>
              </c:strCache>
            </c:strRef>
          </c:tx>
          <c:invertIfNegative val="0"/>
          <c:cat>
            <c:strRef>
              <c:extLst>
                <c:ext xmlns:c15="http://schemas.microsoft.com/office/drawing/2012/chart" uri="{02D57815-91ED-43cb-92C2-25804820EDAC}">
                  <c15:fullRef>
                    <c15:sqref>市场走势!$B$29:$B$48</c15:sqref>
                  </c15:fullRef>
                </c:ext>
              </c:extLst>
              <c:f>市场走势!$B$30:$B$48</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市场走势!$G$29:$G$48</c15:sqref>
                  </c15:fullRef>
                </c:ext>
              </c:extLst>
              <c:f>市场走势!$G$30:$G$48</c:f>
              <c:numCache>
                <c:formatCode>General</c:formatCode>
                <c:ptCount val="19"/>
                <c:pt idx="0">
                  <c:v>108.27</c:v>
                </c:pt>
                <c:pt idx="1">
                  <c:v>113.07</c:v>
                </c:pt>
                <c:pt idx="2">
                  <c:v>113.07</c:v>
                </c:pt>
                <c:pt idx="3">
                  <c:v>113.07</c:v>
                </c:pt>
                <c:pt idx="4">
                  <c:v>113.07</c:v>
                </c:pt>
                <c:pt idx="5">
                  <c:v>113.07</c:v>
                </c:pt>
                <c:pt idx="6">
                  <c:v>113.07</c:v>
                </c:pt>
                <c:pt idx="7">
                  <c:v>113.07</c:v>
                </c:pt>
                <c:pt idx="8">
                  <c:v>113.07</c:v>
                </c:pt>
                <c:pt idx="9">
                  <c:v>117.7</c:v>
                </c:pt>
                <c:pt idx="10">
                  <c:v>117.7</c:v>
                </c:pt>
                <c:pt idx="11">
                  <c:v>117.6</c:v>
                </c:pt>
                <c:pt idx="12">
                  <c:v>123.17</c:v>
                </c:pt>
                <c:pt idx="13">
                  <c:v>123.17</c:v>
                </c:pt>
                <c:pt idx="14">
                  <c:v>123.17</c:v>
                </c:pt>
                <c:pt idx="15">
                  <c:v>123.17</c:v>
                </c:pt>
                <c:pt idx="16">
                  <c:v>123.17</c:v>
                </c:pt>
                <c:pt idx="17">
                  <c:v>135.16999999999999</c:v>
                </c:pt>
                <c:pt idx="18">
                  <c:v>135.16999999999999</c:v>
                </c:pt>
              </c:numCache>
            </c:numRef>
          </c:val>
          <c:extLst>
            <c:ext xmlns:c16="http://schemas.microsoft.com/office/drawing/2014/chart" uri="{C3380CC4-5D6E-409C-BE32-E72D297353CC}">
              <c16:uniqueId val="{00000000-0A6C-4A56-8915-7BBAD1CBEEC2}"/>
            </c:ext>
          </c:extLst>
        </c:ser>
        <c:dLbls>
          <c:showLegendKey val="0"/>
          <c:showVal val="0"/>
          <c:showCatName val="0"/>
          <c:showSerName val="0"/>
          <c:showPercent val="0"/>
          <c:showBubbleSize val="0"/>
        </c:dLbls>
        <c:gapWidth val="150"/>
        <c:axId val="230627968"/>
        <c:axId val="230633856"/>
      </c:barChart>
      <c:lineChart>
        <c:grouping val="standard"/>
        <c:varyColors val="0"/>
        <c:ser>
          <c:idx val="0"/>
          <c:order val="0"/>
          <c:tx>
            <c:strRef>
              <c:f>市场走势!$C$28</c:f>
              <c:strCache>
                <c:ptCount val="1"/>
                <c:pt idx="0">
                  <c:v>平均有效租金</c:v>
                </c:pt>
              </c:strCache>
            </c:strRef>
          </c:tx>
          <c:spPr>
            <a:effectLst/>
          </c:spPr>
          <c:marker>
            <c:symbol val="none"/>
          </c:marker>
          <c:cat>
            <c:strRef>
              <c:extLst>
                <c:ext xmlns:c15="http://schemas.microsoft.com/office/drawing/2012/chart" uri="{02D57815-91ED-43cb-92C2-25804820EDAC}">
                  <c15:fullRef>
                    <c15:sqref>市场走势!$B$29:$B$48</c15:sqref>
                  </c15:fullRef>
                </c:ext>
              </c:extLst>
              <c:f>市场走势!$B$30:$B$48</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市场走势!$C$29:$C$48</c15:sqref>
                  </c15:fullRef>
                </c:ext>
              </c:extLst>
              <c:f>市场走势!$C$30:$C$48</c:f>
              <c:numCache>
                <c:formatCode>General</c:formatCode>
                <c:ptCount val="19"/>
                <c:pt idx="0">
                  <c:v>334.2</c:v>
                </c:pt>
                <c:pt idx="1">
                  <c:v>350.8</c:v>
                </c:pt>
                <c:pt idx="2">
                  <c:v>344.9</c:v>
                </c:pt>
                <c:pt idx="3">
                  <c:v>343.4</c:v>
                </c:pt>
                <c:pt idx="4">
                  <c:v>348.5</c:v>
                </c:pt>
                <c:pt idx="5">
                  <c:v>351.2</c:v>
                </c:pt>
                <c:pt idx="6">
                  <c:v>353.1</c:v>
                </c:pt>
                <c:pt idx="7">
                  <c:v>357.6</c:v>
                </c:pt>
                <c:pt idx="8">
                  <c:v>359.2</c:v>
                </c:pt>
                <c:pt idx="9">
                  <c:v>369.6</c:v>
                </c:pt>
                <c:pt idx="10">
                  <c:v>364.1</c:v>
                </c:pt>
                <c:pt idx="11">
                  <c:v>361.93</c:v>
                </c:pt>
                <c:pt idx="12">
                  <c:v>350.81</c:v>
                </c:pt>
                <c:pt idx="13">
                  <c:v>347.43</c:v>
                </c:pt>
                <c:pt idx="14">
                  <c:v>343.19</c:v>
                </c:pt>
                <c:pt idx="15">
                  <c:v>342.62</c:v>
                </c:pt>
                <c:pt idx="16">
                  <c:v>335.36</c:v>
                </c:pt>
                <c:pt idx="17">
                  <c:v>332.2</c:v>
                </c:pt>
                <c:pt idx="18">
                  <c:v>327.98</c:v>
                </c:pt>
              </c:numCache>
            </c:numRef>
          </c:val>
          <c:smooth val="0"/>
          <c:extLst>
            <c:ext xmlns:c16="http://schemas.microsoft.com/office/drawing/2014/chart" uri="{C3380CC4-5D6E-409C-BE32-E72D297353CC}">
              <c16:uniqueId val="{00000001-0A6C-4A56-8915-7BBAD1CBEEC2}"/>
            </c:ext>
          </c:extLst>
        </c:ser>
        <c:dLbls>
          <c:showLegendKey val="0"/>
          <c:showVal val="0"/>
          <c:showCatName val="0"/>
          <c:showSerName val="0"/>
          <c:showPercent val="0"/>
          <c:showBubbleSize val="0"/>
        </c:dLbls>
        <c:marker val="1"/>
        <c:smooth val="0"/>
        <c:axId val="230627968"/>
        <c:axId val="230633856"/>
      </c:lineChart>
      <c:lineChart>
        <c:grouping val="standard"/>
        <c:varyColors val="0"/>
        <c:ser>
          <c:idx val="1"/>
          <c:order val="1"/>
          <c:tx>
            <c:strRef>
              <c:f>市场走势!$D$28</c:f>
              <c:strCache>
                <c:ptCount val="1"/>
                <c:pt idx="0">
                  <c:v>空置率</c:v>
                </c:pt>
              </c:strCache>
            </c:strRef>
          </c:tx>
          <c:spPr>
            <a:ln w="28575" cap="rnd">
              <a:solidFill>
                <a:schemeClr val="accent2"/>
              </a:solidFill>
              <a:round/>
            </a:ln>
            <a:effectLst/>
          </c:spPr>
          <c:marker>
            <c:symbol val="none"/>
          </c:marker>
          <c:cat>
            <c:strRef>
              <c:extLst>
                <c:ext xmlns:c15="http://schemas.microsoft.com/office/drawing/2012/chart" uri="{02D57815-91ED-43cb-92C2-25804820EDAC}">
                  <c15:fullRef>
                    <c15:sqref>市场走势!$B$29:$B$48</c15:sqref>
                  </c15:fullRef>
                </c:ext>
              </c:extLst>
              <c:f>市场走势!$B$30:$B$48</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市场走势!$D$29:$D$48</c15:sqref>
                  </c15:fullRef>
                </c:ext>
              </c:extLst>
              <c:f>市场走势!$D$30:$D$48</c:f>
              <c:numCache>
                <c:formatCode>0.00%</c:formatCode>
                <c:ptCount val="19"/>
                <c:pt idx="0">
                  <c:v>2.9000000000000001E-2</c:v>
                </c:pt>
                <c:pt idx="1">
                  <c:v>0.06</c:v>
                </c:pt>
                <c:pt idx="2">
                  <c:v>3.4000000000000002E-2</c:v>
                </c:pt>
                <c:pt idx="3">
                  <c:v>0.03</c:v>
                </c:pt>
                <c:pt idx="4">
                  <c:v>3.5000000000000003E-2</c:v>
                </c:pt>
                <c:pt idx="5">
                  <c:v>4.8000000000000001E-2</c:v>
                </c:pt>
                <c:pt idx="6">
                  <c:v>3.3000000000000002E-2</c:v>
                </c:pt>
                <c:pt idx="7">
                  <c:v>3.5000000000000003E-2</c:v>
                </c:pt>
                <c:pt idx="8">
                  <c:v>7.1999999999999995E-2</c:v>
                </c:pt>
                <c:pt idx="9">
                  <c:v>6.2E-2</c:v>
                </c:pt>
                <c:pt idx="10">
                  <c:v>5.8000000000000003E-2</c:v>
                </c:pt>
                <c:pt idx="11">
                  <c:v>4.9700000000000001E-2</c:v>
                </c:pt>
                <c:pt idx="12">
                  <c:v>6.2E-2</c:v>
                </c:pt>
                <c:pt idx="13">
                  <c:v>5.6000000000000001E-2</c:v>
                </c:pt>
                <c:pt idx="14">
                  <c:v>5.3999999999999999E-2</c:v>
                </c:pt>
                <c:pt idx="15">
                  <c:v>6.3E-2</c:v>
                </c:pt>
                <c:pt idx="16">
                  <c:v>6.8000000000000005E-2</c:v>
                </c:pt>
                <c:pt idx="17">
                  <c:v>0.157</c:v>
                </c:pt>
                <c:pt idx="18">
                  <c:v>0.13300000000000001</c:v>
                </c:pt>
              </c:numCache>
            </c:numRef>
          </c:val>
          <c:smooth val="0"/>
          <c:extLst>
            <c:ext xmlns:c16="http://schemas.microsoft.com/office/drawing/2014/chart" uri="{C3380CC4-5D6E-409C-BE32-E72D297353CC}">
              <c16:uniqueId val="{00000002-0A6C-4A56-8915-7BBAD1CBEEC2}"/>
            </c:ext>
          </c:extLst>
        </c:ser>
        <c:dLbls>
          <c:showLegendKey val="0"/>
          <c:showVal val="0"/>
          <c:showCatName val="0"/>
          <c:showSerName val="0"/>
          <c:showPercent val="0"/>
          <c:showBubbleSize val="0"/>
        </c:dLbls>
        <c:marker val="1"/>
        <c:smooth val="0"/>
        <c:axId val="230636928"/>
        <c:axId val="230635392"/>
        <c:extLst>
          <c:ext xmlns:c15="http://schemas.microsoft.com/office/drawing/2012/chart" uri="{02D57815-91ED-43cb-92C2-25804820EDAC}">
            <c15:filteredLineSeries>
              <c15:ser>
                <c:idx val="2"/>
                <c:order val="2"/>
                <c:tx>
                  <c:strRef>
                    <c:extLst>
                      <c:ext uri="{02D57815-91ED-43cb-92C2-25804820EDAC}">
                        <c15:formulaRef>
                          <c15:sqref>市场走势!$E$28</c15:sqref>
                        </c15:formulaRef>
                      </c:ext>
                    </c:extLst>
                    <c:strCache>
                      <c:ptCount val="1"/>
                      <c:pt idx="0">
                        <c:v>租金增长率</c:v>
                      </c:pt>
                    </c:strCache>
                  </c:strRef>
                </c:tx>
                <c:marker>
                  <c:symbol val="none"/>
                </c:marker>
                <c:cat>
                  <c:strRef>
                    <c:extLst>
                      <c:ext uri="{02D57815-91ED-43cb-92C2-25804820EDAC}">
                        <c15:fullRef>
                          <c15:sqref>市场走势!$B$29:$B$48</c15:sqref>
                        </c15:fullRef>
                        <c15:formulaRef>
                          <c15:sqref>市场走势!$B$30:$B$48</c15:sqref>
                        </c15:formulaRef>
                      </c:ext>
                    </c:extLst>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uri="{02D57815-91ED-43cb-92C2-25804820EDAC}">
                        <c15:fullRef>
                          <c15:sqref>市场走势!$E$29:$E$48</c15:sqref>
                        </c15:fullRef>
                        <c15:formulaRef>
                          <c15:sqref>市场走势!$E$30:$E$48</c15:sqref>
                        </c15:formulaRef>
                      </c:ext>
                    </c:extLst>
                    <c:numCache>
                      <c:formatCode>0.00%</c:formatCode>
                      <c:ptCount val="19"/>
                      <c:pt idx="1">
                        <c:v>4.9670855774985111E-2</c:v>
                      </c:pt>
                      <c:pt idx="2">
                        <c:v>-1.6818700114025181E-2</c:v>
                      </c:pt>
                      <c:pt idx="3">
                        <c:v>-4.3490866917947233E-3</c:v>
                      </c:pt>
                      <c:pt idx="4">
                        <c:v>1.4851485148514918E-2</c:v>
                      </c:pt>
                      <c:pt idx="5">
                        <c:v>7.7474892395982455E-3</c:v>
                      </c:pt>
                      <c:pt idx="6">
                        <c:v>5.4100227790433771E-3</c:v>
                      </c:pt>
                      <c:pt idx="7">
                        <c:v>1.2744265080713678E-2</c:v>
                      </c:pt>
                      <c:pt idx="8">
                        <c:v>4.4742729306486741E-3</c:v>
                      </c:pt>
                      <c:pt idx="9">
                        <c:v>2.8953229398663793E-2</c:v>
                      </c:pt>
                      <c:pt idx="10">
                        <c:v>-1.488095238095238E-2</c:v>
                      </c:pt>
                      <c:pt idx="11">
                        <c:v>-5.959901126064311E-3</c:v>
                      </c:pt>
                      <c:pt idx="12">
                        <c:v>-3.0724173182659641E-2</c:v>
                      </c:pt>
                      <c:pt idx="13">
                        <c:v>-9.6348450728314348E-3</c:v>
                      </c:pt>
                      <c:pt idx="14">
                        <c:v>-1.2203897187922773E-2</c:v>
                      </c:pt>
                      <c:pt idx="15">
                        <c:v>-1.660887554998669E-3</c:v>
                      </c:pt>
                      <c:pt idx="16">
                        <c:v>-2.1189656178857017E-2</c:v>
                      </c:pt>
                      <c:pt idx="17">
                        <c:v>-9.4227099236641968E-3</c:v>
                      </c:pt>
                      <c:pt idx="18">
                        <c:v>-1.2703190848886124E-2</c:v>
                      </c:pt>
                    </c:numCache>
                  </c:numRef>
                </c:val>
                <c:smooth val="0"/>
                <c:extLst>
                  <c:ext xmlns:c16="http://schemas.microsoft.com/office/drawing/2014/chart" uri="{C3380CC4-5D6E-409C-BE32-E72D297353CC}">
                    <c16:uniqueId val="{00000003-0A6C-4A56-8915-7BBAD1CBEEC2}"/>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市场走势!$F$28</c15:sqref>
                        </c15:formulaRef>
                      </c:ext>
                    </c:extLst>
                    <c:strCache>
                      <c:ptCount val="1"/>
                      <c:pt idx="0">
                        <c:v>新增</c:v>
                      </c:pt>
                    </c:strCache>
                  </c:strRef>
                </c:tx>
                <c:marker>
                  <c:symbol val="none"/>
                </c:marker>
                <c:cat>
                  <c:strRef>
                    <c:extLst>
                      <c:ext xmlns:c15="http://schemas.microsoft.com/office/drawing/2012/chart" uri="{02D57815-91ED-43cb-92C2-25804820EDAC}">
                        <c15:fullRef>
                          <c15:sqref>市场走势!$B$29:$B$48</c15:sqref>
                        </c15:fullRef>
                        <c15:formulaRef>
                          <c15:sqref>市场走势!$B$30:$B$48</c15:sqref>
                        </c15:formulaRef>
                      </c:ext>
                    </c:extLst>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市场走势!$F$29:$F$48</c15:sqref>
                        </c15:fullRef>
                        <c15:formulaRef>
                          <c15:sqref>市场走势!$F$30:$F$48</c15:sqref>
                        </c15:formulaRef>
                      </c:ext>
                    </c:extLst>
                    <c:numCache>
                      <c:formatCode>General</c:formatCode>
                      <c:ptCount val="19"/>
                      <c:pt idx="1">
                        <c:v>4.7999999999999972</c:v>
                      </c:pt>
                      <c:pt idx="2">
                        <c:v>0</c:v>
                      </c:pt>
                      <c:pt idx="3">
                        <c:v>0</c:v>
                      </c:pt>
                      <c:pt idx="4">
                        <c:v>0</c:v>
                      </c:pt>
                      <c:pt idx="5">
                        <c:v>0</c:v>
                      </c:pt>
                      <c:pt idx="6">
                        <c:v>0</c:v>
                      </c:pt>
                      <c:pt idx="7">
                        <c:v>0</c:v>
                      </c:pt>
                      <c:pt idx="8">
                        <c:v>0</c:v>
                      </c:pt>
                      <c:pt idx="9">
                        <c:v>4.6300000000000097</c:v>
                      </c:pt>
                      <c:pt idx="10">
                        <c:v>0</c:v>
                      </c:pt>
                      <c:pt idx="11">
                        <c:v>-0.10000000000000853</c:v>
                      </c:pt>
                      <c:pt idx="12">
                        <c:v>5.5700000000000074</c:v>
                      </c:pt>
                      <c:pt idx="13">
                        <c:v>0</c:v>
                      </c:pt>
                      <c:pt idx="14">
                        <c:v>0</c:v>
                      </c:pt>
                      <c:pt idx="15">
                        <c:v>0</c:v>
                      </c:pt>
                      <c:pt idx="16">
                        <c:v>0</c:v>
                      </c:pt>
                      <c:pt idx="17">
                        <c:v>11.999999999999986</c:v>
                      </c:pt>
                      <c:pt idx="18">
                        <c:v>0</c:v>
                      </c:pt>
                    </c:numCache>
                  </c:numRef>
                </c:val>
                <c:smooth val="0"/>
                <c:extLst xmlns:c15="http://schemas.microsoft.com/office/drawing/2012/chart">
                  <c:ext xmlns:c16="http://schemas.microsoft.com/office/drawing/2014/chart" uri="{C3380CC4-5D6E-409C-BE32-E72D297353CC}">
                    <c16:uniqueId val="{00000004-0A6C-4A56-8915-7BBAD1CBEEC2}"/>
                  </c:ext>
                </c:extLst>
              </c15:ser>
            </c15:filteredLineSeries>
          </c:ext>
        </c:extLst>
      </c:lineChart>
      <c:catAx>
        <c:axId val="230627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633856"/>
        <c:crosses val="autoZero"/>
        <c:auto val="1"/>
        <c:lblAlgn val="ctr"/>
        <c:lblOffset val="100"/>
        <c:noMultiLvlLbl val="0"/>
      </c:catAx>
      <c:valAx>
        <c:axId val="230633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627968"/>
        <c:crosses val="autoZero"/>
        <c:crossBetween val="between"/>
      </c:valAx>
      <c:valAx>
        <c:axId val="230635392"/>
        <c:scaling>
          <c:orientation val="minMax"/>
          <c:max val="0.2"/>
        </c:scaling>
        <c:delete val="0"/>
        <c:axPos val="r"/>
        <c:minorGridlines>
          <c:spPr>
            <a:ln>
              <a:noFill/>
            </a:ln>
          </c:spPr>
        </c:min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636928"/>
        <c:crosses val="max"/>
        <c:crossBetween val="between"/>
      </c:valAx>
      <c:catAx>
        <c:axId val="230636928"/>
        <c:scaling>
          <c:orientation val="minMax"/>
        </c:scaling>
        <c:delete val="1"/>
        <c:axPos val="b"/>
        <c:numFmt formatCode="General" sourceLinked="1"/>
        <c:majorTickMark val="out"/>
        <c:minorTickMark val="none"/>
        <c:tickLblPos val="nextTo"/>
        <c:crossAx val="23063539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戴德全市甲级及以上办公楼市场分析</a:t>
            </a:r>
          </a:p>
        </c:rich>
      </c:tx>
      <c:layout>
        <c:manualLayout>
          <c:xMode val="edge"/>
          <c:yMode val="edge"/>
          <c:x val="0.28512396694214875"/>
          <c:y val="3.2407407407407406E-2"/>
        </c:manualLayout>
      </c:layout>
      <c:overlay val="0"/>
      <c:spPr>
        <a:noFill/>
        <a:ln>
          <a:noFill/>
        </a:ln>
        <a:effectLst/>
      </c:spPr>
    </c:title>
    <c:autoTitleDeleted val="0"/>
    <c:plotArea>
      <c:layout/>
      <c:barChart>
        <c:barDir val="col"/>
        <c:grouping val="clustered"/>
        <c:varyColors val="0"/>
        <c:ser>
          <c:idx val="4"/>
          <c:order val="4"/>
          <c:tx>
            <c:strRef>
              <c:f>市场走势!$G$3</c:f>
              <c:strCache>
                <c:ptCount val="1"/>
                <c:pt idx="0">
                  <c:v>库存（万㎡）</c:v>
                </c:pt>
              </c:strCache>
            </c:strRef>
          </c:tx>
          <c:invertIfNegative val="0"/>
          <c:cat>
            <c:strRef>
              <c:extLst>
                <c:ext xmlns:c15="http://schemas.microsoft.com/office/drawing/2012/chart" uri="{02D57815-91ED-43cb-92C2-25804820EDAC}">
                  <c15:fullRef>
                    <c15:sqref>市场走势!$B$4:$B$23</c15:sqref>
                  </c15:fullRef>
                </c:ext>
              </c:extLst>
              <c:f>市场走势!$B$5:$B$23</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市场走势!$G$4:$G$23</c15:sqref>
                  </c15:fullRef>
                </c:ext>
              </c:extLst>
              <c:f>市场走势!$G$5:$G$23</c:f>
              <c:numCache>
                <c:formatCode>General</c:formatCode>
                <c:ptCount val="19"/>
                <c:pt idx="0">
                  <c:v>852.08</c:v>
                </c:pt>
                <c:pt idx="1">
                  <c:v>905.39</c:v>
                </c:pt>
                <c:pt idx="2">
                  <c:v>930.21</c:v>
                </c:pt>
                <c:pt idx="3">
                  <c:v>946</c:v>
                </c:pt>
                <c:pt idx="4">
                  <c:v>967.06</c:v>
                </c:pt>
                <c:pt idx="5">
                  <c:v>967.06</c:v>
                </c:pt>
                <c:pt idx="6">
                  <c:v>1005.54</c:v>
                </c:pt>
                <c:pt idx="7">
                  <c:v>1043.6099999999999</c:v>
                </c:pt>
                <c:pt idx="8">
                  <c:v>1043.6099999999999</c:v>
                </c:pt>
                <c:pt idx="9">
                  <c:v>1048.5999999999999</c:v>
                </c:pt>
                <c:pt idx="10">
                  <c:v>1058</c:v>
                </c:pt>
                <c:pt idx="11">
                  <c:v>1058</c:v>
                </c:pt>
                <c:pt idx="12">
                  <c:v>1034.68</c:v>
                </c:pt>
                <c:pt idx="13">
                  <c:v>1055.3800000000001</c:v>
                </c:pt>
                <c:pt idx="14">
                  <c:v>1114.18</c:v>
                </c:pt>
                <c:pt idx="15">
                  <c:v>1114.18</c:v>
                </c:pt>
                <c:pt idx="16">
                  <c:v>1150.42</c:v>
                </c:pt>
                <c:pt idx="17">
                  <c:v>1166.92</c:v>
                </c:pt>
                <c:pt idx="18">
                  <c:v>1198.4100000000001</c:v>
                </c:pt>
              </c:numCache>
            </c:numRef>
          </c:val>
          <c:extLst>
            <c:ext xmlns:c16="http://schemas.microsoft.com/office/drawing/2014/chart" uri="{C3380CC4-5D6E-409C-BE32-E72D297353CC}">
              <c16:uniqueId val="{00000000-B106-4341-860F-7672F807D8B3}"/>
            </c:ext>
          </c:extLst>
        </c:ser>
        <c:dLbls>
          <c:showLegendKey val="0"/>
          <c:showVal val="0"/>
          <c:showCatName val="0"/>
          <c:showSerName val="0"/>
          <c:showPercent val="0"/>
          <c:showBubbleSize val="0"/>
        </c:dLbls>
        <c:gapWidth val="150"/>
        <c:axId val="230705792"/>
        <c:axId val="230711680"/>
      </c:barChart>
      <c:lineChart>
        <c:grouping val="standard"/>
        <c:varyColors val="0"/>
        <c:ser>
          <c:idx val="0"/>
          <c:order val="0"/>
          <c:tx>
            <c:strRef>
              <c:f>市场走势!$C$3</c:f>
              <c:strCache>
                <c:ptCount val="1"/>
                <c:pt idx="0">
                  <c:v>平均有效租金</c:v>
                </c:pt>
              </c:strCache>
            </c:strRef>
          </c:tx>
          <c:spPr>
            <a:effectLst/>
          </c:spPr>
          <c:marker>
            <c:symbol val="none"/>
          </c:marker>
          <c:cat>
            <c:strRef>
              <c:extLst>
                <c:ext xmlns:c15="http://schemas.microsoft.com/office/drawing/2012/chart" uri="{02D57815-91ED-43cb-92C2-25804820EDAC}">
                  <c15:fullRef>
                    <c15:sqref>市场走势!$B$4:$B$23</c15:sqref>
                  </c15:fullRef>
                </c:ext>
              </c:extLst>
              <c:f>市场走势!$B$5:$B$23</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市场走势!$C$4:$C$23</c15:sqref>
                  </c15:fullRef>
                </c:ext>
              </c:extLst>
              <c:f>市场走势!$C$5:$C$23</c:f>
              <c:numCache>
                <c:formatCode>General</c:formatCode>
                <c:ptCount val="19"/>
                <c:pt idx="0">
                  <c:v>378.1</c:v>
                </c:pt>
                <c:pt idx="1">
                  <c:v>383.7</c:v>
                </c:pt>
                <c:pt idx="2">
                  <c:v>387.2</c:v>
                </c:pt>
                <c:pt idx="3">
                  <c:v>388.4</c:v>
                </c:pt>
                <c:pt idx="4">
                  <c:v>392.1</c:v>
                </c:pt>
                <c:pt idx="5">
                  <c:v>391.3</c:v>
                </c:pt>
                <c:pt idx="6">
                  <c:v>395.7</c:v>
                </c:pt>
                <c:pt idx="7">
                  <c:v>391.3</c:v>
                </c:pt>
                <c:pt idx="8">
                  <c:v>394.4</c:v>
                </c:pt>
                <c:pt idx="9">
                  <c:v>403</c:v>
                </c:pt>
                <c:pt idx="10">
                  <c:v>400.1</c:v>
                </c:pt>
                <c:pt idx="11">
                  <c:v>399.75</c:v>
                </c:pt>
                <c:pt idx="12">
                  <c:v>396.19</c:v>
                </c:pt>
                <c:pt idx="13">
                  <c:v>388.16</c:v>
                </c:pt>
                <c:pt idx="14">
                  <c:v>382.4</c:v>
                </c:pt>
                <c:pt idx="15">
                  <c:v>377.49</c:v>
                </c:pt>
                <c:pt idx="16">
                  <c:v>358.51</c:v>
                </c:pt>
                <c:pt idx="17">
                  <c:v>348.4</c:v>
                </c:pt>
                <c:pt idx="18">
                  <c:v>337.2</c:v>
                </c:pt>
              </c:numCache>
            </c:numRef>
          </c:val>
          <c:smooth val="0"/>
          <c:extLst>
            <c:ext xmlns:c16="http://schemas.microsoft.com/office/drawing/2014/chart" uri="{C3380CC4-5D6E-409C-BE32-E72D297353CC}">
              <c16:uniqueId val="{00000001-B106-4341-860F-7672F807D8B3}"/>
            </c:ext>
          </c:extLst>
        </c:ser>
        <c:dLbls>
          <c:showLegendKey val="0"/>
          <c:showVal val="0"/>
          <c:showCatName val="0"/>
          <c:showSerName val="0"/>
          <c:showPercent val="0"/>
          <c:showBubbleSize val="0"/>
        </c:dLbls>
        <c:marker val="1"/>
        <c:smooth val="0"/>
        <c:axId val="230705792"/>
        <c:axId val="230711680"/>
      </c:lineChart>
      <c:lineChart>
        <c:grouping val="standard"/>
        <c:varyColors val="0"/>
        <c:ser>
          <c:idx val="1"/>
          <c:order val="1"/>
          <c:tx>
            <c:strRef>
              <c:f>市场走势!$D$3</c:f>
              <c:strCache>
                <c:ptCount val="1"/>
                <c:pt idx="0">
                  <c:v>空置率</c:v>
                </c:pt>
              </c:strCache>
            </c:strRef>
          </c:tx>
          <c:spPr>
            <a:ln w="28575" cap="rnd">
              <a:solidFill>
                <a:schemeClr val="accent2"/>
              </a:solidFill>
              <a:round/>
            </a:ln>
            <a:effectLst/>
          </c:spPr>
          <c:marker>
            <c:symbol val="none"/>
          </c:marker>
          <c:cat>
            <c:strRef>
              <c:extLst>
                <c:ext xmlns:c15="http://schemas.microsoft.com/office/drawing/2012/chart" uri="{02D57815-91ED-43cb-92C2-25804820EDAC}">
                  <c15:fullRef>
                    <c15:sqref>市场走势!$B$4:$B$23</c15:sqref>
                  </c15:fullRef>
                </c:ext>
              </c:extLst>
              <c:f>市场走势!$B$5:$B$23</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市场走势!$D$4:$D$23</c15:sqref>
                  </c15:fullRef>
                </c:ext>
              </c:extLst>
              <c:f>市场走势!$D$5:$D$23</c:f>
              <c:numCache>
                <c:formatCode>0.00%</c:formatCode>
                <c:ptCount val="19"/>
                <c:pt idx="0">
                  <c:v>7.2999999999999995E-2</c:v>
                </c:pt>
                <c:pt idx="1">
                  <c:v>5.8000000000000003E-2</c:v>
                </c:pt>
                <c:pt idx="2">
                  <c:v>6.6000000000000003E-2</c:v>
                </c:pt>
                <c:pt idx="3">
                  <c:v>6.6000000000000003E-2</c:v>
                </c:pt>
                <c:pt idx="4">
                  <c:v>7.1999999999999995E-2</c:v>
                </c:pt>
                <c:pt idx="5">
                  <c:v>6.3E-2</c:v>
                </c:pt>
                <c:pt idx="6">
                  <c:v>7.6999999999999999E-2</c:v>
                </c:pt>
                <c:pt idx="7">
                  <c:v>8.4000000000000005E-2</c:v>
                </c:pt>
                <c:pt idx="8">
                  <c:v>7.0999999999999994E-2</c:v>
                </c:pt>
                <c:pt idx="9">
                  <c:v>7.9000000000000001E-2</c:v>
                </c:pt>
                <c:pt idx="10">
                  <c:v>8.1000000000000003E-2</c:v>
                </c:pt>
                <c:pt idx="11">
                  <c:v>7.9200000000000007E-2</c:v>
                </c:pt>
                <c:pt idx="12">
                  <c:v>8.8999999999999996E-2</c:v>
                </c:pt>
                <c:pt idx="13">
                  <c:v>0.10150000000000001</c:v>
                </c:pt>
                <c:pt idx="14">
                  <c:v>0.13500000000000001</c:v>
                </c:pt>
                <c:pt idx="15">
                  <c:v>0.13800000000000001</c:v>
                </c:pt>
                <c:pt idx="16">
                  <c:v>0.16200000000000001</c:v>
                </c:pt>
                <c:pt idx="17">
                  <c:v>0.16600000000000001</c:v>
                </c:pt>
                <c:pt idx="18">
                  <c:v>0.17</c:v>
                </c:pt>
              </c:numCache>
            </c:numRef>
          </c:val>
          <c:smooth val="0"/>
          <c:extLst>
            <c:ext xmlns:c16="http://schemas.microsoft.com/office/drawing/2014/chart" uri="{C3380CC4-5D6E-409C-BE32-E72D297353CC}">
              <c16:uniqueId val="{00000002-B106-4341-860F-7672F807D8B3}"/>
            </c:ext>
          </c:extLst>
        </c:ser>
        <c:dLbls>
          <c:showLegendKey val="0"/>
          <c:showVal val="0"/>
          <c:showCatName val="0"/>
          <c:showSerName val="0"/>
          <c:showPercent val="0"/>
          <c:showBubbleSize val="0"/>
        </c:dLbls>
        <c:marker val="1"/>
        <c:smooth val="0"/>
        <c:axId val="230714752"/>
        <c:axId val="230713216"/>
        <c:extLst>
          <c:ext xmlns:c15="http://schemas.microsoft.com/office/drawing/2012/chart" uri="{02D57815-91ED-43cb-92C2-25804820EDAC}">
            <c15:filteredLineSeries>
              <c15:ser>
                <c:idx val="2"/>
                <c:order val="2"/>
                <c:tx>
                  <c:strRef>
                    <c:extLst>
                      <c:ext uri="{02D57815-91ED-43cb-92C2-25804820EDAC}">
                        <c15:formulaRef>
                          <c15:sqref>市场走势!$E$3</c15:sqref>
                        </c15:formulaRef>
                      </c:ext>
                    </c:extLst>
                    <c:strCache>
                      <c:ptCount val="1"/>
                      <c:pt idx="0">
                        <c:v>租金增长率</c:v>
                      </c:pt>
                    </c:strCache>
                  </c:strRef>
                </c:tx>
                <c:marker>
                  <c:symbol val="none"/>
                </c:marker>
                <c:cat>
                  <c:strRef>
                    <c:extLst>
                      <c:ext uri="{02D57815-91ED-43cb-92C2-25804820EDAC}">
                        <c15:fullRef>
                          <c15:sqref>市场走势!$B$4:$B$23</c15:sqref>
                        </c15:fullRef>
                        <c15:formulaRef>
                          <c15:sqref>市场走势!$B$5:$B$23</c15:sqref>
                        </c15:formulaRef>
                      </c:ext>
                    </c:extLst>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uri="{02D57815-91ED-43cb-92C2-25804820EDAC}">
                        <c15:fullRef>
                          <c15:sqref>市场走势!$E$4:$E$23</c15:sqref>
                        </c15:fullRef>
                        <c15:formulaRef>
                          <c15:sqref>市场走势!$E$5:$E$23</c15:sqref>
                        </c15:formulaRef>
                      </c:ext>
                    </c:extLst>
                    <c:numCache>
                      <c:formatCode>0.00%</c:formatCode>
                      <c:ptCount val="19"/>
                      <c:pt idx="0">
                        <c:v>-3.9515279241306633E-3</c:v>
                      </c:pt>
                      <c:pt idx="1">
                        <c:v>1.4810896588204088E-2</c:v>
                      </c:pt>
                      <c:pt idx="2">
                        <c:v>9.1217096690122488E-3</c:v>
                      </c:pt>
                      <c:pt idx="3">
                        <c:v>3.0991735537189789E-3</c:v>
                      </c:pt>
                      <c:pt idx="4">
                        <c:v>9.5262615859939385E-3</c:v>
                      </c:pt>
                      <c:pt idx="5">
                        <c:v>-2.0402958428972491E-3</c:v>
                      </c:pt>
                      <c:pt idx="6">
                        <c:v>1.124456938410421E-2</c:v>
                      </c:pt>
                      <c:pt idx="7">
                        <c:v>-1.1119535001263526E-2</c:v>
                      </c:pt>
                      <c:pt idx="8">
                        <c:v>7.9223102478915564E-3</c:v>
                      </c:pt>
                      <c:pt idx="9">
                        <c:v>2.1805273833671458E-2</c:v>
                      </c:pt>
                      <c:pt idx="10">
                        <c:v>-7.1960297766748811E-3</c:v>
                      </c:pt>
                      <c:pt idx="11">
                        <c:v>-8.7478130467388837E-4</c:v>
                      </c:pt>
                      <c:pt idx="12">
                        <c:v>-8.9055659787367156E-3</c:v>
                      </c:pt>
                      <c:pt idx="13">
                        <c:v>-2.0268053206794652E-2</c:v>
                      </c:pt>
                      <c:pt idx="14">
                        <c:v>-1.4839241549876462E-2</c:v>
                      </c:pt>
                      <c:pt idx="15">
                        <c:v>-1.2839958158995734E-2</c:v>
                      </c:pt>
                      <c:pt idx="16">
                        <c:v>-5.0279477602055728E-2</c:v>
                      </c:pt>
                      <c:pt idx="17">
                        <c:v>-2.8200050207804563E-2</c:v>
                      </c:pt>
                      <c:pt idx="18">
                        <c:v>-3.2146957520091821E-2</c:v>
                      </c:pt>
                    </c:numCache>
                  </c:numRef>
                </c:val>
                <c:smooth val="0"/>
                <c:extLst>
                  <c:ext xmlns:c16="http://schemas.microsoft.com/office/drawing/2014/chart" uri="{C3380CC4-5D6E-409C-BE32-E72D297353CC}">
                    <c16:uniqueId val="{00000003-B106-4341-860F-7672F807D8B3}"/>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市场走势!$F$3</c15:sqref>
                        </c15:formulaRef>
                      </c:ext>
                    </c:extLst>
                    <c:strCache>
                      <c:ptCount val="1"/>
                      <c:pt idx="0">
                        <c:v>新增供应</c:v>
                      </c:pt>
                    </c:strCache>
                  </c:strRef>
                </c:tx>
                <c:marker>
                  <c:symbol val="none"/>
                </c:marker>
                <c:cat>
                  <c:strRef>
                    <c:extLst>
                      <c:ext xmlns:c15="http://schemas.microsoft.com/office/drawing/2012/chart" uri="{02D57815-91ED-43cb-92C2-25804820EDAC}">
                        <c15:fullRef>
                          <c15:sqref>市场走势!$B$4:$B$23</c15:sqref>
                        </c15:fullRef>
                        <c15:formulaRef>
                          <c15:sqref>市场走势!$B$5:$B$23</c15:sqref>
                        </c15:formulaRef>
                      </c:ext>
                    </c:extLst>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市场走势!$F$4:$F$23</c15:sqref>
                        </c15:fullRef>
                        <c15:formulaRef>
                          <c15:sqref>市场走势!$F$5:$F$23</c15:sqref>
                        </c15:formulaRef>
                      </c:ext>
                    </c:extLst>
                    <c:numCache>
                      <c:formatCode>General</c:formatCode>
                      <c:ptCount val="19"/>
                      <c:pt idx="1">
                        <c:v>53.309999999999945</c:v>
                      </c:pt>
                      <c:pt idx="2">
                        <c:v>24.82000000000005</c:v>
                      </c:pt>
                      <c:pt idx="3">
                        <c:v>15.789999999999964</c:v>
                      </c:pt>
                      <c:pt idx="4">
                        <c:v>21.059999999999945</c:v>
                      </c:pt>
                      <c:pt idx="5">
                        <c:v>0</c:v>
                      </c:pt>
                      <c:pt idx="6">
                        <c:v>38.480000000000018</c:v>
                      </c:pt>
                      <c:pt idx="7">
                        <c:v>38.069999999999936</c:v>
                      </c:pt>
                      <c:pt idx="8">
                        <c:v>0</c:v>
                      </c:pt>
                      <c:pt idx="9">
                        <c:v>4.9900000000000091</c:v>
                      </c:pt>
                      <c:pt idx="10">
                        <c:v>9.4000000000000909</c:v>
                      </c:pt>
                      <c:pt idx="11">
                        <c:v>0</c:v>
                      </c:pt>
                      <c:pt idx="12">
                        <c:v>-23.319999999999936</c:v>
                      </c:pt>
                      <c:pt idx="13">
                        <c:v>20.700000000000045</c:v>
                      </c:pt>
                      <c:pt idx="14">
                        <c:v>58.799999999999955</c:v>
                      </c:pt>
                      <c:pt idx="15">
                        <c:v>0</c:v>
                      </c:pt>
                      <c:pt idx="16">
                        <c:v>36.240000000000009</c:v>
                      </c:pt>
                      <c:pt idx="17">
                        <c:v>16.5</c:v>
                      </c:pt>
                      <c:pt idx="18">
                        <c:v>31.490000000000009</c:v>
                      </c:pt>
                    </c:numCache>
                  </c:numRef>
                </c:val>
                <c:smooth val="0"/>
                <c:extLst xmlns:c15="http://schemas.microsoft.com/office/drawing/2012/chart">
                  <c:ext xmlns:c16="http://schemas.microsoft.com/office/drawing/2014/chart" uri="{C3380CC4-5D6E-409C-BE32-E72D297353CC}">
                    <c16:uniqueId val="{00000004-B106-4341-860F-7672F807D8B3}"/>
                  </c:ext>
                </c:extLst>
              </c15:ser>
            </c15:filteredLineSeries>
          </c:ext>
        </c:extLst>
      </c:lineChart>
      <c:catAx>
        <c:axId val="230705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711680"/>
        <c:crosses val="autoZero"/>
        <c:auto val="1"/>
        <c:lblAlgn val="ctr"/>
        <c:lblOffset val="100"/>
        <c:noMultiLvlLbl val="0"/>
      </c:catAx>
      <c:valAx>
        <c:axId val="2307116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705792"/>
        <c:crosses val="autoZero"/>
        <c:crossBetween val="between"/>
      </c:valAx>
      <c:valAx>
        <c:axId val="230713216"/>
        <c:scaling>
          <c:orientation val="minMax"/>
          <c:max val="0.2"/>
        </c:scaling>
        <c:delete val="0"/>
        <c:axPos val="r"/>
        <c:minorGridlines>
          <c:spPr>
            <a:ln>
              <a:noFill/>
            </a:ln>
          </c:spPr>
        </c:min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714752"/>
        <c:crosses val="max"/>
        <c:crossBetween val="between"/>
      </c:valAx>
      <c:catAx>
        <c:axId val="230714752"/>
        <c:scaling>
          <c:orientation val="minMax"/>
        </c:scaling>
        <c:delete val="1"/>
        <c:axPos val="b"/>
        <c:numFmt formatCode="General" sourceLinked="1"/>
        <c:majorTickMark val="out"/>
        <c:minorTickMark val="none"/>
        <c:tickLblPos val="nextTo"/>
        <c:crossAx val="23071321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戴德金融街甲级及以上办公楼市场分析</a:t>
            </a:r>
          </a:p>
        </c:rich>
      </c:tx>
      <c:layout>
        <c:manualLayout>
          <c:xMode val="edge"/>
          <c:yMode val="edge"/>
          <c:x val="0.28512396694214875"/>
          <c:y val="3.2407407407407406E-2"/>
        </c:manualLayout>
      </c:layout>
      <c:overlay val="0"/>
      <c:spPr>
        <a:noFill/>
        <a:ln>
          <a:noFill/>
        </a:ln>
        <a:effectLst/>
      </c:spPr>
    </c:title>
    <c:autoTitleDeleted val="0"/>
    <c:plotArea>
      <c:layout/>
      <c:barChart>
        <c:barDir val="col"/>
        <c:grouping val="clustered"/>
        <c:varyColors val="0"/>
        <c:ser>
          <c:idx val="4"/>
          <c:order val="4"/>
          <c:tx>
            <c:strRef>
              <c:f>市场走势!$G$76</c:f>
              <c:strCache>
                <c:ptCount val="1"/>
                <c:pt idx="0">
                  <c:v>库存（万㎡）</c:v>
                </c:pt>
              </c:strCache>
            </c:strRef>
          </c:tx>
          <c:invertIfNegative val="0"/>
          <c:cat>
            <c:strRef>
              <c:extLst>
                <c:ext xmlns:c15="http://schemas.microsoft.com/office/drawing/2012/chart" uri="{02D57815-91ED-43cb-92C2-25804820EDAC}">
                  <c15:fullRef>
                    <c15:sqref>市场走势!$B$77:$B$96</c15:sqref>
                  </c15:fullRef>
                </c:ext>
              </c:extLst>
              <c:f>市场走势!$B$78:$B$96</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市场走势!$G$77:$G$96</c15:sqref>
                  </c15:fullRef>
                </c:ext>
              </c:extLst>
              <c:f>市场走势!$G$78:$G$96</c:f>
              <c:numCache>
                <c:formatCode>General</c:formatCode>
                <c:ptCount val="19"/>
                <c:pt idx="0">
                  <c:v>138.25</c:v>
                </c:pt>
                <c:pt idx="1">
                  <c:v>138.25</c:v>
                </c:pt>
                <c:pt idx="2">
                  <c:v>138.25</c:v>
                </c:pt>
                <c:pt idx="3">
                  <c:v>141.66</c:v>
                </c:pt>
                <c:pt idx="4">
                  <c:v>141.66</c:v>
                </c:pt>
                <c:pt idx="5">
                  <c:v>141.66</c:v>
                </c:pt>
                <c:pt idx="6">
                  <c:v>141.66</c:v>
                </c:pt>
                <c:pt idx="7">
                  <c:v>141.66</c:v>
                </c:pt>
                <c:pt idx="8">
                  <c:v>141.66</c:v>
                </c:pt>
                <c:pt idx="9">
                  <c:v>154.66</c:v>
                </c:pt>
                <c:pt idx="10">
                  <c:v>154.66</c:v>
                </c:pt>
                <c:pt idx="11">
                  <c:v>154.66</c:v>
                </c:pt>
                <c:pt idx="12">
                  <c:v>154.66</c:v>
                </c:pt>
                <c:pt idx="13">
                  <c:v>154.66</c:v>
                </c:pt>
                <c:pt idx="14">
                  <c:v>154.66</c:v>
                </c:pt>
                <c:pt idx="15">
                  <c:v>154.66</c:v>
                </c:pt>
                <c:pt idx="16">
                  <c:v>159.66</c:v>
                </c:pt>
                <c:pt idx="17">
                  <c:v>159.66</c:v>
                </c:pt>
                <c:pt idx="18">
                  <c:v>159.66</c:v>
                </c:pt>
              </c:numCache>
            </c:numRef>
          </c:val>
          <c:extLst>
            <c:ext xmlns:c16="http://schemas.microsoft.com/office/drawing/2014/chart" uri="{C3380CC4-5D6E-409C-BE32-E72D297353CC}">
              <c16:uniqueId val="{00000000-1B40-41AD-9ABC-98BC249DC5AE}"/>
            </c:ext>
          </c:extLst>
        </c:ser>
        <c:dLbls>
          <c:showLegendKey val="0"/>
          <c:showVal val="0"/>
          <c:showCatName val="0"/>
          <c:showSerName val="0"/>
          <c:showPercent val="0"/>
          <c:showBubbleSize val="0"/>
        </c:dLbls>
        <c:gapWidth val="150"/>
        <c:axId val="230985088"/>
        <c:axId val="230990976"/>
      </c:barChart>
      <c:lineChart>
        <c:grouping val="standard"/>
        <c:varyColors val="0"/>
        <c:ser>
          <c:idx val="0"/>
          <c:order val="0"/>
          <c:tx>
            <c:strRef>
              <c:f>市场走势!$C$76</c:f>
              <c:strCache>
                <c:ptCount val="1"/>
                <c:pt idx="0">
                  <c:v>平均有效租金</c:v>
                </c:pt>
              </c:strCache>
            </c:strRef>
          </c:tx>
          <c:spPr>
            <a:effectLst/>
          </c:spPr>
          <c:marker>
            <c:symbol val="none"/>
          </c:marker>
          <c:cat>
            <c:strRef>
              <c:extLst>
                <c:ext xmlns:c15="http://schemas.microsoft.com/office/drawing/2012/chart" uri="{02D57815-91ED-43cb-92C2-25804820EDAC}">
                  <c15:fullRef>
                    <c15:sqref>市场走势!$B$77:$B$96</c15:sqref>
                  </c15:fullRef>
                </c:ext>
              </c:extLst>
              <c:f>市场走势!$B$78:$B$96</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市场走势!$C$77:$C$96</c15:sqref>
                  </c15:fullRef>
                </c:ext>
              </c:extLst>
              <c:f>市场走势!$C$78:$C$96</c:f>
              <c:numCache>
                <c:formatCode>General</c:formatCode>
                <c:ptCount val="19"/>
                <c:pt idx="0">
                  <c:v>637.70000000000005</c:v>
                </c:pt>
                <c:pt idx="1">
                  <c:v>643.6</c:v>
                </c:pt>
                <c:pt idx="2">
                  <c:v>664.5</c:v>
                </c:pt>
                <c:pt idx="3">
                  <c:v>660.7</c:v>
                </c:pt>
                <c:pt idx="4">
                  <c:v>675.5</c:v>
                </c:pt>
                <c:pt idx="5">
                  <c:v>682</c:v>
                </c:pt>
                <c:pt idx="6">
                  <c:v>683.3</c:v>
                </c:pt>
                <c:pt idx="7">
                  <c:v>691</c:v>
                </c:pt>
                <c:pt idx="8">
                  <c:v>697.8</c:v>
                </c:pt>
                <c:pt idx="9">
                  <c:v>712.5</c:v>
                </c:pt>
                <c:pt idx="10">
                  <c:v>706.16</c:v>
                </c:pt>
                <c:pt idx="11">
                  <c:v>714.43</c:v>
                </c:pt>
                <c:pt idx="12">
                  <c:v>717.29</c:v>
                </c:pt>
                <c:pt idx="13">
                  <c:v>717.29</c:v>
                </c:pt>
                <c:pt idx="14">
                  <c:v>711.46</c:v>
                </c:pt>
                <c:pt idx="15">
                  <c:v>707.87</c:v>
                </c:pt>
                <c:pt idx="16">
                  <c:v>682</c:v>
                </c:pt>
                <c:pt idx="17">
                  <c:v>662.98</c:v>
                </c:pt>
                <c:pt idx="18">
                  <c:v>642.98</c:v>
                </c:pt>
              </c:numCache>
            </c:numRef>
          </c:val>
          <c:smooth val="0"/>
          <c:extLst>
            <c:ext xmlns:c16="http://schemas.microsoft.com/office/drawing/2014/chart" uri="{C3380CC4-5D6E-409C-BE32-E72D297353CC}">
              <c16:uniqueId val="{00000001-1B40-41AD-9ABC-98BC249DC5AE}"/>
            </c:ext>
          </c:extLst>
        </c:ser>
        <c:dLbls>
          <c:showLegendKey val="0"/>
          <c:showVal val="0"/>
          <c:showCatName val="0"/>
          <c:showSerName val="0"/>
          <c:showPercent val="0"/>
          <c:showBubbleSize val="0"/>
        </c:dLbls>
        <c:marker val="1"/>
        <c:smooth val="0"/>
        <c:axId val="230985088"/>
        <c:axId val="230990976"/>
      </c:lineChart>
      <c:lineChart>
        <c:grouping val="standard"/>
        <c:varyColors val="0"/>
        <c:ser>
          <c:idx val="1"/>
          <c:order val="1"/>
          <c:tx>
            <c:strRef>
              <c:f>市场走势!$D$76</c:f>
              <c:strCache>
                <c:ptCount val="1"/>
                <c:pt idx="0">
                  <c:v>空置率</c:v>
                </c:pt>
              </c:strCache>
            </c:strRef>
          </c:tx>
          <c:spPr>
            <a:ln w="28575" cap="rnd">
              <a:solidFill>
                <a:schemeClr val="accent2"/>
              </a:solidFill>
              <a:round/>
            </a:ln>
            <a:effectLst/>
          </c:spPr>
          <c:marker>
            <c:symbol val="none"/>
          </c:marker>
          <c:cat>
            <c:strRef>
              <c:extLst>
                <c:ext xmlns:c15="http://schemas.microsoft.com/office/drawing/2012/chart" uri="{02D57815-91ED-43cb-92C2-25804820EDAC}">
                  <c15:fullRef>
                    <c15:sqref>市场走势!$B$77:$B$96</c15:sqref>
                  </c15:fullRef>
                </c:ext>
              </c:extLst>
              <c:f>市场走势!$B$78:$B$96</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市场走势!$D$77:$D$96</c15:sqref>
                  </c15:fullRef>
                </c:ext>
              </c:extLst>
              <c:f>市场走势!$D$78:$D$96</c:f>
              <c:numCache>
                <c:formatCode>0.00%</c:formatCode>
                <c:ptCount val="19"/>
                <c:pt idx="0">
                  <c:v>8.0000000000000002E-3</c:v>
                </c:pt>
                <c:pt idx="1">
                  <c:v>2E-3</c:v>
                </c:pt>
                <c:pt idx="2">
                  <c:v>6.0000000000000001E-3</c:v>
                </c:pt>
                <c:pt idx="3">
                  <c:v>2.7E-2</c:v>
                </c:pt>
                <c:pt idx="4">
                  <c:v>2.4E-2</c:v>
                </c:pt>
                <c:pt idx="5">
                  <c:v>2.3E-2</c:v>
                </c:pt>
                <c:pt idx="6">
                  <c:v>3.1E-2</c:v>
                </c:pt>
                <c:pt idx="7">
                  <c:v>3.1E-2</c:v>
                </c:pt>
                <c:pt idx="8">
                  <c:v>2.1000000000000001E-2</c:v>
                </c:pt>
                <c:pt idx="9">
                  <c:v>3.4000000000000002E-2</c:v>
                </c:pt>
                <c:pt idx="10">
                  <c:v>3.1E-2</c:v>
                </c:pt>
                <c:pt idx="11">
                  <c:v>3.2199999999999999E-2</c:v>
                </c:pt>
                <c:pt idx="12">
                  <c:v>3.1E-2</c:v>
                </c:pt>
                <c:pt idx="13">
                  <c:v>1.9E-2</c:v>
                </c:pt>
                <c:pt idx="14">
                  <c:v>2.9000000000000001E-2</c:v>
                </c:pt>
                <c:pt idx="15">
                  <c:v>0.03</c:v>
                </c:pt>
                <c:pt idx="16">
                  <c:v>2.9000000000000001E-2</c:v>
                </c:pt>
                <c:pt idx="17">
                  <c:v>2.5999999999999999E-2</c:v>
                </c:pt>
                <c:pt idx="18">
                  <c:v>2.7E-2</c:v>
                </c:pt>
              </c:numCache>
            </c:numRef>
          </c:val>
          <c:smooth val="0"/>
          <c:extLst>
            <c:ext xmlns:c16="http://schemas.microsoft.com/office/drawing/2014/chart" uri="{C3380CC4-5D6E-409C-BE32-E72D297353CC}">
              <c16:uniqueId val="{00000002-1B40-41AD-9ABC-98BC249DC5AE}"/>
            </c:ext>
          </c:extLst>
        </c:ser>
        <c:dLbls>
          <c:showLegendKey val="0"/>
          <c:showVal val="0"/>
          <c:showCatName val="0"/>
          <c:showSerName val="0"/>
          <c:showPercent val="0"/>
          <c:showBubbleSize val="0"/>
        </c:dLbls>
        <c:marker val="1"/>
        <c:smooth val="0"/>
        <c:axId val="230994304"/>
        <c:axId val="230992512"/>
        <c:extLst>
          <c:ext xmlns:c15="http://schemas.microsoft.com/office/drawing/2012/chart" uri="{02D57815-91ED-43cb-92C2-25804820EDAC}">
            <c15:filteredLineSeries>
              <c15:ser>
                <c:idx val="2"/>
                <c:order val="2"/>
                <c:tx>
                  <c:strRef>
                    <c:extLst>
                      <c:ext uri="{02D57815-91ED-43cb-92C2-25804820EDAC}">
                        <c15:formulaRef>
                          <c15:sqref>市场走势!$E$76</c15:sqref>
                        </c15:formulaRef>
                      </c:ext>
                    </c:extLst>
                    <c:strCache>
                      <c:ptCount val="1"/>
                      <c:pt idx="0">
                        <c:v>租金增长率</c:v>
                      </c:pt>
                    </c:strCache>
                  </c:strRef>
                </c:tx>
                <c:marker>
                  <c:symbol val="none"/>
                </c:marker>
                <c:cat>
                  <c:strRef>
                    <c:extLst>
                      <c:ext uri="{02D57815-91ED-43cb-92C2-25804820EDAC}">
                        <c15:fullRef>
                          <c15:sqref>市场走势!$B$77:$B$96</c15:sqref>
                        </c15:fullRef>
                        <c15:formulaRef>
                          <c15:sqref>市场走势!$B$78:$B$96</c15:sqref>
                        </c15:formulaRef>
                      </c:ext>
                    </c:extLst>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uri="{02D57815-91ED-43cb-92C2-25804820EDAC}">
                        <c15:fullRef>
                          <c15:sqref>市场走势!$E$77:$E$96</c15:sqref>
                        </c15:fullRef>
                        <c15:formulaRef>
                          <c15:sqref>市场走势!$E$78:$E$96</c15:sqref>
                        </c15:formulaRef>
                      </c:ext>
                    </c:extLst>
                    <c:numCache>
                      <c:formatCode>0.00%</c:formatCode>
                      <c:ptCount val="19"/>
                      <c:pt idx="1">
                        <c:v>9.2519993727457686E-3</c:v>
                      </c:pt>
                      <c:pt idx="2">
                        <c:v>3.2473586078309476E-2</c:v>
                      </c:pt>
                      <c:pt idx="3">
                        <c:v>-5.7185854025582463E-3</c:v>
                      </c:pt>
                      <c:pt idx="4">
                        <c:v>2.2400484334796359E-2</c:v>
                      </c:pt>
                      <c:pt idx="5">
                        <c:v>9.6225018504811251E-3</c:v>
                      </c:pt>
                      <c:pt idx="6">
                        <c:v>1.9061583577711944E-3</c:v>
                      </c:pt>
                      <c:pt idx="7">
                        <c:v>1.1268842382555313E-2</c:v>
                      </c:pt>
                      <c:pt idx="8">
                        <c:v>9.8408104196815553E-3</c:v>
                      </c:pt>
                      <c:pt idx="9">
                        <c:v>2.106620808254521E-2</c:v>
                      </c:pt>
                      <c:pt idx="10">
                        <c:v>-8.8982456140351326E-3</c:v>
                      </c:pt>
                      <c:pt idx="11">
                        <c:v>1.1711226917412458E-2</c:v>
                      </c:pt>
                      <c:pt idx="12">
                        <c:v>4.0031913553462391E-3</c:v>
                      </c:pt>
                      <c:pt idx="13">
                        <c:v>0</c:v>
                      </c:pt>
                      <c:pt idx="14">
                        <c:v>-8.1278144125805848E-3</c:v>
                      </c:pt>
                      <c:pt idx="15">
                        <c:v>-5.0459618249796634E-3</c:v>
                      </c:pt>
                      <c:pt idx="16">
                        <c:v>-3.6546258493791242E-2</c:v>
                      </c:pt>
                      <c:pt idx="17">
                        <c:v>-2.7888563049853345E-2</c:v>
                      </c:pt>
                      <c:pt idx="18">
                        <c:v>-3.0166822528583062E-2</c:v>
                      </c:pt>
                    </c:numCache>
                  </c:numRef>
                </c:val>
                <c:smooth val="0"/>
                <c:extLst>
                  <c:ext xmlns:c16="http://schemas.microsoft.com/office/drawing/2014/chart" uri="{C3380CC4-5D6E-409C-BE32-E72D297353CC}">
                    <c16:uniqueId val="{00000003-1B40-41AD-9ABC-98BC249DC5AE}"/>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市场走势!$F$76</c15:sqref>
                        </c15:formulaRef>
                      </c:ext>
                    </c:extLst>
                    <c:strCache>
                      <c:ptCount val="1"/>
                      <c:pt idx="0">
                        <c:v>新增供应</c:v>
                      </c:pt>
                    </c:strCache>
                  </c:strRef>
                </c:tx>
                <c:marker>
                  <c:symbol val="none"/>
                </c:marker>
                <c:cat>
                  <c:strRef>
                    <c:extLst>
                      <c:ext xmlns:c15="http://schemas.microsoft.com/office/drawing/2012/chart" uri="{02D57815-91ED-43cb-92C2-25804820EDAC}">
                        <c15:fullRef>
                          <c15:sqref>市场走势!$B$77:$B$96</c15:sqref>
                        </c15:fullRef>
                        <c15:formulaRef>
                          <c15:sqref>市场走势!$B$78:$B$96</c15:sqref>
                        </c15:formulaRef>
                      </c:ext>
                    </c:extLst>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市场走势!$F$77:$F$96</c15:sqref>
                        </c15:fullRef>
                        <c15:formulaRef>
                          <c15:sqref>市场走势!$F$78:$F$96</c15:sqref>
                        </c15:formulaRef>
                      </c:ext>
                    </c:extLst>
                    <c:numCache>
                      <c:formatCode>General</c:formatCode>
                      <c:ptCount val="19"/>
                      <c:pt idx="1">
                        <c:v>0</c:v>
                      </c:pt>
                      <c:pt idx="2">
                        <c:v>0</c:v>
                      </c:pt>
                      <c:pt idx="3">
                        <c:v>3.4099999999999966</c:v>
                      </c:pt>
                      <c:pt idx="4">
                        <c:v>0</c:v>
                      </c:pt>
                      <c:pt idx="5">
                        <c:v>0</c:v>
                      </c:pt>
                      <c:pt idx="6">
                        <c:v>0</c:v>
                      </c:pt>
                      <c:pt idx="7">
                        <c:v>0</c:v>
                      </c:pt>
                      <c:pt idx="8">
                        <c:v>0</c:v>
                      </c:pt>
                      <c:pt idx="9">
                        <c:v>13</c:v>
                      </c:pt>
                      <c:pt idx="10">
                        <c:v>0</c:v>
                      </c:pt>
                      <c:pt idx="11">
                        <c:v>0</c:v>
                      </c:pt>
                      <c:pt idx="12">
                        <c:v>0</c:v>
                      </c:pt>
                      <c:pt idx="13">
                        <c:v>0</c:v>
                      </c:pt>
                      <c:pt idx="14">
                        <c:v>0</c:v>
                      </c:pt>
                      <c:pt idx="15">
                        <c:v>0</c:v>
                      </c:pt>
                      <c:pt idx="16">
                        <c:v>5</c:v>
                      </c:pt>
                      <c:pt idx="17">
                        <c:v>0</c:v>
                      </c:pt>
                      <c:pt idx="18">
                        <c:v>0</c:v>
                      </c:pt>
                    </c:numCache>
                  </c:numRef>
                </c:val>
                <c:smooth val="0"/>
                <c:extLst xmlns:c15="http://schemas.microsoft.com/office/drawing/2012/chart">
                  <c:ext xmlns:c16="http://schemas.microsoft.com/office/drawing/2014/chart" uri="{C3380CC4-5D6E-409C-BE32-E72D297353CC}">
                    <c16:uniqueId val="{00000004-1B40-41AD-9ABC-98BC249DC5AE}"/>
                  </c:ext>
                </c:extLst>
              </c15:ser>
            </c15:filteredLineSeries>
          </c:ext>
        </c:extLst>
      </c:lineChart>
      <c:catAx>
        <c:axId val="230985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990976"/>
        <c:crosses val="autoZero"/>
        <c:auto val="1"/>
        <c:lblAlgn val="ctr"/>
        <c:lblOffset val="100"/>
        <c:noMultiLvlLbl val="0"/>
      </c:catAx>
      <c:valAx>
        <c:axId val="2309909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985088"/>
        <c:crosses val="autoZero"/>
        <c:crossBetween val="between"/>
      </c:valAx>
      <c:valAx>
        <c:axId val="230992512"/>
        <c:scaling>
          <c:orientation val="minMax"/>
          <c:max val="5.000000000000001E-2"/>
        </c:scaling>
        <c:delete val="0"/>
        <c:axPos val="r"/>
        <c:minorGridlines>
          <c:spPr>
            <a:ln>
              <a:noFill/>
            </a:ln>
          </c:spPr>
        </c:minorGridlines>
        <c:numFmt formatCode="0.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994304"/>
        <c:crosses val="max"/>
        <c:crossBetween val="between"/>
      </c:valAx>
      <c:catAx>
        <c:axId val="230994304"/>
        <c:scaling>
          <c:orientation val="minMax"/>
        </c:scaling>
        <c:delete val="1"/>
        <c:axPos val="b"/>
        <c:numFmt formatCode="General" sourceLinked="1"/>
        <c:majorTickMark val="out"/>
        <c:minorTickMark val="none"/>
        <c:tickLblPos val="nextTo"/>
        <c:crossAx val="23099251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sz="1600" b="0" i="0" baseline="0">
                <a:effectLst/>
              </a:rPr>
              <a:t>仲量北京东二环</a:t>
            </a:r>
            <a:r>
              <a:rPr lang="zh-CN" altLang="zh-CN" sz="1600" b="0" i="0" baseline="0">
                <a:effectLst/>
              </a:rPr>
              <a:t>办公楼市场分析</a:t>
            </a:r>
            <a:endParaRPr lang="zh-CN" altLang="zh-CN" sz="1600">
              <a:effectLst/>
            </a:endParaRPr>
          </a:p>
        </c:rich>
      </c:tx>
      <c:overlay val="0"/>
      <c:spPr>
        <a:noFill/>
        <a:ln>
          <a:noFill/>
        </a:ln>
        <a:effectLst/>
      </c:spPr>
    </c:title>
    <c:autoTitleDeleted val="0"/>
    <c:plotArea>
      <c:layout/>
      <c:barChart>
        <c:barDir val="col"/>
        <c:grouping val="clustered"/>
        <c:varyColors val="0"/>
        <c:ser>
          <c:idx val="5"/>
          <c:order val="5"/>
          <c:tx>
            <c:strRef>
              <c:f>[2]Sheet3!$P$28</c:f>
              <c:strCache>
                <c:ptCount val="1"/>
                <c:pt idx="0">
                  <c:v>存量（万㎡）</c:v>
                </c:pt>
              </c:strCache>
            </c:strRef>
          </c:tx>
          <c:spPr>
            <a:solidFill>
              <a:schemeClr val="accent6"/>
            </a:solidFill>
            <a:ln>
              <a:noFill/>
            </a:ln>
            <a:effectLst/>
          </c:spPr>
          <c:invertIfNegative val="0"/>
          <c:cat>
            <c:numRef>
              <c:f>[2]Sheet3!$J$29:$J$48</c:f>
              <c:numCache>
                <c:formatCode>General</c:formatCode>
                <c:ptCount val="20"/>
                <c:pt idx="0">
                  <c:v>2016.1</c:v>
                </c:pt>
                <c:pt idx="1">
                  <c:v>2016.2</c:v>
                </c:pt>
                <c:pt idx="2">
                  <c:v>2016.3</c:v>
                </c:pt>
                <c:pt idx="3">
                  <c:v>2016.4</c:v>
                </c:pt>
                <c:pt idx="4">
                  <c:v>2017.1</c:v>
                </c:pt>
                <c:pt idx="5">
                  <c:v>2017.2</c:v>
                </c:pt>
                <c:pt idx="6">
                  <c:v>2017.3</c:v>
                </c:pt>
                <c:pt idx="7">
                  <c:v>2017.4</c:v>
                </c:pt>
                <c:pt idx="8">
                  <c:v>2018.1</c:v>
                </c:pt>
                <c:pt idx="9">
                  <c:v>2018.2</c:v>
                </c:pt>
                <c:pt idx="10">
                  <c:v>2018.3</c:v>
                </c:pt>
                <c:pt idx="11">
                  <c:v>2018.4</c:v>
                </c:pt>
                <c:pt idx="12">
                  <c:v>2019.1</c:v>
                </c:pt>
                <c:pt idx="13">
                  <c:v>2019.2</c:v>
                </c:pt>
                <c:pt idx="14">
                  <c:v>2019.3</c:v>
                </c:pt>
                <c:pt idx="15">
                  <c:v>2019.4</c:v>
                </c:pt>
                <c:pt idx="16">
                  <c:v>2020.1</c:v>
                </c:pt>
                <c:pt idx="17">
                  <c:v>2020.2</c:v>
                </c:pt>
                <c:pt idx="18">
                  <c:v>2020.3</c:v>
                </c:pt>
                <c:pt idx="19">
                  <c:v>2020.4</c:v>
                </c:pt>
              </c:numCache>
            </c:numRef>
          </c:cat>
          <c:val>
            <c:numRef>
              <c:f>[2]Sheet3!$P$29:$P$48</c:f>
              <c:numCache>
                <c:formatCode>General</c:formatCode>
                <c:ptCount val="20"/>
                <c:pt idx="0">
                  <c:v>84.38</c:v>
                </c:pt>
                <c:pt idx="1">
                  <c:v>84.38</c:v>
                </c:pt>
                <c:pt idx="2">
                  <c:v>84.38</c:v>
                </c:pt>
                <c:pt idx="3">
                  <c:v>77.23</c:v>
                </c:pt>
                <c:pt idx="4">
                  <c:v>77.23</c:v>
                </c:pt>
                <c:pt idx="5">
                  <c:v>77.23</c:v>
                </c:pt>
                <c:pt idx="6">
                  <c:v>77.23</c:v>
                </c:pt>
                <c:pt idx="7">
                  <c:v>77.23</c:v>
                </c:pt>
                <c:pt idx="8">
                  <c:v>77.23</c:v>
                </c:pt>
                <c:pt idx="9">
                  <c:v>77.23</c:v>
                </c:pt>
                <c:pt idx="10">
                  <c:v>77.23</c:v>
                </c:pt>
                <c:pt idx="11">
                  <c:v>77.23</c:v>
                </c:pt>
                <c:pt idx="12">
                  <c:v>77.23</c:v>
                </c:pt>
                <c:pt idx="13">
                  <c:v>77.23</c:v>
                </c:pt>
                <c:pt idx="14">
                  <c:v>77.23</c:v>
                </c:pt>
                <c:pt idx="15">
                  <c:v>77.23</c:v>
                </c:pt>
                <c:pt idx="16">
                  <c:v>77.23</c:v>
                </c:pt>
                <c:pt idx="17">
                  <c:v>77.23</c:v>
                </c:pt>
                <c:pt idx="18">
                  <c:v>77.23</c:v>
                </c:pt>
                <c:pt idx="19">
                  <c:v>89.63</c:v>
                </c:pt>
              </c:numCache>
            </c:numRef>
          </c:val>
          <c:extLst>
            <c:ext xmlns:c16="http://schemas.microsoft.com/office/drawing/2014/chart" uri="{C3380CC4-5D6E-409C-BE32-E72D297353CC}">
              <c16:uniqueId val="{00000000-220A-4A53-A4D9-9DF20E0969EF}"/>
            </c:ext>
          </c:extLst>
        </c:ser>
        <c:dLbls>
          <c:showLegendKey val="0"/>
          <c:showVal val="0"/>
          <c:showCatName val="0"/>
          <c:showSerName val="0"/>
          <c:showPercent val="0"/>
          <c:showBubbleSize val="0"/>
        </c:dLbls>
        <c:gapWidth val="219"/>
        <c:axId val="229442688"/>
        <c:axId val="229444224"/>
      </c:barChart>
      <c:lineChart>
        <c:grouping val="standard"/>
        <c:varyColors val="0"/>
        <c:ser>
          <c:idx val="0"/>
          <c:order val="0"/>
          <c:tx>
            <c:strRef>
              <c:f>[2]Sheet3!$K$28</c:f>
              <c:strCache>
                <c:ptCount val="1"/>
                <c:pt idx="0">
                  <c:v>平均有效租金</c:v>
                </c:pt>
              </c:strCache>
            </c:strRef>
          </c:tx>
          <c:spPr>
            <a:ln w="28575" cap="rnd">
              <a:solidFill>
                <a:schemeClr val="accent1"/>
              </a:solidFill>
              <a:round/>
            </a:ln>
            <a:effectLst/>
          </c:spPr>
          <c:marker>
            <c:symbol val="none"/>
          </c:marker>
          <c:cat>
            <c:numRef>
              <c:f>[2]Sheet3!$J$29:$J$48</c:f>
              <c:numCache>
                <c:formatCode>General</c:formatCode>
                <c:ptCount val="20"/>
                <c:pt idx="0">
                  <c:v>2016.1</c:v>
                </c:pt>
                <c:pt idx="1">
                  <c:v>2016.2</c:v>
                </c:pt>
                <c:pt idx="2">
                  <c:v>2016.3</c:v>
                </c:pt>
                <c:pt idx="3">
                  <c:v>2016.4</c:v>
                </c:pt>
                <c:pt idx="4">
                  <c:v>2017.1</c:v>
                </c:pt>
                <c:pt idx="5">
                  <c:v>2017.2</c:v>
                </c:pt>
                <c:pt idx="6">
                  <c:v>2017.3</c:v>
                </c:pt>
                <c:pt idx="7">
                  <c:v>2017.4</c:v>
                </c:pt>
                <c:pt idx="8">
                  <c:v>2018.1</c:v>
                </c:pt>
                <c:pt idx="9">
                  <c:v>2018.2</c:v>
                </c:pt>
                <c:pt idx="10">
                  <c:v>2018.3</c:v>
                </c:pt>
                <c:pt idx="11">
                  <c:v>2018.4</c:v>
                </c:pt>
                <c:pt idx="12">
                  <c:v>2019.1</c:v>
                </c:pt>
                <c:pt idx="13">
                  <c:v>2019.2</c:v>
                </c:pt>
                <c:pt idx="14">
                  <c:v>2019.3</c:v>
                </c:pt>
                <c:pt idx="15">
                  <c:v>2019.4</c:v>
                </c:pt>
                <c:pt idx="16">
                  <c:v>2020.1</c:v>
                </c:pt>
                <c:pt idx="17">
                  <c:v>2020.2</c:v>
                </c:pt>
                <c:pt idx="18">
                  <c:v>2020.3</c:v>
                </c:pt>
                <c:pt idx="19">
                  <c:v>2020.4</c:v>
                </c:pt>
              </c:numCache>
            </c:numRef>
          </c:cat>
          <c:val>
            <c:numRef>
              <c:f>[2]Sheet3!$K$29:$K$48</c:f>
              <c:numCache>
                <c:formatCode>General</c:formatCode>
                <c:ptCount val="20"/>
                <c:pt idx="0">
                  <c:v>325</c:v>
                </c:pt>
                <c:pt idx="1">
                  <c:v>327</c:v>
                </c:pt>
                <c:pt idx="2">
                  <c:v>329</c:v>
                </c:pt>
                <c:pt idx="3">
                  <c:v>324</c:v>
                </c:pt>
                <c:pt idx="4">
                  <c:v>325</c:v>
                </c:pt>
                <c:pt idx="5">
                  <c:v>324</c:v>
                </c:pt>
                <c:pt idx="6">
                  <c:v>324</c:v>
                </c:pt>
                <c:pt idx="7">
                  <c:v>330</c:v>
                </c:pt>
                <c:pt idx="8">
                  <c:v>340</c:v>
                </c:pt>
                <c:pt idx="9">
                  <c:v>341</c:v>
                </c:pt>
                <c:pt idx="10">
                  <c:v>346</c:v>
                </c:pt>
                <c:pt idx="11">
                  <c:v>346</c:v>
                </c:pt>
                <c:pt idx="12">
                  <c:v>345</c:v>
                </c:pt>
                <c:pt idx="13">
                  <c:v>342</c:v>
                </c:pt>
                <c:pt idx="14">
                  <c:v>342</c:v>
                </c:pt>
                <c:pt idx="15">
                  <c:v>342</c:v>
                </c:pt>
                <c:pt idx="16">
                  <c:v>342</c:v>
                </c:pt>
                <c:pt idx="17">
                  <c:v>334</c:v>
                </c:pt>
                <c:pt idx="18">
                  <c:v>333</c:v>
                </c:pt>
                <c:pt idx="19">
                  <c:v>318</c:v>
                </c:pt>
              </c:numCache>
            </c:numRef>
          </c:val>
          <c:smooth val="0"/>
          <c:extLst>
            <c:ext xmlns:c16="http://schemas.microsoft.com/office/drawing/2014/chart" uri="{C3380CC4-5D6E-409C-BE32-E72D297353CC}">
              <c16:uniqueId val="{00000004-220A-4A53-A4D9-9DF20E0969EF}"/>
            </c:ext>
          </c:extLst>
        </c:ser>
        <c:dLbls>
          <c:showLegendKey val="0"/>
          <c:showVal val="0"/>
          <c:showCatName val="0"/>
          <c:showSerName val="0"/>
          <c:showPercent val="0"/>
          <c:showBubbleSize val="0"/>
        </c:dLbls>
        <c:marker val="1"/>
        <c:smooth val="0"/>
        <c:axId val="229442688"/>
        <c:axId val="229444224"/>
        <c:extLst>
          <c:ext xmlns:c15="http://schemas.microsoft.com/office/drawing/2012/chart" uri="{02D57815-91ED-43cb-92C2-25804820EDAC}">
            <c15:filteredLineSeries>
              <c15:ser>
                <c:idx val="2"/>
                <c:order val="2"/>
                <c:tx>
                  <c:strRef>
                    <c:extLst>
                      <c:ext uri="{02D57815-91ED-43cb-92C2-25804820EDAC}">
                        <c15:formulaRef>
                          <c15:sqref>[2]Sheet3!$M$28</c15:sqref>
                        </c15:formulaRef>
                      </c:ext>
                    </c:extLst>
                    <c:strCache>
                      <c:ptCount val="1"/>
                      <c:pt idx="0">
                        <c:v>租金增长率</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extLst>
                      <c:ext uri="{02D57815-91ED-43cb-92C2-25804820EDAC}">
                        <c15:formulaRef>
                          <c15:sqref>[2]Sheet3!$J$29:$J$48</c15:sqref>
                        </c15:formulaRef>
                      </c:ext>
                    </c:extLst>
                    <c:numCache>
                      <c:formatCode>General</c:formatCode>
                      <c:ptCount val="20"/>
                      <c:pt idx="0">
                        <c:v>2016.1</c:v>
                      </c:pt>
                      <c:pt idx="1">
                        <c:v>2016.2</c:v>
                      </c:pt>
                      <c:pt idx="2">
                        <c:v>2016.3</c:v>
                      </c:pt>
                      <c:pt idx="3">
                        <c:v>2016.4</c:v>
                      </c:pt>
                      <c:pt idx="4">
                        <c:v>2017.1</c:v>
                      </c:pt>
                      <c:pt idx="5">
                        <c:v>2017.2</c:v>
                      </c:pt>
                      <c:pt idx="6">
                        <c:v>2017.3</c:v>
                      </c:pt>
                      <c:pt idx="7">
                        <c:v>2017.4</c:v>
                      </c:pt>
                      <c:pt idx="8">
                        <c:v>2018.1</c:v>
                      </c:pt>
                      <c:pt idx="9">
                        <c:v>2018.2</c:v>
                      </c:pt>
                      <c:pt idx="10">
                        <c:v>2018.3</c:v>
                      </c:pt>
                      <c:pt idx="11">
                        <c:v>2018.4</c:v>
                      </c:pt>
                      <c:pt idx="12">
                        <c:v>2019.1</c:v>
                      </c:pt>
                      <c:pt idx="13">
                        <c:v>2019.2</c:v>
                      </c:pt>
                      <c:pt idx="14">
                        <c:v>2019.3</c:v>
                      </c:pt>
                      <c:pt idx="15">
                        <c:v>2019.4</c:v>
                      </c:pt>
                      <c:pt idx="16">
                        <c:v>2020.1</c:v>
                      </c:pt>
                      <c:pt idx="17">
                        <c:v>2020.2</c:v>
                      </c:pt>
                      <c:pt idx="18">
                        <c:v>2020.3</c:v>
                      </c:pt>
                      <c:pt idx="19">
                        <c:v>2020.4</c:v>
                      </c:pt>
                    </c:numCache>
                  </c:numRef>
                </c:cat>
                <c:val>
                  <c:numRef>
                    <c:extLst>
                      <c:ext uri="{02D57815-91ED-43cb-92C2-25804820EDAC}">
                        <c15:formulaRef>
                          <c15:sqref>[2]Sheet3!$M$29:$M$48</c15:sqref>
                        </c15:formulaRef>
                      </c:ext>
                    </c:extLst>
                    <c:numCache>
                      <c:formatCode>General</c:formatCode>
                      <c:ptCount val="20"/>
                      <c:pt idx="1">
                        <c:v>6.1538461538461538E-3</c:v>
                      </c:pt>
                      <c:pt idx="2">
                        <c:v>6.1162079510703364E-3</c:v>
                      </c:pt>
                      <c:pt idx="3">
                        <c:v>-1.5197568389057751E-2</c:v>
                      </c:pt>
                      <c:pt idx="4">
                        <c:v>3.0864197530864196E-3</c:v>
                      </c:pt>
                      <c:pt idx="5">
                        <c:v>-3.0769230769230769E-3</c:v>
                      </c:pt>
                      <c:pt idx="6">
                        <c:v>0</c:v>
                      </c:pt>
                      <c:pt idx="7">
                        <c:v>1.8518518518518517E-2</c:v>
                      </c:pt>
                      <c:pt idx="8">
                        <c:v>3.0303030303030304E-2</c:v>
                      </c:pt>
                      <c:pt idx="9">
                        <c:v>2.9411764705882353E-3</c:v>
                      </c:pt>
                      <c:pt idx="10">
                        <c:v>1.466275659824047E-2</c:v>
                      </c:pt>
                      <c:pt idx="11">
                        <c:v>0</c:v>
                      </c:pt>
                      <c:pt idx="12">
                        <c:v>-2.8901734104046241E-3</c:v>
                      </c:pt>
                      <c:pt idx="13">
                        <c:v>-8.6956521739130436E-3</c:v>
                      </c:pt>
                      <c:pt idx="14">
                        <c:v>0</c:v>
                      </c:pt>
                      <c:pt idx="15">
                        <c:v>0</c:v>
                      </c:pt>
                      <c:pt idx="16">
                        <c:v>0</c:v>
                      </c:pt>
                      <c:pt idx="17">
                        <c:v>-2.3391812865497075E-2</c:v>
                      </c:pt>
                      <c:pt idx="18">
                        <c:v>-2.9940119760479044E-3</c:v>
                      </c:pt>
                      <c:pt idx="19">
                        <c:v>-4.5045045045045043E-2</c:v>
                      </c:pt>
                    </c:numCache>
                  </c:numRef>
                </c:val>
                <c:smooth val="0"/>
                <c:extLst>
                  <c:ext xmlns:c16="http://schemas.microsoft.com/office/drawing/2014/chart" uri="{C3380CC4-5D6E-409C-BE32-E72D297353CC}">
                    <c16:uniqueId val="{00000001-220A-4A53-A4D9-9DF20E0969EF}"/>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[2]Sheet3!$N$28</c15:sqref>
                        </c15:formulaRef>
                      </c:ext>
                    </c:extLst>
                    <c:strCache>
                      <c:ptCount val="1"/>
                      <c:pt idx="0">
                        <c:v>新增供应</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extLst xmlns:c15="http://schemas.microsoft.com/office/drawing/2012/chart">
                      <c:ext xmlns:c15="http://schemas.microsoft.com/office/drawing/2012/chart" uri="{02D57815-91ED-43cb-92C2-25804820EDAC}">
                        <c15:formulaRef>
                          <c15:sqref>[2]Sheet3!$J$29:$J$48</c15:sqref>
                        </c15:formulaRef>
                      </c:ext>
                    </c:extLst>
                    <c:numCache>
                      <c:formatCode>General</c:formatCode>
                      <c:ptCount val="20"/>
                      <c:pt idx="0">
                        <c:v>2016.1</c:v>
                      </c:pt>
                      <c:pt idx="1">
                        <c:v>2016.2</c:v>
                      </c:pt>
                      <c:pt idx="2">
                        <c:v>2016.3</c:v>
                      </c:pt>
                      <c:pt idx="3">
                        <c:v>2016.4</c:v>
                      </c:pt>
                      <c:pt idx="4">
                        <c:v>2017.1</c:v>
                      </c:pt>
                      <c:pt idx="5">
                        <c:v>2017.2</c:v>
                      </c:pt>
                      <c:pt idx="6">
                        <c:v>2017.3</c:v>
                      </c:pt>
                      <c:pt idx="7">
                        <c:v>2017.4</c:v>
                      </c:pt>
                      <c:pt idx="8">
                        <c:v>2018.1</c:v>
                      </c:pt>
                      <c:pt idx="9">
                        <c:v>2018.2</c:v>
                      </c:pt>
                      <c:pt idx="10">
                        <c:v>2018.3</c:v>
                      </c:pt>
                      <c:pt idx="11">
                        <c:v>2018.4</c:v>
                      </c:pt>
                      <c:pt idx="12">
                        <c:v>2019.1</c:v>
                      </c:pt>
                      <c:pt idx="13">
                        <c:v>2019.2</c:v>
                      </c:pt>
                      <c:pt idx="14">
                        <c:v>2019.3</c:v>
                      </c:pt>
                      <c:pt idx="15">
                        <c:v>2019.4</c:v>
                      </c:pt>
                      <c:pt idx="16">
                        <c:v>2020.1</c:v>
                      </c:pt>
                      <c:pt idx="17">
                        <c:v>2020.2</c:v>
                      </c:pt>
                      <c:pt idx="18">
                        <c:v>2020.3</c:v>
                      </c:pt>
                      <c:pt idx="19">
                        <c:v>2020.4</c:v>
                      </c:pt>
                    </c:numCache>
                  </c:numRef>
                </c:cat>
                <c:val>
                  <c:numRef>
                    <c:extLst xmlns:c15="http://schemas.microsoft.com/office/drawing/2012/chart">
                      <c:ext xmlns:c15="http://schemas.microsoft.com/office/drawing/2012/chart" uri="{02D57815-91ED-43cb-92C2-25804820EDAC}">
                        <c15:formulaRef>
                          <c15:sqref>[2]Sheet3!$N$29:$N$48</c15:sqref>
                        </c15:formulaRef>
                      </c:ext>
                    </c:extLst>
                    <c:numCache>
                      <c:formatCode>General</c:formatCode>
                      <c:ptCount val="20"/>
                      <c:pt idx="1">
                        <c:v>0</c:v>
                      </c:pt>
                      <c:pt idx="2">
                        <c:v>0</c:v>
                      </c:pt>
                      <c:pt idx="3">
                        <c:v>-71500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124000</c:v>
                      </c:pt>
                    </c:numCache>
                  </c:numRef>
                </c:val>
                <c:smooth val="0"/>
                <c:extLst xmlns:c15="http://schemas.microsoft.com/office/drawing/2012/chart">
                  <c:ext xmlns:c16="http://schemas.microsoft.com/office/drawing/2014/chart" uri="{C3380CC4-5D6E-409C-BE32-E72D297353CC}">
                    <c16:uniqueId val="{00000002-220A-4A53-A4D9-9DF20E0969EF}"/>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[2]Sheet3!$O$28</c15:sqref>
                        </c15:formulaRef>
                      </c:ext>
                    </c:extLst>
                    <c:strCache>
                      <c:ptCount val="1"/>
                      <c:pt idx="0">
                        <c:v>库存（㎡）</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extLst xmlns:c15="http://schemas.microsoft.com/office/drawing/2012/chart">
                      <c:ext xmlns:c15="http://schemas.microsoft.com/office/drawing/2012/chart" uri="{02D57815-91ED-43cb-92C2-25804820EDAC}">
                        <c15:formulaRef>
                          <c15:sqref>[2]Sheet3!$J$29:$J$48</c15:sqref>
                        </c15:formulaRef>
                      </c:ext>
                    </c:extLst>
                    <c:numCache>
                      <c:formatCode>General</c:formatCode>
                      <c:ptCount val="20"/>
                      <c:pt idx="0">
                        <c:v>2016.1</c:v>
                      </c:pt>
                      <c:pt idx="1">
                        <c:v>2016.2</c:v>
                      </c:pt>
                      <c:pt idx="2">
                        <c:v>2016.3</c:v>
                      </c:pt>
                      <c:pt idx="3">
                        <c:v>2016.4</c:v>
                      </c:pt>
                      <c:pt idx="4">
                        <c:v>2017.1</c:v>
                      </c:pt>
                      <c:pt idx="5">
                        <c:v>2017.2</c:v>
                      </c:pt>
                      <c:pt idx="6">
                        <c:v>2017.3</c:v>
                      </c:pt>
                      <c:pt idx="7">
                        <c:v>2017.4</c:v>
                      </c:pt>
                      <c:pt idx="8">
                        <c:v>2018.1</c:v>
                      </c:pt>
                      <c:pt idx="9">
                        <c:v>2018.2</c:v>
                      </c:pt>
                      <c:pt idx="10">
                        <c:v>2018.3</c:v>
                      </c:pt>
                      <c:pt idx="11">
                        <c:v>2018.4</c:v>
                      </c:pt>
                      <c:pt idx="12">
                        <c:v>2019.1</c:v>
                      </c:pt>
                      <c:pt idx="13">
                        <c:v>2019.2</c:v>
                      </c:pt>
                      <c:pt idx="14">
                        <c:v>2019.3</c:v>
                      </c:pt>
                      <c:pt idx="15">
                        <c:v>2019.4</c:v>
                      </c:pt>
                      <c:pt idx="16">
                        <c:v>2020.1</c:v>
                      </c:pt>
                      <c:pt idx="17">
                        <c:v>2020.2</c:v>
                      </c:pt>
                      <c:pt idx="18">
                        <c:v>2020.3</c:v>
                      </c:pt>
                      <c:pt idx="19">
                        <c:v>2020.4</c:v>
                      </c:pt>
                    </c:numCache>
                  </c:numRef>
                </c:cat>
                <c:val>
                  <c:numRef>
                    <c:extLst xmlns:c15="http://schemas.microsoft.com/office/drawing/2012/chart">
                      <c:ext xmlns:c15="http://schemas.microsoft.com/office/drawing/2012/chart" uri="{02D57815-91ED-43cb-92C2-25804820EDAC}">
                        <c15:formulaRef>
                          <c15:sqref>[2]Sheet3!$O$29:$O$48</c15:sqref>
                        </c15:formulaRef>
                      </c:ext>
                    </c:extLst>
                    <c:numCache>
                      <c:formatCode>General</c:formatCode>
                      <c:ptCount val="20"/>
                      <c:pt idx="0">
                        <c:v>843800</c:v>
                      </c:pt>
                      <c:pt idx="1">
                        <c:v>843800</c:v>
                      </c:pt>
                      <c:pt idx="2">
                        <c:v>843800</c:v>
                      </c:pt>
                      <c:pt idx="3">
                        <c:v>772300</c:v>
                      </c:pt>
                      <c:pt idx="4">
                        <c:v>772300</c:v>
                      </c:pt>
                      <c:pt idx="5">
                        <c:v>772300</c:v>
                      </c:pt>
                      <c:pt idx="6">
                        <c:v>772300</c:v>
                      </c:pt>
                      <c:pt idx="7">
                        <c:v>772300</c:v>
                      </c:pt>
                      <c:pt idx="8">
                        <c:v>772300</c:v>
                      </c:pt>
                      <c:pt idx="9">
                        <c:v>772300</c:v>
                      </c:pt>
                      <c:pt idx="10">
                        <c:v>772300</c:v>
                      </c:pt>
                      <c:pt idx="11">
                        <c:v>772300</c:v>
                      </c:pt>
                      <c:pt idx="12">
                        <c:v>772300</c:v>
                      </c:pt>
                      <c:pt idx="13">
                        <c:v>772300</c:v>
                      </c:pt>
                      <c:pt idx="14">
                        <c:v>772300</c:v>
                      </c:pt>
                      <c:pt idx="15">
                        <c:v>772300</c:v>
                      </c:pt>
                      <c:pt idx="16">
                        <c:v>772300</c:v>
                      </c:pt>
                      <c:pt idx="17">
                        <c:v>772300</c:v>
                      </c:pt>
                      <c:pt idx="18">
                        <c:v>772300</c:v>
                      </c:pt>
                      <c:pt idx="19">
                        <c:v>896300</c:v>
                      </c:pt>
                    </c:numCache>
                  </c:numRef>
                </c:val>
                <c:smooth val="0"/>
                <c:extLst xmlns:c15="http://schemas.microsoft.com/office/drawing/2012/chart">
                  <c:ext xmlns:c16="http://schemas.microsoft.com/office/drawing/2014/chart" uri="{C3380CC4-5D6E-409C-BE32-E72D297353CC}">
                    <c16:uniqueId val="{00000003-220A-4A53-A4D9-9DF20E0969EF}"/>
                  </c:ext>
                </c:extLst>
              </c15:ser>
            </c15:filteredLineSeries>
          </c:ext>
        </c:extLst>
      </c:lineChart>
      <c:lineChart>
        <c:grouping val="standard"/>
        <c:varyColors val="0"/>
        <c:ser>
          <c:idx val="1"/>
          <c:order val="1"/>
          <c:tx>
            <c:strRef>
              <c:f>[2]Sheet3!$L$28</c:f>
              <c:strCache>
                <c:ptCount val="1"/>
                <c:pt idx="0">
                  <c:v>空置率</c:v>
                </c:pt>
              </c:strCache>
            </c:strRef>
          </c:tx>
          <c:spPr>
            <a:ln w="28575" cap="rnd">
              <a:solidFill>
                <a:schemeClr val="accent2"/>
              </a:solidFill>
              <a:round/>
            </a:ln>
            <a:effectLst/>
          </c:spPr>
          <c:marker>
            <c:symbol val="none"/>
          </c:marker>
          <c:cat>
            <c:numRef>
              <c:f>[2]Sheet3!$J$29:$J$48</c:f>
              <c:numCache>
                <c:formatCode>General</c:formatCode>
                <c:ptCount val="20"/>
                <c:pt idx="0">
                  <c:v>2016.1</c:v>
                </c:pt>
                <c:pt idx="1">
                  <c:v>2016.2</c:v>
                </c:pt>
                <c:pt idx="2">
                  <c:v>2016.3</c:v>
                </c:pt>
                <c:pt idx="3">
                  <c:v>2016.4</c:v>
                </c:pt>
                <c:pt idx="4">
                  <c:v>2017.1</c:v>
                </c:pt>
                <c:pt idx="5">
                  <c:v>2017.2</c:v>
                </c:pt>
                <c:pt idx="6">
                  <c:v>2017.3</c:v>
                </c:pt>
                <c:pt idx="7">
                  <c:v>2017.4</c:v>
                </c:pt>
                <c:pt idx="8">
                  <c:v>2018.1</c:v>
                </c:pt>
                <c:pt idx="9">
                  <c:v>2018.2</c:v>
                </c:pt>
                <c:pt idx="10">
                  <c:v>2018.3</c:v>
                </c:pt>
                <c:pt idx="11">
                  <c:v>2018.4</c:v>
                </c:pt>
                <c:pt idx="12">
                  <c:v>2019.1</c:v>
                </c:pt>
                <c:pt idx="13">
                  <c:v>2019.2</c:v>
                </c:pt>
                <c:pt idx="14">
                  <c:v>2019.3</c:v>
                </c:pt>
                <c:pt idx="15">
                  <c:v>2019.4</c:v>
                </c:pt>
                <c:pt idx="16">
                  <c:v>2020.1</c:v>
                </c:pt>
                <c:pt idx="17">
                  <c:v>2020.2</c:v>
                </c:pt>
                <c:pt idx="18">
                  <c:v>2020.3</c:v>
                </c:pt>
                <c:pt idx="19">
                  <c:v>2020.4</c:v>
                </c:pt>
              </c:numCache>
            </c:numRef>
          </c:cat>
          <c:val>
            <c:numRef>
              <c:f>[2]Sheet3!$L$29:$L$48</c:f>
              <c:numCache>
                <c:formatCode>General</c:formatCode>
                <c:ptCount val="20"/>
                <c:pt idx="0">
                  <c:v>2E-3</c:v>
                </c:pt>
                <c:pt idx="1">
                  <c:v>5.0000000000000001E-3</c:v>
                </c:pt>
                <c:pt idx="2">
                  <c:v>4.0000000000000001E-3</c:v>
                </c:pt>
                <c:pt idx="3">
                  <c:v>4.0000000000000001E-3</c:v>
                </c:pt>
                <c:pt idx="4">
                  <c:v>3.0000000000000001E-3</c:v>
                </c:pt>
                <c:pt idx="5">
                  <c:v>7.0000000000000001E-3</c:v>
                </c:pt>
                <c:pt idx="6">
                  <c:v>0.01</c:v>
                </c:pt>
                <c:pt idx="7">
                  <c:v>8.9999999999999993E-3</c:v>
                </c:pt>
                <c:pt idx="8">
                  <c:v>5.0000000000000001E-3</c:v>
                </c:pt>
                <c:pt idx="9">
                  <c:v>5.0000000000000001E-3</c:v>
                </c:pt>
                <c:pt idx="10">
                  <c:v>1E-3</c:v>
                </c:pt>
                <c:pt idx="11">
                  <c:v>3.0000000000000001E-3</c:v>
                </c:pt>
                <c:pt idx="12">
                  <c:v>3.0000000000000001E-3</c:v>
                </c:pt>
                <c:pt idx="13">
                  <c:v>3.0000000000000001E-3</c:v>
                </c:pt>
                <c:pt idx="14">
                  <c:v>3.0000000000000001E-3</c:v>
                </c:pt>
                <c:pt idx="15">
                  <c:v>3.0000000000000001E-3</c:v>
                </c:pt>
                <c:pt idx="16">
                  <c:v>5.0000000000000001E-3</c:v>
                </c:pt>
                <c:pt idx="17">
                  <c:v>7.0000000000000001E-3</c:v>
                </c:pt>
                <c:pt idx="18">
                  <c:v>6.0000000000000001E-3</c:v>
                </c:pt>
                <c:pt idx="19">
                  <c:v>0.11899999999999999</c:v>
                </c:pt>
              </c:numCache>
            </c:numRef>
          </c:val>
          <c:smooth val="0"/>
          <c:extLst>
            <c:ext xmlns:c16="http://schemas.microsoft.com/office/drawing/2014/chart" uri="{C3380CC4-5D6E-409C-BE32-E72D297353CC}">
              <c16:uniqueId val="{00000005-220A-4A53-A4D9-9DF20E0969EF}"/>
            </c:ext>
          </c:extLst>
        </c:ser>
        <c:dLbls>
          <c:showLegendKey val="0"/>
          <c:showVal val="0"/>
          <c:showCatName val="0"/>
          <c:showSerName val="0"/>
          <c:showPercent val="0"/>
          <c:showBubbleSize val="0"/>
        </c:dLbls>
        <c:marker val="1"/>
        <c:smooth val="0"/>
        <c:axId val="230311808"/>
        <c:axId val="230310272"/>
      </c:lineChart>
      <c:catAx>
        <c:axId val="229442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29444224"/>
        <c:crosses val="autoZero"/>
        <c:auto val="1"/>
        <c:lblAlgn val="ctr"/>
        <c:lblOffset val="100"/>
        <c:noMultiLvlLbl val="0"/>
      </c:catAx>
      <c:valAx>
        <c:axId val="2294442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29442688"/>
        <c:crosses val="autoZero"/>
        <c:crossBetween val="between"/>
      </c:valAx>
      <c:valAx>
        <c:axId val="2303102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311808"/>
        <c:crosses val="max"/>
        <c:crossBetween val="between"/>
      </c:valAx>
      <c:catAx>
        <c:axId val="230311808"/>
        <c:scaling>
          <c:orientation val="minMax"/>
        </c:scaling>
        <c:delete val="1"/>
        <c:axPos val="b"/>
        <c:numFmt formatCode="General" sourceLinked="1"/>
        <c:majorTickMark val="out"/>
        <c:minorTickMark val="none"/>
        <c:tickLblPos val="nextTo"/>
        <c:crossAx val="23031027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sz="1600" b="0" i="0" baseline="0">
                <a:effectLst/>
              </a:rPr>
              <a:t>仲量北京东二环</a:t>
            </a:r>
            <a:r>
              <a:rPr lang="zh-CN" altLang="zh-CN" sz="1600" b="0" i="0" baseline="0">
                <a:effectLst/>
              </a:rPr>
              <a:t>办公楼市场分析</a:t>
            </a:r>
            <a:endParaRPr lang="zh-CN" altLang="zh-CN" sz="1600">
              <a:effectLst/>
            </a:endParaRPr>
          </a:p>
        </c:rich>
      </c:tx>
      <c:overlay val="0"/>
      <c:spPr>
        <a:noFill/>
        <a:ln>
          <a:noFill/>
        </a:ln>
        <a:effectLst/>
      </c:spPr>
    </c:title>
    <c:autoTitleDeleted val="0"/>
    <c:plotArea>
      <c:layout/>
      <c:barChart>
        <c:barDir val="col"/>
        <c:grouping val="clustered"/>
        <c:varyColors val="0"/>
        <c:ser>
          <c:idx val="5"/>
          <c:order val="5"/>
          <c:tx>
            <c:strRef>
              <c:f>[2]Sheet3!$P$28</c:f>
              <c:strCache>
                <c:ptCount val="1"/>
                <c:pt idx="0">
                  <c:v>存量（万㎡）</c:v>
                </c:pt>
              </c:strCache>
            </c:strRef>
          </c:tx>
          <c:spPr>
            <a:solidFill>
              <a:schemeClr val="accent6"/>
            </a:solidFill>
            <a:ln>
              <a:noFill/>
            </a:ln>
            <a:effectLst/>
          </c:spPr>
          <c:invertIfNegative val="0"/>
          <c:cat>
            <c:numRef>
              <c:f>[2]Sheet3!$J$29:$J$48</c:f>
              <c:numCache>
                <c:formatCode>General</c:formatCode>
                <c:ptCount val="20"/>
                <c:pt idx="0">
                  <c:v>2016.1</c:v>
                </c:pt>
                <c:pt idx="1">
                  <c:v>2016.2</c:v>
                </c:pt>
                <c:pt idx="2">
                  <c:v>2016.3</c:v>
                </c:pt>
                <c:pt idx="3">
                  <c:v>2016.4</c:v>
                </c:pt>
                <c:pt idx="4">
                  <c:v>2017.1</c:v>
                </c:pt>
                <c:pt idx="5">
                  <c:v>2017.2</c:v>
                </c:pt>
                <c:pt idx="6">
                  <c:v>2017.3</c:v>
                </c:pt>
                <c:pt idx="7">
                  <c:v>2017.4</c:v>
                </c:pt>
                <c:pt idx="8">
                  <c:v>2018.1</c:v>
                </c:pt>
                <c:pt idx="9">
                  <c:v>2018.2</c:v>
                </c:pt>
                <c:pt idx="10">
                  <c:v>2018.3</c:v>
                </c:pt>
                <c:pt idx="11">
                  <c:v>2018.4</c:v>
                </c:pt>
                <c:pt idx="12">
                  <c:v>2019.1</c:v>
                </c:pt>
                <c:pt idx="13">
                  <c:v>2019.2</c:v>
                </c:pt>
                <c:pt idx="14">
                  <c:v>2019.3</c:v>
                </c:pt>
                <c:pt idx="15">
                  <c:v>2019.4</c:v>
                </c:pt>
                <c:pt idx="16">
                  <c:v>2020.1</c:v>
                </c:pt>
                <c:pt idx="17">
                  <c:v>2020.2</c:v>
                </c:pt>
                <c:pt idx="18">
                  <c:v>2020.3</c:v>
                </c:pt>
                <c:pt idx="19">
                  <c:v>2020.4</c:v>
                </c:pt>
              </c:numCache>
            </c:numRef>
          </c:cat>
          <c:val>
            <c:numRef>
              <c:f>[2]Sheet3!$P$29:$P$48</c:f>
              <c:numCache>
                <c:formatCode>General</c:formatCode>
                <c:ptCount val="20"/>
                <c:pt idx="0">
                  <c:v>84.38</c:v>
                </c:pt>
                <c:pt idx="1">
                  <c:v>84.38</c:v>
                </c:pt>
                <c:pt idx="2">
                  <c:v>84.38</c:v>
                </c:pt>
                <c:pt idx="3">
                  <c:v>77.23</c:v>
                </c:pt>
                <c:pt idx="4">
                  <c:v>77.23</c:v>
                </c:pt>
                <c:pt idx="5">
                  <c:v>77.23</c:v>
                </c:pt>
                <c:pt idx="6">
                  <c:v>77.23</c:v>
                </c:pt>
                <c:pt idx="7">
                  <c:v>77.23</c:v>
                </c:pt>
                <c:pt idx="8">
                  <c:v>77.23</c:v>
                </c:pt>
                <c:pt idx="9">
                  <c:v>77.23</c:v>
                </c:pt>
                <c:pt idx="10">
                  <c:v>77.23</c:v>
                </c:pt>
                <c:pt idx="11">
                  <c:v>77.23</c:v>
                </c:pt>
                <c:pt idx="12">
                  <c:v>77.23</c:v>
                </c:pt>
                <c:pt idx="13">
                  <c:v>77.23</c:v>
                </c:pt>
                <c:pt idx="14">
                  <c:v>77.23</c:v>
                </c:pt>
                <c:pt idx="15">
                  <c:v>77.23</c:v>
                </c:pt>
                <c:pt idx="16">
                  <c:v>77.23</c:v>
                </c:pt>
                <c:pt idx="17">
                  <c:v>77.23</c:v>
                </c:pt>
                <c:pt idx="18">
                  <c:v>77.23</c:v>
                </c:pt>
                <c:pt idx="19">
                  <c:v>89.63</c:v>
                </c:pt>
              </c:numCache>
            </c:numRef>
          </c:val>
          <c:extLst>
            <c:ext xmlns:c16="http://schemas.microsoft.com/office/drawing/2014/chart" uri="{C3380CC4-5D6E-409C-BE32-E72D297353CC}">
              <c16:uniqueId val="{00000000-F928-4794-8BD4-DCCB9AEB387A}"/>
            </c:ext>
          </c:extLst>
        </c:ser>
        <c:dLbls>
          <c:showLegendKey val="0"/>
          <c:showVal val="0"/>
          <c:showCatName val="0"/>
          <c:showSerName val="0"/>
          <c:showPercent val="0"/>
          <c:showBubbleSize val="0"/>
        </c:dLbls>
        <c:gapWidth val="219"/>
        <c:axId val="229442688"/>
        <c:axId val="229444224"/>
      </c:barChart>
      <c:lineChart>
        <c:grouping val="standard"/>
        <c:varyColors val="0"/>
        <c:ser>
          <c:idx val="0"/>
          <c:order val="0"/>
          <c:tx>
            <c:strRef>
              <c:f>[2]Sheet3!$K$28</c:f>
              <c:strCache>
                <c:ptCount val="1"/>
                <c:pt idx="0">
                  <c:v>平均有效租金</c:v>
                </c:pt>
              </c:strCache>
            </c:strRef>
          </c:tx>
          <c:spPr>
            <a:ln w="28575" cap="rnd">
              <a:solidFill>
                <a:schemeClr val="accent1"/>
              </a:solidFill>
              <a:round/>
            </a:ln>
            <a:effectLst/>
          </c:spPr>
          <c:marker>
            <c:symbol val="none"/>
          </c:marker>
          <c:cat>
            <c:numRef>
              <c:f>[2]Sheet3!$J$29:$J$48</c:f>
              <c:numCache>
                <c:formatCode>General</c:formatCode>
                <c:ptCount val="20"/>
                <c:pt idx="0">
                  <c:v>2016.1</c:v>
                </c:pt>
                <c:pt idx="1">
                  <c:v>2016.2</c:v>
                </c:pt>
                <c:pt idx="2">
                  <c:v>2016.3</c:v>
                </c:pt>
                <c:pt idx="3">
                  <c:v>2016.4</c:v>
                </c:pt>
                <c:pt idx="4">
                  <c:v>2017.1</c:v>
                </c:pt>
                <c:pt idx="5">
                  <c:v>2017.2</c:v>
                </c:pt>
                <c:pt idx="6">
                  <c:v>2017.3</c:v>
                </c:pt>
                <c:pt idx="7">
                  <c:v>2017.4</c:v>
                </c:pt>
                <c:pt idx="8">
                  <c:v>2018.1</c:v>
                </c:pt>
                <c:pt idx="9">
                  <c:v>2018.2</c:v>
                </c:pt>
                <c:pt idx="10">
                  <c:v>2018.3</c:v>
                </c:pt>
                <c:pt idx="11">
                  <c:v>2018.4</c:v>
                </c:pt>
                <c:pt idx="12">
                  <c:v>2019.1</c:v>
                </c:pt>
                <c:pt idx="13">
                  <c:v>2019.2</c:v>
                </c:pt>
                <c:pt idx="14">
                  <c:v>2019.3</c:v>
                </c:pt>
                <c:pt idx="15">
                  <c:v>2019.4</c:v>
                </c:pt>
                <c:pt idx="16">
                  <c:v>2020.1</c:v>
                </c:pt>
                <c:pt idx="17">
                  <c:v>2020.2</c:v>
                </c:pt>
                <c:pt idx="18">
                  <c:v>2020.3</c:v>
                </c:pt>
                <c:pt idx="19">
                  <c:v>2020.4</c:v>
                </c:pt>
              </c:numCache>
            </c:numRef>
          </c:cat>
          <c:val>
            <c:numRef>
              <c:f>[2]Sheet3!$K$29:$K$48</c:f>
              <c:numCache>
                <c:formatCode>General</c:formatCode>
                <c:ptCount val="20"/>
                <c:pt idx="0">
                  <c:v>325</c:v>
                </c:pt>
                <c:pt idx="1">
                  <c:v>327</c:v>
                </c:pt>
                <c:pt idx="2">
                  <c:v>329</c:v>
                </c:pt>
                <c:pt idx="3">
                  <c:v>324</c:v>
                </c:pt>
                <c:pt idx="4">
                  <c:v>325</c:v>
                </c:pt>
                <c:pt idx="5">
                  <c:v>324</c:v>
                </c:pt>
                <c:pt idx="6">
                  <c:v>324</c:v>
                </c:pt>
                <c:pt idx="7">
                  <c:v>330</c:v>
                </c:pt>
                <c:pt idx="8">
                  <c:v>340</c:v>
                </c:pt>
                <c:pt idx="9">
                  <c:v>341</c:v>
                </c:pt>
                <c:pt idx="10">
                  <c:v>346</c:v>
                </c:pt>
                <c:pt idx="11">
                  <c:v>346</c:v>
                </c:pt>
                <c:pt idx="12">
                  <c:v>345</c:v>
                </c:pt>
                <c:pt idx="13">
                  <c:v>342</c:v>
                </c:pt>
                <c:pt idx="14">
                  <c:v>342</c:v>
                </c:pt>
                <c:pt idx="15">
                  <c:v>342</c:v>
                </c:pt>
                <c:pt idx="16">
                  <c:v>342</c:v>
                </c:pt>
                <c:pt idx="17">
                  <c:v>334</c:v>
                </c:pt>
                <c:pt idx="18">
                  <c:v>333</c:v>
                </c:pt>
                <c:pt idx="19">
                  <c:v>318</c:v>
                </c:pt>
              </c:numCache>
            </c:numRef>
          </c:val>
          <c:smooth val="0"/>
          <c:extLst>
            <c:ext xmlns:c16="http://schemas.microsoft.com/office/drawing/2014/chart" uri="{C3380CC4-5D6E-409C-BE32-E72D297353CC}">
              <c16:uniqueId val="{00000001-F928-4794-8BD4-DCCB9AEB387A}"/>
            </c:ext>
          </c:extLst>
        </c:ser>
        <c:dLbls>
          <c:showLegendKey val="0"/>
          <c:showVal val="0"/>
          <c:showCatName val="0"/>
          <c:showSerName val="0"/>
          <c:showPercent val="0"/>
          <c:showBubbleSize val="0"/>
        </c:dLbls>
        <c:marker val="1"/>
        <c:smooth val="0"/>
        <c:axId val="229442688"/>
        <c:axId val="229444224"/>
        <c:extLst>
          <c:ext xmlns:c15="http://schemas.microsoft.com/office/drawing/2012/chart" uri="{02D57815-91ED-43cb-92C2-25804820EDAC}">
            <c15:filteredLineSeries>
              <c15:ser>
                <c:idx val="2"/>
                <c:order val="2"/>
                <c:tx>
                  <c:strRef>
                    <c:extLst>
                      <c:ext uri="{02D57815-91ED-43cb-92C2-25804820EDAC}">
                        <c15:formulaRef>
                          <c15:sqref>[2]Sheet3!$M$28</c15:sqref>
                        </c15:formulaRef>
                      </c:ext>
                    </c:extLst>
                    <c:strCache>
                      <c:ptCount val="1"/>
                      <c:pt idx="0">
                        <c:v>租金增长率</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extLst>
                      <c:ext uri="{02D57815-91ED-43cb-92C2-25804820EDAC}">
                        <c15:formulaRef>
                          <c15:sqref>[2]Sheet3!$J$29:$J$48</c15:sqref>
                        </c15:formulaRef>
                      </c:ext>
                    </c:extLst>
                    <c:numCache>
                      <c:formatCode>General</c:formatCode>
                      <c:ptCount val="20"/>
                      <c:pt idx="0">
                        <c:v>2016.1</c:v>
                      </c:pt>
                      <c:pt idx="1">
                        <c:v>2016.2</c:v>
                      </c:pt>
                      <c:pt idx="2">
                        <c:v>2016.3</c:v>
                      </c:pt>
                      <c:pt idx="3">
                        <c:v>2016.4</c:v>
                      </c:pt>
                      <c:pt idx="4">
                        <c:v>2017.1</c:v>
                      </c:pt>
                      <c:pt idx="5">
                        <c:v>2017.2</c:v>
                      </c:pt>
                      <c:pt idx="6">
                        <c:v>2017.3</c:v>
                      </c:pt>
                      <c:pt idx="7">
                        <c:v>2017.4</c:v>
                      </c:pt>
                      <c:pt idx="8">
                        <c:v>2018.1</c:v>
                      </c:pt>
                      <c:pt idx="9">
                        <c:v>2018.2</c:v>
                      </c:pt>
                      <c:pt idx="10">
                        <c:v>2018.3</c:v>
                      </c:pt>
                      <c:pt idx="11">
                        <c:v>2018.4</c:v>
                      </c:pt>
                      <c:pt idx="12">
                        <c:v>2019.1</c:v>
                      </c:pt>
                      <c:pt idx="13">
                        <c:v>2019.2</c:v>
                      </c:pt>
                      <c:pt idx="14">
                        <c:v>2019.3</c:v>
                      </c:pt>
                      <c:pt idx="15">
                        <c:v>2019.4</c:v>
                      </c:pt>
                      <c:pt idx="16">
                        <c:v>2020.1</c:v>
                      </c:pt>
                      <c:pt idx="17">
                        <c:v>2020.2</c:v>
                      </c:pt>
                      <c:pt idx="18">
                        <c:v>2020.3</c:v>
                      </c:pt>
                      <c:pt idx="19">
                        <c:v>2020.4</c:v>
                      </c:pt>
                    </c:numCache>
                  </c:numRef>
                </c:cat>
                <c:val>
                  <c:numRef>
                    <c:extLst>
                      <c:ext uri="{02D57815-91ED-43cb-92C2-25804820EDAC}">
                        <c15:formulaRef>
                          <c15:sqref>[2]Sheet3!$M$29:$M$48</c15:sqref>
                        </c15:formulaRef>
                      </c:ext>
                    </c:extLst>
                    <c:numCache>
                      <c:formatCode>General</c:formatCode>
                      <c:ptCount val="20"/>
                      <c:pt idx="1">
                        <c:v>6.1538461538461538E-3</c:v>
                      </c:pt>
                      <c:pt idx="2">
                        <c:v>6.1162079510703364E-3</c:v>
                      </c:pt>
                      <c:pt idx="3">
                        <c:v>-1.5197568389057751E-2</c:v>
                      </c:pt>
                      <c:pt idx="4">
                        <c:v>3.0864197530864196E-3</c:v>
                      </c:pt>
                      <c:pt idx="5">
                        <c:v>-3.0769230769230769E-3</c:v>
                      </c:pt>
                      <c:pt idx="6">
                        <c:v>0</c:v>
                      </c:pt>
                      <c:pt idx="7">
                        <c:v>1.8518518518518517E-2</c:v>
                      </c:pt>
                      <c:pt idx="8">
                        <c:v>3.0303030303030304E-2</c:v>
                      </c:pt>
                      <c:pt idx="9">
                        <c:v>2.9411764705882353E-3</c:v>
                      </c:pt>
                      <c:pt idx="10">
                        <c:v>1.466275659824047E-2</c:v>
                      </c:pt>
                      <c:pt idx="11">
                        <c:v>0</c:v>
                      </c:pt>
                      <c:pt idx="12">
                        <c:v>-2.8901734104046241E-3</c:v>
                      </c:pt>
                      <c:pt idx="13">
                        <c:v>-8.6956521739130436E-3</c:v>
                      </c:pt>
                      <c:pt idx="14">
                        <c:v>0</c:v>
                      </c:pt>
                      <c:pt idx="15">
                        <c:v>0</c:v>
                      </c:pt>
                      <c:pt idx="16">
                        <c:v>0</c:v>
                      </c:pt>
                      <c:pt idx="17">
                        <c:v>-2.3391812865497075E-2</c:v>
                      </c:pt>
                      <c:pt idx="18">
                        <c:v>-2.9940119760479044E-3</c:v>
                      </c:pt>
                      <c:pt idx="19">
                        <c:v>-4.5045045045045043E-2</c:v>
                      </c:pt>
                    </c:numCache>
                  </c:numRef>
                </c:val>
                <c:smooth val="0"/>
                <c:extLst>
                  <c:ext xmlns:c16="http://schemas.microsoft.com/office/drawing/2014/chart" uri="{C3380CC4-5D6E-409C-BE32-E72D297353CC}">
                    <c16:uniqueId val="{00000003-F928-4794-8BD4-DCCB9AEB387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[2]Sheet3!$N$28</c15:sqref>
                        </c15:formulaRef>
                      </c:ext>
                    </c:extLst>
                    <c:strCache>
                      <c:ptCount val="1"/>
                      <c:pt idx="0">
                        <c:v>新增供应</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extLst xmlns:c15="http://schemas.microsoft.com/office/drawing/2012/chart">
                      <c:ext xmlns:c15="http://schemas.microsoft.com/office/drawing/2012/chart" uri="{02D57815-91ED-43cb-92C2-25804820EDAC}">
                        <c15:formulaRef>
                          <c15:sqref>[2]Sheet3!$J$29:$J$48</c15:sqref>
                        </c15:formulaRef>
                      </c:ext>
                    </c:extLst>
                    <c:numCache>
                      <c:formatCode>General</c:formatCode>
                      <c:ptCount val="20"/>
                      <c:pt idx="0">
                        <c:v>2016.1</c:v>
                      </c:pt>
                      <c:pt idx="1">
                        <c:v>2016.2</c:v>
                      </c:pt>
                      <c:pt idx="2">
                        <c:v>2016.3</c:v>
                      </c:pt>
                      <c:pt idx="3">
                        <c:v>2016.4</c:v>
                      </c:pt>
                      <c:pt idx="4">
                        <c:v>2017.1</c:v>
                      </c:pt>
                      <c:pt idx="5">
                        <c:v>2017.2</c:v>
                      </c:pt>
                      <c:pt idx="6">
                        <c:v>2017.3</c:v>
                      </c:pt>
                      <c:pt idx="7">
                        <c:v>2017.4</c:v>
                      </c:pt>
                      <c:pt idx="8">
                        <c:v>2018.1</c:v>
                      </c:pt>
                      <c:pt idx="9">
                        <c:v>2018.2</c:v>
                      </c:pt>
                      <c:pt idx="10">
                        <c:v>2018.3</c:v>
                      </c:pt>
                      <c:pt idx="11">
                        <c:v>2018.4</c:v>
                      </c:pt>
                      <c:pt idx="12">
                        <c:v>2019.1</c:v>
                      </c:pt>
                      <c:pt idx="13">
                        <c:v>2019.2</c:v>
                      </c:pt>
                      <c:pt idx="14">
                        <c:v>2019.3</c:v>
                      </c:pt>
                      <c:pt idx="15">
                        <c:v>2019.4</c:v>
                      </c:pt>
                      <c:pt idx="16">
                        <c:v>2020.1</c:v>
                      </c:pt>
                      <c:pt idx="17">
                        <c:v>2020.2</c:v>
                      </c:pt>
                      <c:pt idx="18">
                        <c:v>2020.3</c:v>
                      </c:pt>
                      <c:pt idx="19">
                        <c:v>2020.4</c:v>
                      </c:pt>
                    </c:numCache>
                  </c:numRef>
                </c:cat>
                <c:val>
                  <c:numRef>
                    <c:extLst xmlns:c15="http://schemas.microsoft.com/office/drawing/2012/chart">
                      <c:ext xmlns:c15="http://schemas.microsoft.com/office/drawing/2012/chart" uri="{02D57815-91ED-43cb-92C2-25804820EDAC}">
                        <c15:formulaRef>
                          <c15:sqref>[2]Sheet3!$N$29:$N$48</c15:sqref>
                        </c15:formulaRef>
                      </c:ext>
                    </c:extLst>
                    <c:numCache>
                      <c:formatCode>General</c:formatCode>
                      <c:ptCount val="20"/>
                      <c:pt idx="1">
                        <c:v>0</c:v>
                      </c:pt>
                      <c:pt idx="2">
                        <c:v>0</c:v>
                      </c:pt>
                      <c:pt idx="3">
                        <c:v>-71500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124000</c:v>
                      </c:pt>
                    </c:numCache>
                  </c:numRef>
                </c:val>
                <c:smooth val="0"/>
                <c:extLst xmlns:c15="http://schemas.microsoft.com/office/drawing/2012/chart">
                  <c:ext xmlns:c16="http://schemas.microsoft.com/office/drawing/2014/chart" uri="{C3380CC4-5D6E-409C-BE32-E72D297353CC}">
                    <c16:uniqueId val="{00000004-F928-4794-8BD4-DCCB9AEB387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[2]Sheet3!$O$28</c15:sqref>
                        </c15:formulaRef>
                      </c:ext>
                    </c:extLst>
                    <c:strCache>
                      <c:ptCount val="1"/>
                      <c:pt idx="0">
                        <c:v>库存（㎡）</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extLst xmlns:c15="http://schemas.microsoft.com/office/drawing/2012/chart">
                      <c:ext xmlns:c15="http://schemas.microsoft.com/office/drawing/2012/chart" uri="{02D57815-91ED-43cb-92C2-25804820EDAC}">
                        <c15:formulaRef>
                          <c15:sqref>[2]Sheet3!$J$29:$J$48</c15:sqref>
                        </c15:formulaRef>
                      </c:ext>
                    </c:extLst>
                    <c:numCache>
                      <c:formatCode>General</c:formatCode>
                      <c:ptCount val="20"/>
                      <c:pt idx="0">
                        <c:v>2016.1</c:v>
                      </c:pt>
                      <c:pt idx="1">
                        <c:v>2016.2</c:v>
                      </c:pt>
                      <c:pt idx="2">
                        <c:v>2016.3</c:v>
                      </c:pt>
                      <c:pt idx="3">
                        <c:v>2016.4</c:v>
                      </c:pt>
                      <c:pt idx="4">
                        <c:v>2017.1</c:v>
                      </c:pt>
                      <c:pt idx="5">
                        <c:v>2017.2</c:v>
                      </c:pt>
                      <c:pt idx="6">
                        <c:v>2017.3</c:v>
                      </c:pt>
                      <c:pt idx="7">
                        <c:v>2017.4</c:v>
                      </c:pt>
                      <c:pt idx="8">
                        <c:v>2018.1</c:v>
                      </c:pt>
                      <c:pt idx="9">
                        <c:v>2018.2</c:v>
                      </c:pt>
                      <c:pt idx="10">
                        <c:v>2018.3</c:v>
                      </c:pt>
                      <c:pt idx="11">
                        <c:v>2018.4</c:v>
                      </c:pt>
                      <c:pt idx="12">
                        <c:v>2019.1</c:v>
                      </c:pt>
                      <c:pt idx="13">
                        <c:v>2019.2</c:v>
                      </c:pt>
                      <c:pt idx="14">
                        <c:v>2019.3</c:v>
                      </c:pt>
                      <c:pt idx="15">
                        <c:v>2019.4</c:v>
                      </c:pt>
                      <c:pt idx="16">
                        <c:v>2020.1</c:v>
                      </c:pt>
                      <c:pt idx="17">
                        <c:v>2020.2</c:v>
                      </c:pt>
                      <c:pt idx="18">
                        <c:v>2020.3</c:v>
                      </c:pt>
                      <c:pt idx="19">
                        <c:v>2020.4</c:v>
                      </c:pt>
                    </c:numCache>
                  </c:numRef>
                </c:cat>
                <c:val>
                  <c:numRef>
                    <c:extLst xmlns:c15="http://schemas.microsoft.com/office/drawing/2012/chart">
                      <c:ext xmlns:c15="http://schemas.microsoft.com/office/drawing/2012/chart" uri="{02D57815-91ED-43cb-92C2-25804820EDAC}">
                        <c15:formulaRef>
                          <c15:sqref>[2]Sheet3!$O$29:$O$48</c15:sqref>
                        </c15:formulaRef>
                      </c:ext>
                    </c:extLst>
                    <c:numCache>
                      <c:formatCode>General</c:formatCode>
                      <c:ptCount val="20"/>
                      <c:pt idx="0">
                        <c:v>843800</c:v>
                      </c:pt>
                      <c:pt idx="1">
                        <c:v>843800</c:v>
                      </c:pt>
                      <c:pt idx="2">
                        <c:v>843800</c:v>
                      </c:pt>
                      <c:pt idx="3">
                        <c:v>772300</c:v>
                      </c:pt>
                      <c:pt idx="4">
                        <c:v>772300</c:v>
                      </c:pt>
                      <c:pt idx="5">
                        <c:v>772300</c:v>
                      </c:pt>
                      <c:pt idx="6">
                        <c:v>772300</c:v>
                      </c:pt>
                      <c:pt idx="7">
                        <c:v>772300</c:v>
                      </c:pt>
                      <c:pt idx="8">
                        <c:v>772300</c:v>
                      </c:pt>
                      <c:pt idx="9">
                        <c:v>772300</c:v>
                      </c:pt>
                      <c:pt idx="10">
                        <c:v>772300</c:v>
                      </c:pt>
                      <c:pt idx="11">
                        <c:v>772300</c:v>
                      </c:pt>
                      <c:pt idx="12">
                        <c:v>772300</c:v>
                      </c:pt>
                      <c:pt idx="13">
                        <c:v>772300</c:v>
                      </c:pt>
                      <c:pt idx="14">
                        <c:v>772300</c:v>
                      </c:pt>
                      <c:pt idx="15">
                        <c:v>772300</c:v>
                      </c:pt>
                      <c:pt idx="16">
                        <c:v>772300</c:v>
                      </c:pt>
                      <c:pt idx="17">
                        <c:v>772300</c:v>
                      </c:pt>
                      <c:pt idx="18">
                        <c:v>772300</c:v>
                      </c:pt>
                      <c:pt idx="19">
                        <c:v>896300</c:v>
                      </c:pt>
                    </c:numCache>
                  </c:numRef>
                </c:val>
                <c:smooth val="0"/>
                <c:extLst xmlns:c15="http://schemas.microsoft.com/office/drawing/2012/chart">
                  <c:ext xmlns:c16="http://schemas.microsoft.com/office/drawing/2014/chart" uri="{C3380CC4-5D6E-409C-BE32-E72D297353CC}">
                    <c16:uniqueId val="{00000005-F928-4794-8BD4-DCCB9AEB387A}"/>
                  </c:ext>
                </c:extLst>
              </c15:ser>
            </c15:filteredLineSeries>
          </c:ext>
        </c:extLst>
      </c:lineChart>
      <c:lineChart>
        <c:grouping val="standard"/>
        <c:varyColors val="0"/>
        <c:ser>
          <c:idx val="1"/>
          <c:order val="1"/>
          <c:tx>
            <c:strRef>
              <c:f>[2]Sheet3!$L$28</c:f>
              <c:strCache>
                <c:ptCount val="1"/>
                <c:pt idx="0">
                  <c:v>空置率</c:v>
                </c:pt>
              </c:strCache>
            </c:strRef>
          </c:tx>
          <c:spPr>
            <a:ln w="28575" cap="rnd">
              <a:solidFill>
                <a:schemeClr val="accent2"/>
              </a:solidFill>
              <a:round/>
            </a:ln>
            <a:effectLst/>
          </c:spPr>
          <c:marker>
            <c:symbol val="none"/>
          </c:marker>
          <c:cat>
            <c:numRef>
              <c:f>[2]Sheet3!$J$29:$J$48</c:f>
              <c:numCache>
                <c:formatCode>General</c:formatCode>
                <c:ptCount val="20"/>
                <c:pt idx="0">
                  <c:v>2016.1</c:v>
                </c:pt>
                <c:pt idx="1">
                  <c:v>2016.2</c:v>
                </c:pt>
                <c:pt idx="2">
                  <c:v>2016.3</c:v>
                </c:pt>
                <c:pt idx="3">
                  <c:v>2016.4</c:v>
                </c:pt>
                <c:pt idx="4">
                  <c:v>2017.1</c:v>
                </c:pt>
                <c:pt idx="5">
                  <c:v>2017.2</c:v>
                </c:pt>
                <c:pt idx="6">
                  <c:v>2017.3</c:v>
                </c:pt>
                <c:pt idx="7">
                  <c:v>2017.4</c:v>
                </c:pt>
                <c:pt idx="8">
                  <c:v>2018.1</c:v>
                </c:pt>
                <c:pt idx="9">
                  <c:v>2018.2</c:v>
                </c:pt>
                <c:pt idx="10">
                  <c:v>2018.3</c:v>
                </c:pt>
                <c:pt idx="11">
                  <c:v>2018.4</c:v>
                </c:pt>
                <c:pt idx="12">
                  <c:v>2019.1</c:v>
                </c:pt>
                <c:pt idx="13">
                  <c:v>2019.2</c:v>
                </c:pt>
                <c:pt idx="14">
                  <c:v>2019.3</c:v>
                </c:pt>
                <c:pt idx="15">
                  <c:v>2019.4</c:v>
                </c:pt>
                <c:pt idx="16">
                  <c:v>2020.1</c:v>
                </c:pt>
                <c:pt idx="17">
                  <c:v>2020.2</c:v>
                </c:pt>
                <c:pt idx="18">
                  <c:v>2020.3</c:v>
                </c:pt>
                <c:pt idx="19">
                  <c:v>2020.4</c:v>
                </c:pt>
              </c:numCache>
            </c:numRef>
          </c:cat>
          <c:val>
            <c:numRef>
              <c:f>[2]Sheet3!$L$29:$L$48</c:f>
              <c:numCache>
                <c:formatCode>General</c:formatCode>
                <c:ptCount val="20"/>
                <c:pt idx="0">
                  <c:v>2E-3</c:v>
                </c:pt>
                <c:pt idx="1">
                  <c:v>5.0000000000000001E-3</c:v>
                </c:pt>
                <c:pt idx="2">
                  <c:v>4.0000000000000001E-3</c:v>
                </c:pt>
                <c:pt idx="3">
                  <c:v>4.0000000000000001E-3</c:v>
                </c:pt>
                <c:pt idx="4">
                  <c:v>3.0000000000000001E-3</c:v>
                </c:pt>
                <c:pt idx="5">
                  <c:v>7.0000000000000001E-3</c:v>
                </c:pt>
                <c:pt idx="6">
                  <c:v>0.01</c:v>
                </c:pt>
                <c:pt idx="7">
                  <c:v>8.9999999999999993E-3</c:v>
                </c:pt>
                <c:pt idx="8">
                  <c:v>5.0000000000000001E-3</c:v>
                </c:pt>
                <c:pt idx="9">
                  <c:v>5.0000000000000001E-3</c:v>
                </c:pt>
                <c:pt idx="10">
                  <c:v>1E-3</c:v>
                </c:pt>
                <c:pt idx="11">
                  <c:v>3.0000000000000001E-3</c:v>
                </c:pt>
                <c:pt idx="12">
                  <c:v>3.0000000000000001E-3</c:v>
                </c:pt>
                <c:pt idx="13">
                  <c:v>3.0000000000000001E-3</c:v>
                </c:pt>
                <c:pt idx="14">
                  <c:v>3.0000000000000001E-3</c:v>
                </c:pt>
                <c:pt idx="15">
                  <c:v>3.0000000000000001E-3</c:v>
                </c:pt>
                <c:pt idx="16">
                  <c:v>5.0000000000000001E-3</c:v>
                </c:pt>
                <c:pt idx="17">
                  <c:v>7.0000000000000001E-3</c:v>
                </c:pt>
                <c:pt idx="18">
                  <c:v>6.0000000000000001E-3</c:v>
                </c:pt>
                <c:pt idx="19">
                  <c:v>0.11899999999999999</c:v>
                </c:pt>
              </c:numCache>
            </c:numRef>
          </c:val>
          <c:smooth val="0"/>
          <c:extLst>
            <c:ext xmlns:c16="http://schemas.microsoft.com/office/drawing/2014/chart" uri="{C3380CC4-5D6E-409C-BE32-E72D297353CC}">
              <c16:uniqueId val="{00000002-F928-4794-8BD4-DCCB9AEB387A}"/>
            </c:ext>
          </c:extLst>
        </c:ser>
        <c:dLbls>
          <c:showLegendKey val="0"/>
          <c:showVal val="0"/>
          <c:showCatName val="0"/>
          <c:showSerName val="0"/>
          <c:showPercent val="0"/>
          <c:showBubbleSize val="0"/>
        </c:dLbls>
        <c:marker val="1"/>
        <c:smooth val="0"/>
        <c:axId val="230311808"/>
        <c:axId val="230310272"/>
      </c:lineChart>
      <c:catAx>
        <c:axId val="229442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29444224"/>
        <c:crosses val="autoZero"/>
        <c:auto val="1"/>
        <c:lblAlgn val="ctr"/>
        <c:lblOffset val="100"/>
        <c:noMultiLvlLbl val="0"/>
      </c:catAx>
      <c:valAx>
        <c:axId val="2294442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29442688"/>
        <c:crosses val="autoZero"/>
        <c:crossBetween val="between"/>
      </c:valAx>
      <c:valAx>
        <c:axId val="230310272"/>
        <c:scaling>
          <c:orientation val="minMax"/>
        </c:scaling>
        <c:delete val="0"/>
        <c:axPos val="r"/>
        <c:numFmt formatCode="0.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311808"/>
        <c:crosses val="max"/>
        <c:crossBetween val="between"/>
      </c:valAx>
      <c:catAx>
        <c:axId val="230311808"/>
        <c:scaling>
          <c:orientation val="minMax"/>
        </c:scaling>
        <c:delete val="1"/>
        <c:axPos val="b"/>
        <c:numFmt formatCode="General" sourceLinked="1"/>
        <c:majorTickMark val="out"/>
        <c:minorTickMark val="none"/>
        <c:tickLblPos val="nextTo"/>
        <c:crossAx val="23031027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zh-CN" altLang="en-US" sz="1600" b="0" i="0" baseline="0">
                <a:effectLst/>
              </a:rPr>
              <a:t>仲量北京全市</a:t>
            </a:r>
            <a:r>
              <a:rPr lang="zh-CN" altLang="zh-CN" sz="1600" b="0" i="0" baseline="0">
                <a:effectLst/>
              </a:rPr>
              <a:t>办公楼市场分析</a:t>
            </a:r>
            <a:endParaRPr lang="zh-CN" altLang="zh-CN" sz="1600">
              <a:effectLst/>
            </a:endParaRPr>
          </a:p>
        </c:rich>
      </c:tx>
      <c:overlay val="0"/>
      <c:spPr>
        <a:noFill/>
        <a:ln>
          <a:noFill/>
        </a:ln>
        <a:effectLst/>
      </c:spPr>
    </c:title>
    <c:autoTitleDeleted val="0"/>
    <c:plotArea>
      <c:layout/>
      <c:barChart>
        <c:barDir val="col"/>
        <c:grouping val="clustered"/>
        <c:varyColors val="0"/>
        <c:ser>
          <c:idx val="5"/>
          <c:order val="5"/>
          <c:tx>
            <c:strRef>
              <c:f>市场走势!$Q$3</c:f>
              <c:strCache>
                <c:ptCount val="1"/>
                <c:pt idx="0">
                  <c:v>存量（万㎡）</c:v>
                </c:pt>
              </c:strCache>
            </c:strRef>
          </c:tx>
          <c:spPr>
            <a:solidFill>
              <a:schemeClr val="accent6"/>
            </a:solidFill>
            <a:ln>
              <a:noFill/>
            </a:ln>
            <a:effectLst/>
          </c:spPr>
          <c:invertIfNegative val="0"/>
          <c:cat>
            <c:strRef>
              <c:f>市场走势!$K$4:$K$23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市场走势!$Q$4:$Q$23</c:f>
              <c:numCache>
                <c:formatCode>General</c:formatCode>
                <c:ptCount val="20"/>
                <c:pt idx="0">
                  <c:v>675.3</c:v>
                </c:pt>
                <c:pt idx="1">
                  <c:v>710.84</c:v>
                </c:pt>
                <c:pt idx="2">
                  <c:v>724.24</c:v>
                </c:pt>
                <c:pt idx="3">
                  <c:v>735.79</c:v>
                </c:pt>
                <c:pt idx="4">
                  <c:v>748.02</c:v>
                </c:pt>
                <c:pt idx="5">
                  <c:v>774.8</c:v>
                </c:pt>
                <c:pt idx="6">
                  <c:v>774.8</c:v>
                </c:pt>
                <c:pt idx="7">
                  <c:v>817.89</c:v>
                </c:pt>
                <c:pt idx="8">
                  <c:v>817.89</c:v>
                </c:pt>
                <c:pt idx="9">
                  <c:v>825.89</c:v>
                </c:pt>
                <c:pt idx="10">
                  <c:v>830.46</c:v>
                </c:pt>
                <c:pt idx="11">
                  <c:v>855.59</c:v>
                </c:pt>
                <c:pt idx="12">
                  <c:v>868.15</c:v>
                </c:pt>
                <c:pt idx="13">
                  <c:v>882.45</c:v>
                </c:pt>
                <c:pt idx="14">
                  <c:v>882.45</c:v>
                </c:pt>
                <c:pt idx="15">
                  <c:v>962.52</c:v>
                </c:pt>
                <c:pt idx="16">
                  <c:v>962.52</c:v>
                </c:pt>
                <c:pt idx="17">
                  <c:v>962.52</c:v>
                </c:pt>
                <c:pt idx="18">
                  <c:v>963.52</c:v>
                </c:pt>
                <c:pt idx="19">
                  <c:v>1017.59</c:v>
                </c:pt>
              </c:numCache>
            </c:numRef>
          </c:val>
          <c:extLst>
            <c:ext xmlns:c16="http://schemas.microsoft.com/office/drawing/2014/chart" uri="{C3380CC4-5D6E-409C-BE32-E72D297353CC}">
              <c16:uniqueId val="{00000000-C581-424B-B45C-0E20350A0D95}"/>
            </c:ext>
          </c:extLst>
        </c:ser>
        <c:dLbls>
          <c:showLegendKey val="0"/>
          <c:showVal val="0"/>
          <c:showCatName val="0"/>
          <c:showSerName val="0"/>
          <c:showPercent val="0"/>
          <c:showBubbleSize val="0"/>
        </c:dLbls>
        <c:gapWidth val="219"/>
        <c:axId val="230841728"/>
        <c:axId val="230872192"/>
      </c:barChart>
      <c:lineChart>
        <c:grouping val="standard"/>
        <c:varyColors val="0"/>
        <c:ser>
          <c:idx val="2"/>
          <c:order val="2"/>
          <c:tx>
            <c:strRef>
              <c:f>市场走势!$N$3</c:f>
              <c:strCache>
                <c:ptCount val="1"/>
                <c:pt idx="0">
                  <c:v>租金增长率</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市场走势!$K$4:$K$23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市场走势!$N$4:$N$23</c:f>
            </c:numRef>
          </c:val>
          <c:smooth val="0"/>
          <c:extLst>
            <c:ext xmlns:c16="http://schemas.microsoft.com/office/drawing/2014/chart" uri="{C3380CC4-5D6E-409C-BE32-E72D297353CC}">
              <c16:uniqueId val="{00000001-C581-424B-B45C-0E20350A0D95}"/>
            </c:ext>
          </c:extLst>
        </c:ser>
        <c:ser>
          <c:idx val="3"/>
          <c:order val="3"/>
          <c:tx>
            <c:strRef>
              <c:f>市场走势!$O$3</c:f>
              <c:strCache>
                <c:ptCount val="1"/>
                <c:pt idx="0">
                  <c:v>新增供应</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市场走势!$K$4:$K$23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市场走势!$O$4:$O$23</c:f>
            </c:numRef>
          </c:val>
          <c:smooth val="0"/>
          <c:extLst>
            <c:ext xmlns:c16="http://schemas.microsoft.com/office/drawing/2014/chart" uri="{C3380CC4-5D6E-409C-BE32-E72D297353CC}">
              <c16:uniqueId val="{00000002-C581-424B-B45C-0E20350A0D95}"/>
            </c:ext>
          </c:extLst>
        </c:ser>
        <c:ser>
          <c:idx val="4"/>
          <c:order val="4"/>
          <c:tx>
            <c:strRef>
              <c:f>市场走势!$P$3</c:f>
              <c:strCache>
                <c:ptCount val="1"/>
                <c:pt idx="0">
                  <c:v>存量（万㎡）</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市场走势!$K$4:$K$23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市场走势!$P$4:$P$23</c:f>
            </c:numRef>
          </c:val>
          <c:smooth val="0"/>
          <c:extLst>
            <c:ext xmlns:c16="http://schemas.microsoft.com/office/drawing/2014/chart" uri="{C3380CC4-5D6E-409C-BE32-E72D297353CC}">
              <c16:uniqueId val="{00000003-C581-424B-B45C-0E20350A0D95}"/>
            </c:ext>
          </c:extLst>
        </c:ser>
        <c:ser>
          <c:idx val="0"/>
          <c:order val="0"/>
          <c:tx>
            <c:strRef>
              <c:f>市场走势!$L$3</c:f>
              <c:strCache>
                <c:ptCount val="1"/>
                <c:pt idx="0">
                  <c:v>平均有效租金</c:v>
                </c:pt>
              </c:strCache>
            </c:strRef>
          </c:tx>
          <c:spPr>
            <a:ln w="28575" cap="rnd">
              <a:solidFill>
                <a:schemeClr val="accent1"/>
              </a:solidFill>
              <a:round/>
            </a:ln>
            <a:effectLst/>
          </c:spPr>
          <c:marker>
            <c:symbol val="none"/>
          </c:marker>
          <c:cat>
            <c:strRef>
              <c:f>市场走势!$K$4:$K$23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市场走势!$L$4:$L$23</c:f>
              <c:numCache>
                <c:formatCode>General</c:formatCode>
                <c:ptCount val="20"/>
                <c:pt idx="0">
                  <c:v>373</c:v>
                </c:pt>
                <c:pt idx="1">
                  <c:v>374</c:v>
                </c:pt>
                <c:pt idx="2">
                  <c:v>371</c:v>
                </c:pt>
                <c:pt idx="3">
                  <c:v>373</c:v>
                </c:pt>
                <c:pt idx="4">
                  <c:v>371</c:v>
                </c:pt>
                <c:pt idx="5">
                  <c:v>374</c:v>
                </c:pt>
                <c:pt idx="6">
                  <c:v>377</c:v>
                </c:pt>
                <c:pt idx="7">
                  <c:v>374</c:v>
                </c:pt>
                <c:pt idx="8">
                  <c:v>370</c:v>
                </c:pt>
                <c:pt idx="9">
                  <c:v>384</c:v>
                </c:pt>
                <c:pt idx="10">
                  <c:v>390</c:v>
                </c:pt>
                <c:pt idx="11">
                  <c:v>386</c:v>
                </c:pt>
                <c:pt idx="12">
                  <c:v>382</c:v>
                </c:pt>
                <c:pt idx="13">
                  <c:v>377</c:v>
                </c:pt>
                <c:pt idx="14">
                  <c:v>374</c:v>
                </c:pt>
                <c:pt idx="15">
                  <c:v>379</c:v>
                </c:pt>
                <c:pt idx="16">
                  <c:v>374</c:v>
                </c:pt>
                <c:pt idx="17">
                  <c:v>356</c:v>
                </c:pt>
                <c:pt idx="18">
                  <c:v>352</c:v>
                </c:pt>
                <c:pt idx="19">
                  <c:v>342</c:v>
                </c:pt>
              </c:numCache>
            </c:numRef>
          </c:val>
          <c:smooth val="0"/>
          <c:extLst>
            <c:ext xmlns:c16="http://schemas.microsoft.com/office/drawing/2014/chart" uri="{C3380CC4-5D6E-409C-BE32-E72D297353CC}">
              <c16:uniqueId val="{00000004-C581-424B-B45C-0E20350A0D95}"/>
            </c:ext>
          </c:extLst>
        </c:ser>
        <c:dLbls>
          <c:showLegendKey val="0"/>
          <c:showVal val="0"/>
          <c:showCatName val="0"/>
          <c:showSerName val="0"/>
          <c:showPercent val="0"/>
          <c:showBubbleSize val="0"/>
        </c:dLbls>
        <c:marker val="1"/>
        <c:smooth val="0"/>
        <c:axId val="230841728"/>
        <c:axId val="230872192"/>
      </c:lineChart>
      <c:lineChart>
        <c:grouping val="standard"/>
        <c:varyColors val="0"/>
        <c:ser>
          <c:idx val="1"/>
          <c:order val="1"/>
          <c:tx>
            <c:strRef>
              <c:f>市场走势!$M$3</c:f>
              <c:strCache>
                <c:ptCount val="1"/>
                <c:pt idx="0">
                  <c:v>空置率</c:v>
                </c:pt>
              </c:strCache>
            </c:strRef>
          </c:tx>
          <c:spPr>
            <a:ln w="28575" cap="rnd">
              <a:solidFill>
                <a:schemeClr val="accent2"/>
              </a:solidFill>
              <a:round/>
            </a:ln>
            <a:effectLst/>
          </c:spPr>
          <c:marker>
            <c:symbol val="none"/>
          </c:marker>
          <c:cat>
            <c:strRef>
              <c:f>市场走势!$K$4:$K$23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市场走势!$M$4:$M$23</c:f>
              <c:numCache>
                <c:formatCode>0.00%</c:formatCode>
                <c:ptCount val="20"/>
                <c:pt idx="0">
                  <c:v>2.5999999999999999E-2</c:v>
                </c:pt>
                <c:pt idx="1">
                  <c:v>4.5999999999999999E-2</c:v>
                </c:pt>
                <c:pt idx="2">
                  <c:v>4.9000000000000002E-2</c:v>
                </c:pt>
                <c:pt idx="3">
                  <c:v>3.9E-2</c:v>
                </c:pt>
                <c:pt idx="4">
                  <c:v>4.5999999999999999E-2</c:v>
                </c:pt>
                <c:pt idx="5">
                  <c:v>6.3E-2</c:v>
                </c:pt>
                <c:pt idx="6">
                  <c:v>5.6000000000000001E-2</c:v>
                </c:pt>
                <c:pt idx="7">
                  <c:v>7.0999999999999994E-2</c:v>
                </c:pt>
                <c:pt idx="8">
                  <c:v>4.2999999999999997E-2</c:v>
                </c:pt>
                <c:pt idx="9">
                  <c:v>3.3000000000000002E-2</c:v>
                </c:pt>
                <c:pt idx="10">
                  <c:v>3.2000000000000001E-2</c:v>
                </c:pt>
                <c:pt idx="11">
                  <c:v>4.9000000000000002E-2</c:v>
                </c:pt>
                <c:pt idx="12">
                  <c:v>5.8000000000000003E-2</c:v>
                </c:pt>
                <c:pt idx="13">
                  <c:v>6.9000000000000006E-2</c:v>
                </c:pt>
                <c:pt idx="14">
                  <c:v>7.0999999999999994E-2</c:v>
                </c:pt>
                <c:pt idx="15">
                  <c:v>0.113</c:v>
                </c:pt>
                <c:pt idx="16">
                  <c:v>0.113</c:v>
                </c:pt>
                <c:pt idx="17">
                  <c:v>0.14000000000000001</c:v>
                </c:pt>
                <c:pt idx="18">
                  <c:v>0.13900000000000001</c:v>
                </c:pt>
                <c:pt idx="19">
                  <c:v>0.154</c:v>
                </c:pt>
              </c:numCache>
            </c:numRef>
          </c:val>
          <c:smooth val="0"/>
          <c:extLst>
            <c:ext xmlns:c16="http://schemas.microsoft.com/office/drawing/2014/chart" uri="{C3380CC4-5D6E-409C-BE32-E72D297353CC}">
              <c16:uniqueId val="{00000005-C581-424B-B45C-0E20350A0D95}"/>
            </c:ext>
          </c:extLst>
        </c:ser>
        <c:dLbls>
          <c:showLegendKey val="0"/>
          <c:showVal val="0"/>
          <c:showCatName val="0"/>
          <c:showSerName val="0"/>
          <c:showPercent val="0"/>
          <c:showBubbleSize val="0"/>
        </c:dLbls>
        <c:marker val="1"/>
        <c:smooth val="0"/>
        <c:axId val="230875520"/>
        <c:axId val="230873728"/>
        <c:extLst>
          <c:ext xmlns:c15="http://schemas.microsoft.com/office/drawing/2012/chart" uri="{02D57815-91ED-43cb-92C2-25804820EDAC}">
            <c15:filteredLineSeries>
              <c15:ser>
                <c:idx val="6"/>
                <c:order val="6"/>
                <c:tx>
                  <c:strRef>
                    <c:extLst>
                      <c:ext uri="{02D57815-91ED-43cb-92C2-25804820EDAC}">
                        <c15:formulaRef>
                          <c15:sqref>市场走势!$R$3</c15:sqref>
                        </c15:formulaRef>
                      </c:ext>
                    </c:extLst>
                    <c:strCache>
                      <c:ptCount val="1"/>
                      <c:pt idx="0">
                        <c:v>租金增长率</c:v>
                      </c:pt>
                    </c:strCache>
                  </c:strRef>
                </c:tx>
                <c:spPr>
                  <a:ln w="28575" cap="rnd">
                    <a:solidFill>
                      <a:schemeClr val="accent1">
                        <a:lumMod val="60000"/>
                      </a:schemeClr>
                    </a:solidFill>
                    <a:round/>
                  </a:ln>
                  <a:effectLst/>
                </c:spPr>
                <c:marker>
                  <c:symbol val="none"/>
                </c:marker>
                <c:cat>
                  <c:strRef>
                    <c:extLst>
                      <c:ext uri="{02D57815-91ED-43cb-92C2-25804820EDAC}">
                        <c15:formulaRef>
                          <c15:sqref>市场走势!$K$4:$K$23</c15:sqref>
                        </c15:formulaRef>
                      </c:ext>
                    </c:extLst>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extLst>
                      <c:ext uri="{02D57815-91ED-43cb-92C2-25804820EDAC}">
                        <c15:formulaRef>
                          <c15:sqref>市场走势!$R$4:$R$23</c15:sqref>
                        </c15:formulaRef>
                      </c:ext>
                    </c:extLst>
                    <c:numCache>
                      <c:formatCode>0.00%</c:formatCode>
                      <c:ptCount val="20"/>
                      <c:pt idx="1">
                        <c:v>2.6809651474530832E-3</c:v>
                      </c:pt>
                      <c:pt idx="2">
                        <c:v>-8.0213903743315516E-3</c:v>
                      </c:pt>
                      <c:pt idx="3">
                        <c:v>5.3908355795148251E-3</c:v>
                      </c:pt>
                      <c:pt idx="4">
                        <c:v>-5.3619302949061663E-3</c:v>
                      </c:pt>
                      <c:pt idx="5">
                        <c:v>8.0862533692722376E-3</c:v>
                      </c:pt>
                      <c:pt idx="6">
                        <c:v>8.0213903743315516E-3</c:v>
                      </c:pt>
                      <c:pt idx="7">
                        <c:v>-7.9575596816976128E-3</c:v>
                      </c:pt>
                      <c:pt idx="8">
                        <c:v>-1.06951871657754E-2</c:v>
                      </c:pt>
                      <c:pt idx="9">
                        <c:v>3.783783783783784E-2</c:v>
                      </c:pt>
                      <c:pt idx="10">
                        <c:v>1.5625E-2</c:v>
                      </c:pt>
                      <c:pt idx="11">
                        <c:v>-1.0256410256410256E-2</c:v>
                      </c:pt>
                      <c:pt idx="12">
                        <c:v>-1.0362694300518135E-2</c:v>
                      </c:pt>
                      <c:pt idx="13">
                        <c:v>-1.3089005235602094E-2</c:v>
                      </c:pt>
                      <c:pt idx="14">
                        <c:v>-7.9575596816976128E-3</c:v>
                      </c:pt>
                      <c:pt idx="15">
                        <c:v>1.3368983957219251E-2</c:v>
                      </c:pt>
                      <c:pt idx="16">
                        <c:v>-1.3192612137203167E-2</c:v>
                      </c:pt>
                      <c:pt idx="17">
                        <c:v>-4.8128342245989303E-2</c:v>
                      </c:pt>
                      <c:pt idx="18">
                        <c:v>-1.1235955056179775E-2</c:v>
                      </c:pt>
                      <c:pt idx="19">
                        <c:v>-2.8409090909090908E-2</c:v>
                      </c:pt>
                    </c:numCache>
                  </c:numRef>
                </c:val>
                <c:smooth val="0"/>
                <c:extLst>
                  <c:ext xmlns:c16="http://schemas.microsoft.com/office/drawing/2014/chart" uri="{C3380CC4-5D6E-409C-BE32-E72D297353CC}">
                    <c16:uniqueId val="{00000006-C581-424B-B45C-0E20350A0D95}"/>
                  </c:ext>
                </c:extLst>
              </c15:ser>
            </c15:filteredLineSeries>
          </c:ext>
        </c:extLst>
      </c:lineChart>
      <c:catAx>
        <c:axId val="230841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72192"/>
        <c:crosses val="autoZero"/>
        <c:auto val="1"/>
        <c:lblAlgn val="ctr"/>
        <c:lblOffset val="100"/>
        <c:noMultiLvlLbl val="0"/>
      </c:catAx>
      <c:valAx>
        <c:axId val="2308721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41728"/>
        <c:crosses val="autoZero"/>
        <c:crossBetween val="between"/>
      </c:valAx>
      <c:valAx>
        <c:axId val="230873728"/>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75520"/>
        <c:crosses val="max"/>
        <c:crossBetween val="between"/>
      </c:valAx>
      <c:catAx>
        <c:axId val="230875520"/>
        <c:scaling>
          <c:orientation val="minMax"/>
        </c:scaling>
        <c:delete val="1"/>
        <c:axPos val="b"/>
        <c:numFmt formatCode="General" sourceLinked="1"/>
        <c:majorTickMark val="out"/>
        <c:minorTickMark val="none"/>
        <c:tickLblPos val="nextTo"/>
        <c:crossAx val="23087372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sz="1600" b="0" i="0" baseline="0">
                <a:effectLst/>
              </a:rPr>
              <a:t>仲量北京金融街</a:t>
            </a:r>
            <a:r>
              <a:rPr lang="zh-CN" altLang="zh-CN" sz="1600" b="0" i="0" baseline="0">
                <a:effectLst/>
              </a:rPr>
              <a:t>办公楼市场分析</a:t>
            </a:r>
            <a:endParaRPr lang="zh-CN" altLang="zh-CN" sz="1600">
              <a:effectLst/>
            </a:endParaRPr>
          </a:p>
        </c:rich>
      </c:tx>
      <c:overlay val="0"/>
      <c:spPr>
        <a:noFill/>
        <a:ln>
          <a:noFill/>
        </a:ln>
        <a:effectLst/>
      </c:spPr>
    </c:title>
    <c:autoTitleDeleted val="0"/>
    <c:plotArea>
      <c:layout>
        <c:manualLayout>
          <c:layoutTarget val="inner"/>
          <c:xMode val="edge"/>
          <c:yMode val="edge"/>
          <c:x val="5.7208133005468495E-2"/>
          <c:y val="0.17380197522979723"/>
          <c:w val="0.85263127062682975"/>
          <c:h val="0.55672177864599759"/>
        </c:manualLayout>
      </c:layout>
      <c:barChart>
        <c:barDir val="col"/>
        <c:grouping val="clustered"/>
        <c:varyColors val="0"/>
        <c:ser>
          <c:idx val="5"/>
          <c:order val="5"/>
          <c:tx>
            <c:strRef>
              <c:f>市场走势!$Q$52</c:f>
              <c:strCache>
                <c:ptCount val="1"/>
                <c:pt idx="0">
                  <c:v>存量（万㎡）</c:v>
                </c:pt>
              </c:strCache>
            </c:strRef>
          </c:tx>
          <c:spPr>
            <a:solidFill>
              <a:schemeClr val="accent6"/>
            </a:solidFill>
            <a:ln>
              <a:noFill/>
            </a:ln>
            <a:effectLst/>
          </c:spPr>
          <c:invertIfNegative val="0"/>
          <c:cat>
            <c:strRef>
              <c:f>市场走势!$K$53:$K$72</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市场走势!$Q$53:$Q$72</c:f>
              <c:numCache>
                <c:formatCode>General</c:formatCode>
                <c:ptCount val="20"/>
                <c:pt idx="0">
                  <c:v>144.75</c:v>
                </c:pt>
                <c:pt idx="1">
                  <c:v>170.29</c:v>
                </c:pt>
                <c:pt idx="2">
                  <c:v>170.29</c:v>
                </c:pt>
                <c:pt idx="3">
                  <c:v>174.16</c:v>
                </c:pt>
                <c:pt idx="4">
                  <c:v>174.16</c:v>
                </c:pt>
                <c:pt idx="5">
                  <c:v>174.16</c:v>
                </c:pt>
                <c:pt idx="6">
                  <c:v>174.16</c:v>
                </c:pt>
                <c:pt idx="7">
                  <c:v>174.16</c:v>
                </c:pt>
                <c:pt idx="8">
                  <c:v>174.16</c:v>
                </c:pt>
                <c:pt idx="9">
                  <c:v>174.16</c:v>
                </c:pt>
                <c:pt idx="10">
                  <c:v>174.16</c:v>
                </c:pt>
                <c:pt idx="11">
                  <c:v>174.16</c:v>
                </c:pt>
                <c:pt idx="12">
                  <c:v>174.16</c:v>
                </c:pt>
                <c:pt idx="13">
                  <c:v>174.16</c:v>
                </c:pt>
                <c:pt idx="14">
                  <c:v>174.16</c:v>
                </c:pt>
                <c:pt idx="15">
                  <c:v>179.43</c:v>
                </c:pt>
                <c:pt idx="16">
                  <c:v>179.43</c:v>
                </c:pt>
                <c:pt idx="17">
                  <c:v>179.43</c:v>
                </c:pt>
                <c:pt idx="18">
                  <c:v>179.43</c:v>
                </c:pt>
                <c:pt idx="19">
                  <c:v>179.43</c:v>
                </c:pt>
              </c:numCache>
            </c:numRef>
          </c:val>
          <c:extLst>
            <c:ext xmlns:c16="http://schemas.microsoft.com/office/drawing/2014/chart" uri="{C3380CC4-5D6E-409C-BE32-E72D297353CC}">
              <c16:uniqueId val="{00000000-0F6F-449E-AE6A-1173995AB3CD}"/>
            </c:ext>
          </c:extLst>
        </c:ser>
        <c:dLbls>
          <c:showLegendKey val="0"/>
          <c:showVal val="0"/>
          <c:showCatName val="0"/>
          <c:showSerName val="0"/>
          <c:showPercent val="0"/>
          <c:showBubbleSize val="0"/>
        </c:dLbls>
        <c:gapWidth val="219"/>
        <c:axId val="231134336"/>
        <c:axId val="231135872"/>
      </c:barChart>
      <c:lineChart>
        <c:grouping val="standard"/>
        <c:varyColors val="0"/>
        <c:ser>
          <c:idx val="0"/>
          <c:order val="0"/>
          <c:tx>
            <c:strRef>
              <c:f>市场走势!$L$52</c:f>
              <c:strCache>
                <c:ptCount val="1"/>
                <c:pt idx="0">
                  <c:v>平均有效租金</c:v>
                </c:pt>
              </c:strCache>
            </c:strRef>
          </c:tx>
          <c:spPr>
            <a:ln w="28575" cap="rnd">
              <a:solidFill>
                <a:schemeClr val="accent1"/>
              </a:solidFill>
              <a:round/>
            </a:ln>
            <a:effectLst/>
          </c:spPr>
          <c:marker>
            <c:symbol val="none"/>
          </c:marker>
          <c:cat>
            <c:strRef>
              <c:f>市场走势!$K$53:$K$72</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市场走势!$L$53:$L$72</c:f>
              <c:numCache>
                <c:formatCode>General</c:formatCode>
                <c:ptCount val="20"/>
                <c:pt idx="0">
                  <c:v>602</c:v>
                </c:pt>
                <c:pt idx="1">
                  <c:v>613</c:v>
                </c:pt>
                <c:pt idx="2">
                  <c:v>618</c:v>
                </c:pt>
                <c:pt idx="3">
                  <c:v>620</c:v>
                </c:pt>
                <c:pt idx="4">
                  <c:v>621</c:v>
                </c:pt>
                <c:pt idx="5">
                  <c:v>627</c:v>
                </c:pt>
                <c:pt idx="6">
                  <c:v>631</c:v>
                </c:pt>
                <c:pt idx="7">
                  <c:v>651</c:v>
                </c:pt>
                <c:pt idx="8">
                  <c:v>652</c:v>
                </c:pt>
                <c:pt idx="9">
                  <c:v>654</c:v>
                </c:pt>
                <c:pt idx="10">
                  <c:v>662</c:v>
                </c:pt>
                <c:pt idx="11">
                  <c:v>665</c:v>
                </c:pt>
                <c:pt idx="12">
                  <c:v>668</c:v>
                </c:pt>
                <c:pt idx="13">
                  <c:v>667</c:v>
                </c:pt>
                <c:pt idx="14">
                  <c:v>668</c:v>
                </c:pt>
                <c:pt idx="15">
                  <c:v>670</c:v>
                </c:pt>
                <c:pt idx="16">
                  <c:v>670</c:v>
                </c:pt>
                <c:pt idx="17">
                  <c:v>663</c:v>
                </c:pt>
                <c:pt idx="18">
                  <c:v>659</c:v>
                </c:pt>
                <c:pt idx="19">
                  <c:v>652</c:v>
                </c:pt>
              </c:numCache>
            </c:numRef>
          </c:val>
          <c:smooth val="0"/>
          <c:extLst>
            <c:ext xmlns:c16="http://schemas.microsoft.com/office/drawing/2014/chart" uri="{C3380CC4-5D6E-409C-BE32-E72D297353CC}">
              <c16:uniqueId val="{00000001-0F6F-449E-AE6A-1173995AB3CD}"/>
            </c:ext>
          </c:extLst>
        </c:ser>
        <c:ser>
          <c:idx val="2"/>
          <c:order val="2"/>
          <c:tx>
            <c:strRef>
              <c:f>市场走势!$N$52</c:f>
              <c:strCache>
                <c:ptCount val="1"/>
                <c:pt idx="0">
                  <c:v>租金增长率</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市场走势!$K$53:$K$72</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市场走势!$N$53:$N$72</c:f>
            </c:numRef>
          </c:val>
          <c:smooth val="0"/>
          <c:extLst xmlns:c15="http://schemas.microsoft.com/office/drawing/2012/chart">
            <c:ext xmlns:c16="http://schemas.microsoft.com/office/drawing/2014/chart" uri="{C3380CC4-5D6E-409C-BE32-E72D297353CC}">
              <c16:uniqueId val="{00000002-0F6F-449E-AE6A-1173995AB3CD}"/>
            </c:ext>
          </c:extLst>
        </c:ser>
        <c:ser>
          <c:idx val="3"/>
          <c:order val="3"/>
          <c:tx>
            <c:strRef>
              <c:f>市场走势!$O$52</c:f>
              <c:strCache>
                <c:ptCount val="1"/>
                <c:pt idx="0">
                  <c:v>新增供应</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市场走势!$K$53:$K$72</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市场走势!$O$53:$O$72</c:f>
            </c:numRef>
          </c:val>
          <c:smooth val="0"/>
          <c:extLst xmlns:c15="http://schemas.microsoft.com/office/drawing/2012/chart">
            <c:ext xmlns:c16="http://schemas.microsoft.com/office/drawing/2014/chart" uri="{C3380CC4-5D6E-409C-BE32-E72D297353CC}">
              <c16:uniqueId val="{00000003-0F6F-449E-AE6A-1173995AB3CD}"/>
            </c:ext>
          </c:extLst>
        </c:ser>
        <c:ser>
          <c:idx val="4"/>
          <c:order val="4"/>
          <c:tx>
            <c:strRef>
              <c:f>市场走势!$P$52</c:f>
              <c:strCache>
                <c:ptCount val="1"/>
                <c:pt idx="0">
                  <c:v>库存（㎡）</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市场走势!$K$53:$K$72</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市场走势!$P$53:$P$72</c:f>
            </c:numRef>
          </c:val>
          <c:smooth val="0"/>
          <c:extLst xmlns:c15="http://schemas.microsoft.com/office/drawing/2012/chart">
            <c:ext xmlns:c16="http://schemas.microsoft.com/office/drawing/2014/chart" uri="{C3380CC4-5D6E-409C-BE32-E72D297353CC}">
              <c16:uniqueId val="{00000004-0F6F-449E-AE6A-1173995AB3CD}"/>
            </c:ext>
          </c:extLst>
        </c:ser>
        <c:dLbls>
          <c:showLegendKey val="0"/>
          <c:showVal val="0"/>
          <c:showCatName val="0"/>
          <c:showSerName val="0"/>
          <c:showPercent val="0"/>
          <c:showBubbleSize val="0"/>
        </c:dLbls>
        <c:marker val="1"/>
        <c:smooth val="0"/>
        <c:axId val="231134336"/>
        <c:axId val="231135872"/>
        <c:extLst/>
      </c:lineChart>
      <c:lineChart>
        <c:grouping val="standard"/>
        <c:varyColors val="0"/>
        <c:ser>
          <c:idx val="1"/>
          <c:order val="1"/>
          <c:tx>
            <c:strRef>
              <c:f>市场走势!$M$52</c:f>
              <c:strCache>
                <c:ptCount val="1"/>
                <c:pt idx="0">
                  <c:v>空置率</c:v>
                </c:pt>
              </c:strCache>
            </c:strRef>
          </c:tx>
          <c:spPr>
            <a:ln w="28575" cap="rnd">
              <a:solidFill>
                <a:schemeClr val="accent2"/>
              </a:solidFill>
              <a:round/>
            </a:ln>
            <a:effectLst/>
          </c:spPr>
          <c:marker>
            <c:symbol val="none"/>
          </c:marker>
          <c:cat>
            <c:strRef>
              <c:f>市场走势!$K$53:$K$72</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市场走势!$M$53:$M$72</c:f>
              <c:numCache>
                <c:formatCode>0.00%</c:formatCode>
                <c:ptCount val="20"/>
                <c:pt idx="0">
                  <c:v>1.9E-2</c:v>
                </c:pt>
                <c:pt idx="1">
                  <c:v>2.5000000000000001E-2</c:v>
                </c:pt>
                <c:pt idx="2">
                  <c:v>1.4E-2</c:v>
                </c:pt>
                <c:pt idx="3">
                  <c:v>7.0000000000000001E-3</c:v>
                </c:pt>
                <c:pt idx="4">
                  <c:v>7.0000000000000001E-3</c:v>
                </c:pt>
                <c:pt idx="5">
                  <c:v>8.0000000000000002E-3</c:v>
                </c:pt>
                <c:pt idx="6">
                  <c:v>7.0000000000000001E-3</c:v>
                </c:pt>
                <c:pt idx="7">
                  <c:v>7.0000000000000001E-3</c:v>
                </c:pt>
                <c:pt idx="8">
                  <c:v>6.0000000000000001E-3</c:v>
                </c:pt>
                <c:pt idx="9">
                  <c:v>0.01</c:v>
                </c:pt>
                <c:pt idx="10">
                  <c:v>1.0999999999999999E-2</c:v>
                </c:pt>
                <c:pt idx="11">
                  <c:v>0.01</c:v>
                </c:pt>
                <c:pt idx="12">
                  <c:v>8.0000000000000002E-3</c:v>
                </c:pt>
                <c:pt idx="13">
                  <c:v>1.0999999999999999E-2</c:v>
                </c:pt>
                <c:pt idx="14">
                  <c:v>1.2999999999999999E-2</c:v>
                </c:pt>
                <c:pt idx="15">
                  <c:v>2.1000000000000001E-2</c:v>
                </c:pt>
                <c:pt idx="16">
                  <c:v>1.9E-2</c:v>
                </c:pt>
                <c:pt idx="17">
                  <c:v>3.3000000000000002E-2</c:v>
                </c:pt>
                <c:pt idx="18">
                  <c:v>3.5999999999999997E-2</c:v>
                </c:pt>
                <c:pt idx="19">
                  <c:v>3.7999999999999999E-2</c:v>
                </c:pt>
              </c:numCache>
            </c:numRef>
          </c:val>
          <c:smooth val="0"/>
          <c:extLst>
            <c:ext xmlns:c16="http://schemas.microsoft.com/office/drawing/2014/chart" uri="{C3380CC4-5D6E-409C-BE32-E72D297353CC}">
              <c16:uniqueId val="{00000005-0F6F-449E-AE6A-1173995AB3CD}"/>
            </c:ext>
          </c:extLst>
        </c:ser>
        <c:dLbls>
          <c:showLegendKey val="0"/>
          <c:showVal val="0"/>
          <c:showCatName val="0"/>
          <c:showSerName val="0"/>
          <c:showPercent val="0"/>
          <c:showBubbleSize val="0"/>
        </c:dLbls>
        <c:marker val="1"/>
        <c:smooth val="0"/>
        <c:axId val="231143296"/>
        <c:axId val="231141760"/>
      </c:lineChart>
      <c:catAx>
        <c:axId val="231134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1135872"/>
        <c:crosses val="autoZero"/>
        <c:auto val="1"/>
        <c:lblAlgn val="ctr"/>
        <c:lblOffset val="100"/>
        <c:noMultiLvlLbl val="0"/>
      </c:catAx>
      <c:valAx>
        <c:axId val="2311358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1134336"/>
        <c:crosses val="autoZero"/>
        <c:crossBetween val="between"/>
      </c:valAx>
      <c:valAx>
        <c:axId val="231141760"/>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1143296"/>
        <c:crosses val="max"/>
        <c:crossBetween val="between"/>
      </c:valAx>
      <c:catAx>
        <c:axId val="231143296"/>
        <c:scaling>
          <c:orientation val="minMax"/>
        </c:scaling>
        <c:delete val="1"/>
        <c:axPos val="b"/>
        <c:numFmt formatCode="General" sourceLinked="1"/>
        <c:majorTickMark val="out"/>
        <c:minorTickMark val="none"/>
        <c:tickLblPos val="nextTo"/>
        <c:crossAx val="2311417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zh-CN" altLang="en-US" sz="1600" b="0" i="0" baseline="0">
                <a:effectLst/>
              </a:rPr>
              <a:t>北京全市</a:t>
            </a:r>
            <a:r>
              <a:rPr lang="zh-CN" altLang="zh-CN" sz="1600" b="0" i="0" baseline="0">
                <a:effectLst/>
              </a:rPr>
              <a:t>办公楼市场分析</a:t>
            </a:r>
            <a:r>
              <a:rPr lang="zh-CN" altLang="en-US" sz="1600" b="0" i="0" baseline="0">
                <a:effectLst/>
              </a:rPr>
              <a:t>（戴德、仲量、第一太平）</a:t>
            </a:r>
            <a:endParaRPr lang="zh-CN" altLang="zh-CN" sz="1600">
              <a:effectLst/>
            </a:endParaRPr>
          </a:p>
        </c:rich>
      </c:tx>
      <c:overlay val="0"/>
      <c:spPr>
        <a:noFill/>
        <a:ln>
          <a:noFill/>
        </a:ln>
        <a:effectLst/>
      </c:spPr>
    </c:title>
    <c:autoTitleDeleted val="0"/>
    <c:plotArea>
      <c:layout/>
      <c:barChart>
        <c:barDir val="col"/>
        <c:grouping val="clustered"/>
        <c:varyColors val="0"/>
        <c:ser>
          <c:idx val="5"/>
          <c:order val="5"/>
          <c:tx>
            <c:strRef>
              <c:f>市场走势!$Q$76:$Q$77</c:f>
              <c:strCache>
                <c:ptCount val="2"/>
                <c:pt idx="0">
                  <c:v>存量（万㎡）</c:v>
                </c:pt>
              </c:strCache>
            </c:strRef>
          </c:tx>
          <c:spPr>
            <a:solidFill>
              <a:schemeClr val="accent6"/>
            </a:solidFill>
            <a:ln>
              <a:noFill/>
            </a:ln>
            <a:effectLst/>
          </c:spPr>
          <c:invertIfNegative val="0"/>
          <c:cat>
            <c:strRef>
              <c:f>市场走势!$K$78:$K$96</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市场走势!$Q$78:$Q$96</c:f>
              <c:numCache>
                <c:formatCode>General</c:formatCode>
                <c:ptCount val="19"/>
                <c:pt idx="0">
                  <c:v>839</c:v>
                </c:pt>
                <c:pt idx="1">
                  <c:v>869</c:v>
                </c:pt>
                <c:pt idx="2">
                  <c:v>886</c:v>
                </c:pt>
                <c:pt idx="3">
                  <c:v>901</c:v>
                </c:pt>
                <c:pt idx="4">
                  <c:v>921</c:v>
                </c:pt>
                <c:pt idx="5">
                  <c:v>924</c:v>
                </c:pt>
                <c:pt idx="6">
                  <c:v>966</c:v>
                </c:pt>
                <c:pt idx="7">
                  <c:v>976</c:v>
                </c:pt>
                <c:pt idx="8">
                  <c:v>981</c:v>
                </c:pt>
                <c:pt idx="9">
                  <c:v>989</c:v>
                </c:pt>
                <c:pt idx="10">
                  <c:v>1005</c:v>
                </c:pt>
                <c:pt idx="11">
                  <c:v>1009</c:v>
                </c:pt>
                <c:pt idx="12">
                  <c:v>1016</c:v>
                </c:pt>
                <c:pt idx="13">
                  <c:v>1029</c:v>
                </c:pt>
                <c:pt idx="14">
                  <c:v>1106</c:v>
                </c:pt>
                <c:pt idx="15">
                  <c:v>1105</c:v>
                </c:pt>
                <c:pt idx="16">
                  <c:v>1120</c:v>
                </c:pt>
                <c:pt idx="17">
                  <c:v>1134</c:v>
                </c:pt>
                <c:pt idx="18">
                  <c:v>1168</c:v>
                </c:pt>
              </c:numCache>
            </c:numRef>
          </c:val>
          <c:extLst>
            <c:ext xmlns:c16="http://schemas.microsoft.com/office/drawing/2014/chart" uri="{C3380CC4-5D6E-409C-BE32-E72D297353CC}">
              <c16:uniqueId val="{00000000-7902-4BF3-88BC-F3C5DBB9299C}"/>
            </c:ext>
          </c:extLst>
        </c:ser>
        <c:dLbls>
          <c:showLegendKey val="0"/>
          <c:showVal val="0"/>
          <c:showCatName val="0"/>
          <c:showSerName val="0"/>
          <c:showPercent val="0"/>
          <c:showBubbleSize val="0"/>
        </c:dLbls>
        <c:gapWidth val="219"/>
        <c:axId val="230841728"/>
        <c:axId val="230872192"/>
      </c:barChart>
      <c:lineChart>
        <c:grouping val="standard"/>
        <c:varyColors val="0"/>
        <c:ser>
          <c:idx val="2"/>
          <c:order val="2"/>
          <c:tx>
            <c:strRef>
              <c:f>市场走势!$N$76:$N$77</c:f>
              <c:strCache>
                <c:ptCount val="2"/>
                <c:pt idx="0">
                  <c:v>租金增长率</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市场走势!$K$78:$K$96</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市场走势!$N$78:$N$96</c:f>
            </c:numRef>
          </c:val>
          <c:smooth val="0"/>
          <c:extLst>
            <c:ext xmlns:c16="http://schemas.microsoft.com/office/drawing/2014/chart" uri="{C3380CC4-5D6E-409C-BE32-E72D297353CC}">
              <c16:uniqueId val="{00000001-7902-4BF3-88BC-F3C5DBB9299C}"/>
            </c:ext>
          </c:extLst>
        </c:ser>
        <c:ser>
          <c:idx val="3"/>
          <c:order val="3"/>
          <c:tx>
            <c:strRef>
              <c:f>市场走势!$O$76:$O$77</c:f>
              <c:strCache>
                <c:ptCount val="2"/>
                <c:pt idx="0">
                  <c:v>新增供应</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市场走势!$K$78:$K$96</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市场走势!$O$78:$O$96</c:f>
            </c:numRef>
          </c:val>
          <c:smooth val="0"/>
          <c:extLst>
            <c:ext xmlns:c16="http://schemas.microsoft.com/office/drawing/2014/chart" uri="{C3380CC4-5D6E-409C-BE32-E72D297353CC}">
              <c16:uniqueId val="{00000002-7902-4BF3-88BC-F3C5DBB9299C}"/>
            </c:ext>
          </c:extLst>
        </c:ser>
        <c:ser>
          <c:idx val="4"/>
          <c:order val="4"/>
          <c:tx>
            <c:strRef>
              <c:f>市场走势!$P$76:$P$77</c:f>
              <c:strCache>
                <c:ptCount val="2"/>
                <c:pt idx="0">
                  <c:v>库存（㎡）</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市场走势!$K$78:$K$96</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市场走势!$P$78:$P$96</c:f>
            </c:numRef>
          </c:val>
          <c:smooth val="0"/>
          <c:extLst>
            <c:ext xmlns:c16="http://schemas.microsoft.com/office/drawing/2014/chart" uri="{C3380CC4-5D6E-409C-BE32-E72D297353CC}">
              <c16:uniqueId val="{00000003-7902-4BF3-88BC-F3C5DBB9299C}"/>
            </c:ext>
          </c:extLst>
        </c:ser>
        <c:ser>
          <c:idx val="0"/>
          <c:order val="0"/>
          <c:tx>
            <c:strRef>
              <c:f>市场走势!$L$76:$L$77</c:f>
              <c:strCache>
                <c:ptCount val="2"/>
                <c:pt idx="0">
                  <c:v>平均有效租金</c:v>
                </c:pt>
              </c:strCache>
            </c:strRef>
          </c:tx>
          <c:spPr>
            <a:ln w="28575" cap="rnd">
              <a:solidFill>
                <a:schemeClr val="accent1"/>
              </a:solidFill>
              <a:round/>
            </a:ln>
            <a:effectLst/>
          </c:spPr>
          <c:marker>
            <c:symbol val="none"/>
          </c:marker>
          <c:cat>
            <c:strRef>
              <c:f>市场走势!$K$78:$K$96</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市场走势!$L$78:$L$96</c:f>
              <c:numCache>
                <c:formatCode>General</c:formatCode>
                <c:ptCount val="19"/>
                <c:pt idx="0">
                  <c:v>363</c:v>
                </c:pt>
                <c:pt idx="1">
                  <c:v>364</c:v>
                </c:pt>
                <c:pt idx="2">
                  <c:v>366</c:v>
                </c:pt>
                <c:pt idx="3">
                  <c:v>365</c:v>
                </c:pt>
                <c:pt idx="4">
                  <c:v>368</c:v>
                </c:pt>
                <c:pt idx="5">
                  <c:v>369</c:v>
                </c:pt>
                <c:pt idx="6">
                  <c:v>370</c:v>
                </c:pt>
                <c:pt idx="7">
                  <c:v>369</c:v>
                </c:pt>
                <c:pt idx="8">
                  <c:v>378</c:v>
                </c:pt>
                <c:pt idx="9">
                  <c:v>387</c:v>
                </c:pt>
                <c:pt idx="10">
                  <c:v>385</c:v>
                </c:pt>
                <c:pt idx="11">
                  <c:v>383</c:v>
                </c:pt>
                <c:pt idx="12">
                  <c:v>380</c:v>
                </c:pt>
                <c:pt idx="13">
                  <c:v>377</c:v>
                </c:pt>
                <c:pt idx="14">
                  <c:v>375</c:v>
                </c:pt>
                <c:pt idx="15">
                  <c:v>371</c:v>
                </c:pt>
                <c:pt idx="16">
                  <c:v>358</c:v>
                </c:pt>
                <c:pt idx="17">
                  <c:v>352</c:v>
                </c:pt>
                <c:pt idx="18">
                  <c:v>343</c:v>
                </c:pt>
              </c:numCache>
            </c:numRef>
          </c:val>
          <c:smooth val="0"/>
          <c:extLst>
            <c:ext xmlns:c16="http://schemas.microsoft.com/office/drawing/2014/chart" uri="{C3380CC4-5D6E-409C-BE32-E72D297353CC}">
              <c16:uniqueId val="{00000004-7902-4BF3-88BC-F3C5DBB9299C}"/>
            </c:ext>
          </c:extLst>
        </c:ser>
        <c:dLbls>
          <c:showLegendKey val="0"/>
          <c:showVal val="0"/>
          <c:showCatName val="0"/>
          <c:showSerName val="0"/>
          <c:showPercent val="0"/>
          <c:showBubbleSize val="0"/>
        </c:dLbls>
        <c:marker val="1"/>
        <c:smooth val="0"/>
        <c:axId val="230841728"/>
        <c:axId val="230872192"/>
      </c:lineChart>
      <c:lineChart>
        <c:grouping val="standard"/>
        <c:varyColors val="0"/>
        <c:ser>
          <c:idx val="1"/>
          <c:order val="1"/>
          <c:tx>
            <c:strRef>
              <c:f>市场走势!$M$76:$M$77</c:f>
              <c:strCache>
                <c:ptCount val="2"/>
                <c:pt idx="0">
                  <c:v>空置率</c:v>
                </c:pt>
              </c:strCache>
            </c:strRef>
          </c:tx>
          <c:spPr>
            <a:ln w="28575" cap="rnd">
              <a:solidFill>
                <a:schemeClr val="accent2"/>
              </a:solidFill>
              <a:round/>
            </a:ln>
            <a:effectLst/>
          </c:spPr>
          <c:marker>
            <c:symbol val="none"/>
          </c:marker>
          <c:cat>
            <c:strRef>
              <c:f>市场走势!$K$78:$K$96</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市场走势!$M$78:$M$96</c:f>
              <c:numCache>
                <c:formatCode>0.00%</c:formatCode>
                <c:ptCount val="19"/>
                <c:pt idx="0">
                  <c:v>5.4300000000000001E-2</c:v>
                </c:pt>
                <c:pt idx="1">
                  <c:v>5.1999999999999998E-2</c:v>
                </c:pt>
                <c:pt idx="2">
                  <c:v>5.3699999999999998E-2</c:v>
                </c:pt>
                <c:pt idx="3">
                  <c:v>5.7700000000000001E-2</c:v>
                </c:pt>
                <c:pt idx="4">
                  <c:v>6.6699999999999995E-2</c:v>
                </c:pt>
                <c:pt idx="5">
                  <c:v>5.8000000000000003E-2</c:v>
                </c:pt>
                <c:pt idx="6">
                  <c:v>7.4700000000000003E-2</c:v>
                </c:pt>
                <c:pt idx="7">
                  <c:v>6.5000000000000002E-2</c:v>
                </c:pt>
                <c:pt idx="8">
                  <c:v>5.3999999999999999E-2</c:v>
                </c:pt>
                <c:pt idx="9">
                  <c:v>5.8700000000000002E-2</c:v>
                </c:pt>
                <c:pt idx="10">
                  <c:v>6.6699999999999995E-2</c:v>
                </c:pt>
                <c:pt idx="11">
                  <c:v>6.8699999999999997E-2</c:v>
                </c:pt>
                <c:pt idx="12">
                  <c:v>8.1299999999999997E-2</c:v>
                </c:pt>
                <c:pt idx="13">
                  <c:v>8.8200000000000001E-2</c:v>
                </c:pt>
                <c:pt idx="14">
                  <c:v>0.125</c:v>
                </c:pt>
                <c:pt idx="15">
                  <c:v>0.12770000000000001</c:v>
                </c:pt>
                <c:pt idx="16">
                  <c:v>0.14599999999999999</c:v>
                </c:pt>
                <c:pt idx="17">
                  <c:v>0.1517</c:v>
                </c:pt>
                <c:pt idx="18">
                  <c:v>0.16070000000000001</c:v>
                </c:pt>
              </c:numCache>
            </c:numRef>
          </c:val>
          <c:smooth val="0"/>
          <c:extLst>
            <c:ext xmlns:c16="http://schemas.microsoft.com/office/drawing/2014/chart" uri="{C3380CC4-5D6E-409C-BE32-E72D297353CC}">
              <c16:uniqueId val="{00000005-7902-4BF3-88BC-F3C5DBB9299C}"/>
            </c:ext>
          </c:extLst>
        </c:ser>
        <c:dLbls>
          <c:showLegendKey val="0"/>
          <c:showVal val="0"/>
          <c:showCatName val="0"/>
          <c:showSerName val="0"/>
          <c:showPercent val="0"/>
          <c:showBubbleSize val="0"/>
        </c:dLbls>
        <c:marker val="1"/>
        <c:smooth val="0"/>
        <c:axId val="230875520"/>
        <c:axId val="230873728"/>
        <c:extLst/>
      </c:lineChart>
      <c:catAx>
        <c:axId val="230841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72192"/>
        <c:crosses val="autoZero"/>
        <c:auto val="1"/>
        <c:lblAlgn val="ctr"/>
        <c:lblOffset val="100"/>
        <c:noMultiLvlLbl val="0"/>
      </c:catAx>
      <c:valAx>
        <c:axId val="2308721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41728"/>
        <c:crosses val="autoZero"/>
        <c:crossBetween val="between"/>
      </c:valAx>
      <c:valAx>
        <c:axId val="230873728"/>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75520"/>
        <c:crosses val="max"/>
        <c:crossBetween val="between"/>
      </c:valAx>
      <c:catAx>
        <c:axId val="230875520"/>
        <c:scaling>
          <c:orientation val="minMax"/>
        </c:scaling>
        <c:delete val="1"/>
        <c:axPos val="b"/>
        <c:numFmt formatCode="General" sourceLinked="1"/>
        <c:majorTickMark val="out"/>
        <c:minorTickMark val="none"/>
        <c:tickLblPos val="nextTo"/>
        <c:crossAx val="23087372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zh-CN" altLang="en-US" sz="1600" b="0" i="0" baseline="0">
                <a:effectLst/>
              </a:rPr>
              <a:t>北京全市</a:t>
            </a:r>
            <a:r>
              <a:rPr lang="zh-CN" altLang="zh-CN" sz="1600" b="0" i="0" baseline="0">
                <a:effectLst/>
              </a:rPr>
              <a:t>办公楼市场分析</a:t>
            </a:r>
            <a:endParaRPr lang="zh-CN" altLang="zh-CN" sz="1600">
              <a:effectLst/>
            </a:endParaRPr>
          </a:p>
        </c:rich>
      </c:tx>
      <c:overlay val="0"/>
      <c:spPr>
        <a:noFill/>
        <a:ln>
          <a:noFill/>
        </a:ln>
        <a:effectLst/>
      </c:spPr>
    </c:title>
    <c:autoTitleDeleted val="0"/>
    <c:plotArea>
      <c:layout/>
      <c:barChart>
        <c:barDir val="col"/>
        <c:grouping val="clustered"/>
        <c:varyColors val="0"/>
        <c:ser>
          <c:idx val="5"/>
          <c:order val="5"/>
          <c:tx>
            <c:strRef>
              <c:f>市场走势!$AA$101:$AA$102</c:f>
              <c:strCache>
                <c:ptCount val="2"/>
                <c:pt idx="0">
                  <c:v>存量（万㎡）</c:v>
                </c:pt>
              </c:strCache>
            </c:strRef>
          </c:tx>
          <c:spPr>
            <a:solidFill>
              <a:schemeClr val="accent6"/>
            </a:solidFill>
            <a:ln>
              <a:noFill/>
            </a:ln>
            <a:effectLst/>
          </c:spPr>
          <c:invertIfNegative val="0"/>
          <c:cat>
            <c:strRef>
              <c:f>市场走势!$U$103:$U$121</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市场走势!$AA$103:$AA$121</c:f>
              <c:numCache>
                <c:formatCode>General</c:formatCode>
                <c:ptCount val="19"/>
                <c:pt idx="0">
                  <c:v>781</c:v>
                </c:pt>
                <c:pt idx="1">
                  <c:v>815</c:v>
                </c:pt>
                <c:pt idx="2">
                  <c:v>833</c:v>
                </c:pt>
                <c:pt idx="3">
                  <c:v>847</c:v>
                </c:pt>
                <c:pt idx="4">
                  <c:v>871</c:v>
                </c:pt>
                <c:pt idx="5">
                  <c:v>871</c:v>
                </c:pt>
                <c:pt idx="6">
                  <c:v>912</c:v>
                </c:pt>
                <c:pt idx="7">
                  <c:v>931</c:v>
                </c:pt>
                <c:pt idx="8">
                  <c:v>935</c:v>
                </c:pt>
                <c:pt idx="9">
                  <c:v>940</c:v>
                </c:pt>
                <c:pt idx="10">
                  <c:v>957</c:v>
                </c:pt>
                <c:pt idx="11">
                  <c:v>963</c:v>
                </c:pt>
                <c:pt idx="12">
                  <c:v>959</c:v>
                </c:pt>
                <c:pt idx="13">
                  <c:v>969</c:v>
                </c:pt>
                <c:pt idx="14">
                  <c:v>1038</c:v>
                </c:pt>
                <c:pt idx="15">
                  <c:v>1038</c:v>
                </c:pt>
                <c:pt idx="16">
                  <c:v>1056</c:v>
                </c:pt>
                <c:pt idx="17">
                  <c:v>1065</c:v>
                </c:pt>
                <c:pt idx="18">
                  <c:v>1108</c:v>
                </c:pt>
              </c:numCache>
            </c:numRef>
          </c:val>
          <c:extLst>
            <c:ext xmlns:c16="http://schemas.microsoft.com/office/drawing/2014/chart" uri="{C3380CC4-5D6E-409C-BE32-E72D297353CC}">
              <c16:uniqueId val="{00000000-F403-42FF-AE8A-3CBD080674C2}"/>
            </c:ext>
          </c:extLst>
        </c:ser>
        <c:dLbls>
          <c:showLegendKey val="0"/>
          <c:showVal val="0"/>
          <c:showCatName val="0"/>
          <c:showSerName val="0"/>
          <c:showPercent val="0"/>
          <c:showBubbleSize val="0"/>
        </c:dLbls>
        <c:gapWidth val="219"/>
        <c:axId val="230841728"/>
        <c:axId val="230872192"/>
      </c:barChart>
      <c:lineChart>
        <c:grouping val="standard"/>
        <c:varyColors val="0"/>
        <c:ser>
          <c:idx val="3"/>
          <c:order val="3"/>
          <c:tx>
            <c:strRef>
              <c:f>市场走势!$Y$101:$Y$102</c:f>
              <c:strCache>
                <c:ptCount val="2"/>
                <c:pt idx="0">
                  <c:v>新增供应</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市场走势!$U$103:$U$121</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市场走势!$Y$103:$Y$121</c:f>
            </c:numRef>
          </c:val>
          <c:smooth val="0"/>
          <c:extLst>
            <c:ext xmlns:c16="http://schemas.microsoft.com/office/drawing/2014/chart" uri="{C3380CC4-5D6E-409C-BE32-E72D297353CC}">
              <c16:uniqueId val="{00000001-F403-42FF-AE8A-3CBD080674C2}"/>
            </c:ext>
          </c:extLst>
        </c:ser>
        <c:ser>
          <c:idx val="4"/>
          <c:order val="4"/>
          <c:tx>
            <c:strRef>
              <c:f>市场走势!$Z$101:$Z$102</c:f>
              <c:strCache>
                <c:ptCount val="2"/>
                <c:pt idx="0">
                  <c:v>库存（㎡）</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市场走势!$U$103:$U$121</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市场走势!$Z$103:$Z$121</c:f>
            </c:numRef>
          </c:val>
          <c:smooth val="0"/>
          <c:extLst>
            <c:ext xmlns:c16="http://schemas.microsoft.com/office/drawing/2014/chart" uri="{C3380CC4-5D6E-409C-BE32-E72D297353CC}">
              <c16:uniqueId val="{00000002-F403-42FF-AE8A-3CBD080674C2}"/>
            </c:ext>
          </c:extLst>
        </c:ser>
        <c:ser>
          <c:idx val="0"/>
          <c:order val="0"/>
          <c:tx>
            <c:strRef>
              <c:f>市场走势!$V$101:$V$102</c:f>
              <c:strCache>
                <c:ptCount val="2"/>
                <c:pt idx="0">
                  <c:v>平均有效租金</c:v>
                </c:pt>
              </c:strCache>
            </c:strRef>
          </c:tx>
          <c:spPr>
            <a:ln w="28575" cap="rnd">
              <a:solidFill>
                <a:schemeClr val="accent1"/>
              </a:solidFill>
              <a:round/>
            </a:ln>
            <a:effectLst/>
          </c:spPr>
          <c:marker>
            <c:symbol val="none"/>
          </c:marker>
          <c:cat>
            <c:strRef>
              <c:f>市场走势!$U$103:$U$121</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市场走势!$V$103:$V$121</c:f>
              <c:numCache>
                <c:formatCode>General</c:formatCode>
                <c:ptCount val="19"/>
                <c:pt idx="0">
                  <c:v>376</c:v>
                </c:pt>
                <c:pt idx="1">
                  <c:v>377</c:v>
                </c:pt>
                <c:pt idx="2">
                  <c:v>380</c:v>
                </c:pt>
                <c:pt idx="3">
                  <c:v>380</c:v>
                </c:pt>
                <c:pt idx="4">
                  <c:v>383</c:v>
                </c:pt>
                <c:pt idx="5">
                  <c:v>384</c:v>
                </c:pt>
                <c:pt idx="6">
                  <c:v>385</c:v>
                </c:pt>
                <c:pt idx="7">
                  <c:v>381</c:v>
                </c:pt>
                <c:pt idx="8">
                  <c:v>389</c:v>
                </c:pt>
                <c:pt idx="9">
                  <c:v>397</c:v>
                </c:pt>
                <c:pt idx="10">
                  <c:v>393</c:v>
                </c:pt>
                <c:pt idx="11">
                  <c:v>391</c:v>
                </c:pt>
                <c:pt idx="12">
                  <c:v>387</c:v>
                </c:pt>
                <c:pt idx="13">
                  <c:v>381</c:v>
                </c:pt>
                <c:pt idx="14">
                  <c:v>381</c:v>
                </c:pt>
                <c:pt idx="15">
                  <c:v>376</c:v>
                </c:pt>
                <c:pt idx="16">
                  <c:v>357</c:v>
                </c:pt>
                <c:pt idx="17">
                  <c:v>350</c:v>
                </c:pt>
                <c:pt idx="18">
                  <c:v>340</c:v>
                </c:pt>
              </c:numCache>
            </c:numRef>
          </c:val>
          <c:smooth val="0"/>
          <c:extLst>
            <c:ext xmlns:c16="http://schemas.microsoft.com/office/drawing/2014/chart" uri="{C3380CC4-5D6E-409C-BE32-E72D297353CC}">
              <c16:uniqueId val="{00000003-F403-42FF-AE8A-3CBD080674C2}"/>
            </c:ext>
          </c:extLst>
        </c:ser>
        <c:dLbls>
          <c:showLegendKey val="0"/>
          <c:showVal val="0"/>
          <c:showCatName val="0"/>
          <c:showSerName val="0"/>
          <c:showPercent val="0"/>
          <c:showBubbleSize val="0"/>
        </c:dLbls>
        <c:marker val="1"/>
        <c:smooth val="0"/>
        <c:axId val="230841728"/>
        <c:axId val="230872192"/>
        <c:extLst>
          <c:ext xmlns:c15="http://schemas.microsoft.com/office/drawing/2012/chart" uri="{02D57815-91ED-43cb-92C2-25804820EDAC}">
            <c15:filteredLineSeries>
              <c15:ser>
                <c:idx val="2"/>
                <c:order val="2"/>
                <c:tx>
                  <c:strRef>
                    <c:extLst>
                      <c:ext uri="{02D57815-91ED-43cb-92C2-25804820EDAC}">
                        <c15:formulaRef>
                          <c15:sqref>市场走势!$X$101:$X$102</c15:sqref>
                        </c15:formulaRef>
                      </c:ext>
                    </c:extLst>
                    <c:strCache>
                      <c:ptCount val="2"/>
                      <c:pt idx="0">
                        <c:v>租金增长率</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uri="{02D57815-91ED-43cb-92C2-25804820EDAC}">
                        <c15:formulaRef>
                          <c15:sqref>市场走势!$U$103:$U$121</c15:sqref>
                        </c15:formulaRef>
                      </c:ext>
                    </c:extLst>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uri="{02D57815-91ED-43cb-92C2-25804820EDAC}">
                        <c15:formulaRef>
                          <c15:sqref>市场走势!$X$103:$X$121</c15:sqref>
                        </c15:formulaRef>
                      </c:ext>
                    </c:extLst>
                    <c:numCache>
                      <c:formatCode>0.00%</c:formatCode>
                      <c:ptCount val="19"/>
                      <c:pt idx="1">
                        <c:v>2.6595744680851063E-3</c:v>
                      </c:pt>
                      <c:pt idx="2">
                        <c:v>7.9575596816976128E-3</c:v>
                      </c:pt>
                      <c:pt idx="3">
                        <c:v>0</c:v>
                      </c:pt>
                      <c:pt idx="4">
                        <c:v>7.8947368421052634E-3</c:v>
                      </c:pt>
                      <c:pt idx="5">
                        <c:v>2.6109660574412533E-3</c:v>
                      </c:pt>
                      <c:pt idx="6">
                        <c:v>2.6041666666666665E-3</c:v>
                      </c:pt>
                      <c:pt idx="7">
                        <c:v>-1.038961038961039E-2</c:v>
                      </c:pt>
                      <c:pt idx="8">
                        <c:v>2.0997375328083989E-2</c:v>
                      </c:pt>
                      <c:pt idx="9">
                        <c:v>2.056555269922879E-2</c:v>
                      </c:pt>
                      <c:pt idx="10">
                        <c:v>-1.0075566750629723E-2</c:v>
                      </c:pt>
                      <c:pt idx="11">
                        <c:v>-5.0890585241730284E-3</c:v>
                      </c:pt>
                      <c:pt idx="12">
                        <c:v>-1.0230179028132993E-2</c:v>
                      </c:pt>
                      <c:pt idx="13">
                        <c:v>-1.5503875968992248E-2</c:v>
                      </c:pt>
                      <c:pt idx="14">
                        <c:v>0</c:v>
                      </c:pt>
                      <c:pt idx="15">
                        <c:v>-1.3123359580052493E-2</c:v>
                      </c:pt>
                      <c:pt idx="16">
                        <c:v>-5.0531914893617018E-2</c:v>
                      </c:pt>
                      <c:pt idx="17">
                        <c:v>-1.9607843137254902E-2</c:v>
                      </c:pt>
                      <c:pt idx="18">
                        <c:v>-2.8571428571428571E-2</c:v>
                      </c:pt>
                    </c:numCache>
                  </c:numRef>
                </c:val>
                <c:smooth val="0"/>
                <c:extLst>
                  <c:ext xmlns:c16="http://schemas.microsoft.com/office/drawing/2014/chart" uri="{C3380CC4-5D6E-409C-BE32-E72D297353CC}">
                    <c16:uniqueId val="{00000005-F403-42FF-AE8A-3CBD080674C2}"/>
                  </c:ext>
                </c:extLst>
              </c15:ser>
            </c15:filteredLineSeries>
          </c:ext>
        </c:extLst>
      </c:lineChart>
      <c:lineChart>
        <c:grouping val="standard"/>
        <c:varyColors val="0"/>
        <c:ser>
          <c:idx val="1"/>
          <c:order val="1"/>
          <c:tx>
            <c:strRef>
              <c:f>市场走势!$W$101:$W$102</c:f>
              <c:strCache>
                <c:ptCount val="2"/>
                <c:pt idx="0">
                  <c:v>空置率</c:v>
                </c:pt>
              </c:strCache>
            </c:strRef>
          </c:tx>
          <c:spPr>
            <a:ln w="28575" cap="rnd">
              <a:solidFill>
                <a:schemeClr val="accent2"/>
              </a:solidFill>
              <a:round/>
            </a:ln>
            <a:effectLst/>
          </c:spPr>
          <c:marker>
            <c:symbol val="none"/>
          </c:marker>
          <c:cat>
            <c:strRef>
              <c:f>市场走势!$U$103:$U$121</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市场走势!$W$103:$W$121</c:f>
              <c:numCache>
                <c:formatCode>0.00%</c:formatCode>
                <c:ptCount val="19"/>
                <c:pt idx="0">
                  <c:v>5.9499999999999997E-2</c:v>
                </c:pt>
                <c:pt idx="1">
                  <c:v>5.3499999999999999E-2</c:v>
                </c:pt>
                <c:pt idx="2">
                  <c:v>5.2499999999999998E-2</c:v>
                </c:pt>
                <c:pt idx="3">
                  <c:v>5.6000000000000001E-2</c:v>
                </c:pt>
                <c:pt idx="4">
                  <c:v>6.7500000000000004E-2</c:v>
                </c:pt>
                <c:pt idx="5">
                  <c:v>5.9499999999999997E-2</c:v>
                </c:pt>
                <c:pt idx="6">
                  <c:v>7.3999999999999996E-2</c:v>
                </c:pt>
                <c:pt idx="7">
                  <c:v>6.3500000000000001E-2</c:v>
                </c:pt>
                <c:pt idx="8">
                  <c:v>5.1999999999999998E-2</c:v>
                </c:pt>
                <c:pt idx="9">
                  <c:v>5.5500000000000001E-2</c:v>
                </c:pt>
                <c:pt idx="10">
                  <c:v>6.5000000000000002E-2</c:v>
                </c:pt>
                <c:pt idx="11">
                  <c:v>6.8599999999999994E-2</c:v>
                </c:pt>
                <c:pt idx="12">
                  <c:v>7.9000000000000001E-2</c:v>
                </c:pt>
                <c:pt idx="13">
                  <c:v>8.6300000000000002E-2</c:v>
                </c:pt>
                <c:pt idx="14">
                  <c:v>0.124</c:v>
                </c:pt>
                <c:pt idx="15">
                  <c:v>0.1255</c:v>
                </c:pt>
                <c:pt idx="16">
                  <c:v>0.151</c:v>
                </c:pt>
                <c:pt idx="17">
                  <c:v>0.1525</c:v>
                </c:pt>
                <c:pt idx="18">
                  <c:v>0.16200000000000001</c:v>
                </c:pt>
              </c:numCache>
            </c:numRef>
          </c:val>
          <c:smooth val="0"/>
          <c:extLst>
            <c:ext xmlns:c16="http://schemas.microsoft.com/office/drawing/2014/chart" uri="{C3380CC4-5D6E-409C-BE32-E72D297353CC}">
              <c16:uniqueId val="{00000004-F403-42FF-AE8A-3CBD080674C2}"/>
            </c:ext>
          </c:extLst>
        </c:ser>
        <c:dLbls>
          <c:showLegendKey val="0"/>
          <c:showVal val="0"/>
          <c:showCatName val="0"/>
          <c:showSerName val="0"/>
          <c:showPercent val="0"/>
          <c:showBubbleSize val="0"/>
        </c:dLbls>
        <c:marker val="1"/>
        <c:smooth val="0"/>
        <c:axId val="230875520"/>
        <c:axId val="230873728"/>
        <c:extLst/>
      </c:lineChart>
      <c:catAx>
        <c:axId val="230841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72192"/>
        <c:crosses val="autoZero"/>
        <c:auto val="1"/>
        <c:lblAlgn val="ctr"/>
        <c:lblOffset val="100"/>
        <c:noMultiLvlLbl val="0"/>
      </c:catAx>
      <c:valAx>
        <c:axId val="2308721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41728"/>
        <c:crosses val="autoZero"/>
        <c:crossBetween val="between"/>
      </c:valAx>
      <c:valAx>
        <c:axId val="230873728"/>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75520"/>
        <c:crosses val="max"/>
        <c:crossBetween val="between"/>
      </c:valAx>
      <c:catAx>
        <c:axId val="230875520"/>
        <c:scaling>
          <c:orientation val="minMax"/>
        </c:scaling>
        <c:delete val="1"/>
        <c:axPos val="b"/>
        <c:numFmt formatCode="General" sourceLinked="1"/>
        <c:majorTickMark val="out"/>
        <c:minorTickMark val="none"/>
        <c:tickLblPos val="nextTo"/>
        <c:crossAx val="23087372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sz="1800" b="0" i="0" baseline="0">
                <a:effectLst/>
              </a:rPr>
              <a:t>第一太平戴维斯商业</a:t>
            </a:r>
            <a:r>
              <a:rPr lang="zh-CN" altLang="zh-CN" sz="1800" b="0" i="0" baseline="0">
                <a:effectLst/>
              </a:rPr>
              <a:t>市场分析</a:t>
            </a:r>
            <a:endParaRPr lang="zh-CN" altLang="zh-CN">
              <a:effectLst/>
            </a:endParaRPr>
          </a:p>
        </c:rich>
      </c:tx>
      <c:layout>
        <c:manualLayout>
          <c:xMode val="edge"/>
          <c:yMode val="edge"/>
          <c:x val="0.21111111111111111"/>
          <c:y val="3.2407407407407406E-2"/>
        </c:manualLayout>
      </c:layout>
      <c:overlay val="0"/>
      <c:spPr>
        <a:noFill/>
        <a:ln>
          <a:noFill/>
        </a:ln>
        <a:effectLst/>
      </c:spPr>
    </c:title>
    <c:autoTitleDeleted val="0"/>
    <c:plotArea>
      <c:layout/>
      <c:barChart>
        <c:barDir val="col"/>
        <c:grouping val="clustered"/>
        <c:varyColors val="0"/>
        <c:ser>
          <c:idx val="5"/>
          <c:order val="5"/>
          <c:tx>
            <c:strRef>
              <c:f>[2]Sheet3!$X$3</c:f>
              <c:strCache>
                <c:ptCount val="1"/>
                <c:pt idx="0">
                  <c:v>存量（万㎡）</c:v>
                </c:pt>
              </c:strCache>
            </c:strRef>
          </c:tx>
          <c:spPr>
            <a:solidFill>
              <a:schemeClr val="accent6"/>
            </a:solidFill>
            <a:ln>
              <a:noFill/>
            </a:ln>
            <a:effectLst/>
          </c:spPr>
          <c:invertIfNegative val="0"/>
          <c:cat>
            <c:numRef>
              <c:f>[2]Sheet3!$R$4:$R$23</c:f>
              <c:numCache>
                <c:formatCode>General</c:formatCode>
                <c:ptCount val="20"/>
                <c:pt idx="0">
                  <c:v>2016.1</c:v>
                </c:pt>
                <c:pt idx="1">
                  <c:v>2016.2</c:v>
                </c:pt>
                <c:pt idx="2">
                  <c:v>2016.3</c:v>
                </c:pt>
                <c:pt idx="3">
                  <c:v>2016.4</c:v>
                </c:pt>
                <c:pt idx="4">
                  <c:v>2017.1</c:v>
                </c:pt>
                <c:pt idx="5">
                  <c:v>2017.2</c:v>
                </c:pt>
                <c:pt idx="6">
                  <c:v>2017.3</c:v>
                </c:pt>
                <c:pt idx="7">
                  <c:v>2017.4</c:v>
                </c:pt>
                <c:pt idx="8">
                  <c:v>2018.1</c:v>
                </c:pt>
                <c:pt idx="9">
                  <c:v>2018.2</c:v>
                </c:pt>
                <c:pt idx="10">
                  <c:v>2018.3</c:v>
                </c:pt>
                <c:pt idx="11">
                  <c:v>2018.4</c:v>
                </c:pt>
                <c:pt idx="12">
                  <c:v>2019.1</c:v>
                </c:pt>
                <c:pt idx="13">
                  <c:v>2019.2</c:v>
                </c:pt>
                <c:pt idx="14">
                  <c:v>2019.3</c:v>
                </c:pt>
                <c:pt idx="15">
                  <c:v>2019.4</c:v>
                </c:pt>
                <c:pt idx="16">
                  <c:v>2020.1</c:v>
                </c:pt>
                <c:pt idx="17">
                  <c:v>2020.2</c:v>
                </c:pt>
                <c:pt idx="18">
                  <c:v>2020.3</c:v>
                </c:pt>
                <c:pt idx="19">
                  <c:v>2020.4</c:v>
                </c:pt>
              </c:numCache>
            </c:numRef>
          </c:cat>
          <c:val>
            <c:numRef>
              <c:f>[2]Sheet3!$X$4:$X$23</c:f>
              <c:numCache>
                <c:formatCode>General</c:formatCode>
                <c:ptCount val="20"/>
                <c:pt idx="0">
                  <c:v>924</c:v>
                </c:pt>
                <c:pt idx="1">
                  <c:v>954</c:v>
                </c:pt>
                <c:pt idx="2">
                  <c:v>976</c:v>
                </c:pt>
                <c:pt idx="3">
                  <c:v>992</c:v>
                </c:pt>
                <c:pt idx="4">
                  <c:v>1008</c:v>
                </c:pt>
                <c:pt idx="5">
                  <c:v>1020</c:v>
                </c:pt>
                <c:pt idx="6">
                  <c:v>1030</c:v>
                </c:pt>
                <c:pt idx="7">
                  <c:v>1074</c:v>
                </c:pt>
                <c:pt idx="8">
                  <c:v>1065</c:v>
                </c:pt>
                <c:pt idx="9">
                  <c:v>1072</c:v>
                </c:pt>
                <c:pt idx="10">
                  <c:v>1086.5</c:v>
                </c:pt>
                <c:pt idx="11">
                  <c:v>1102.2</c:v>
                </c:pt>
                <c:pt idx="12">
                  <c:v>1102.2</c:v>
                </c:pt>
                <c:pt idx="13">
                  <c:v>1130.5999999999999</c:v>
                </c:pt>
                <c:pt idx="14">
                  <c:v>1148.5999999999999</c:v>
                </c:pt>
                <c:pt idx="15">
                  <c:v>1241.9000000000001</c:v>
                </c:pt>
                <c:pt idx="16">
                  <c:v>1237.8</c:v>
                </c:pt>
                <c:pt idx="17">
                  <c:v>1247.8</c:v>
                </c:pt>
                <c:pt idx="18">
                  <c:v>1272.5999999999999</c:v>
                </c:pt>
                <c:pt idx="19">
                  <c:v>1289</c:v>
                </c:pt>
              </c:numCache>
            </c:numRef>
          </c:val>
          <c:extLst>
            <c:ext xmlns:c16="http://schemas.microsoft.com/office/drawing/2014/chart" uri="{C3380CC4-5D6E-409C-BE32-E72D297353CC}">
              <c16:uniqueId val="{00000000-9AB1-42DC-A4FC-0FAA864D4A6D}"/>
            </c:ext>
          </c:extLst>
        </c:ser>
        <c:dLbls>
          <c:showLegendKey val="0"/>
          <c:showVal val="0"/>
          <c:showCatName val="0"/>
          <c:showSerName val="0"/>
          <c:showPercent val="0"/>
          <c:showBubbleSize val="0"/>
        </c:dLbls>
        <c:gapWidth val="219"/>
        <c:axId val="230451840"/>
        <c:axId val="230461824"/>
      </c:barChart>
      <c:lineChart>
        <c:grouping val="standard"/>
        <c:varyColors val="0"/>
        <c:ser>
          <c:idx val="0"/>
          <c:order val="0"/>
          <c:tx>
            <c:strRef>
              <c:f>[2]Sheet3!$S$3</c:f>
              <c:strCache>
                <c:ptCount val="1"/>
                <c:pt idx="0">
                  <c:v>平均有效租金</c:v>
                </c:pt>
              </c:strCache>
            </c:strRef>
          </c:tx>
          <c:spPr>
            <a:ln w="28575" cap="rnd">
              <a:solidFill>
                <a:schemeClr val="accent1"/>
              </a:solidFill>
              <a:round/>
            </a:ln>
            <a:effectLst/>
          </c:spPr>
          <c:marker>
            <c:symbol val="none"/>
          </c:marker>
          <c:cat>
            <c:numRef>
              <c:f>[2]Sheet3!$R$4:$R$23</c:f>
              <c:numCache>
                <c:formatCode>General</c:formatCode>
                <c:ptCount val="20"/>
                <c:pt idx="0">
                  <c:v>2016.1</c:v>
                </c:pt>
                <c:pt idx="1">
                  <c:v>2016.2</c:v>
                </c:pt>
                <c:pt idx="2">
                  <c:v>2016.3</c:v>
                </c:pt>
                <c:pt idx="3">
                  <c:v>2016.4</c:v>
                </c:pt>
                <c:pt idx="4">
                  <c:v>2017.1</c:v>
                </c:pt>
                <c:pt idx="5">
                  <c:v>2017.2</c:v>
                </c:pt>
                <c:pt idx="6">
                  <c:v>2017.3</c:v>
                </c:pt>
                <c:pt idx="7">
                  <c:v>2017.4</c:v>
                </c:pt>
                <c:pt idx="8">
                  <c:v>2018.1</c:v>
                </c:pt>
                <c:pt idx="9">
                  <c:v>2018.2</c:v>
                </c:pt>
                <c:pt idx="10">
                  <c:v>2018.3</c:v>
                </c:pt>
                <c:pt idx="11">
                  <c:v>2018.4</c:v>
                </c:pt>
                <c:pt idx="12">
                  <c:v>2019.1</c:v>
                </c:pt>
                <c:pt idx="13">
                  <c:v>2019.2</c:v>
                </c:pt>
                <c:pt idx="14">
                  <c:v>2019.3</c:v>
                </c:pt>
                <c:pt idx="15">
                  <c:v>2019.4</c:v>
                </c:pt>
                <c:pt idx="16">
                  <c:v>2020.1</c:v>
                </c:pt>
                <c:pt idx="17">
                  <c:v>2020.2</c:v>
                </c:pt>
                <c:pt idx="18">
                  <c:v>2020.3</c:v>
                </c:pt>
                <c:pt idx="19">
                  <c:v>2020.4</c:v>
                </c:pt>
              </c:numCache>
            </c:numRef>
          </c:cat>
          <c:val>
            <c:numRef>
              <c:f>[2]Sheet3!$S$4:$S$23</c:f>
              <c:numCache>
                <c:formatCode>General</c:formatCode>
                <c:ptCount val="20"/>
                <c:pt idx="0">
                  <c:v>339.8</c:v>
                </c:pt>
                <c:pt idx="1">
                  <c:v>337.8</c:v>
                </c:pt>
                <c:pt idx="2">
                  <c:v>337.8</c:v>
                </c:pt>
                <c:pt idx="3">
                  <c:v>336.9</c:v>
                </c:pt>
                <c:pt idx="4">
                  <c:v>335.1</c:v>
                </c:pt>
                <c:pt idx="5">
                  <c:v>338.1</c:v>
                </c:pt>
                <c:pt idx="6">
                  <c:v>338.2</c:v>
                </c:pt>
                <c:pt idx="7">
                  <c:v>340</c:v>
                </c:pt>
                <c:pt idx="8">
                  <c:v>345.3</c:v>
                </c:pt>
                <c:pt idx="9">
                  <c:v>355</c:v>
                </c:pt>
                <c:pt idx="10">
                  <c:v>366.9</c:v>
                </c:pt>
                <c:pt idx="11">
                  <c:v>369</c:v>
                </c:pt>
                <c:pt idx="12">
                  <c:v>368</c:v>
                </c:pt>
                <c:pt idx="13">
                  <c:v>368.3</c:v>
                </c:pt>
                <c:pt idx="14">
                  <c:v>367.6</c:v>
                </c:pt>
                <c:pt idx="15">
                  <c:v>364.9</c:v>
                </c:pt>
                <c:pt idx="16">
                  <c:v>363</c:v>
                </c:pt>
                <c:pt idx="17">
                  <c:v>360.5</c:v>
                </c:pt>
                <c:pt idx="18">
                  <c:v>354.8</c:v>
                </c:pt>
                <c:pt idx="19">
                  <c:v>349.2</c:v>
                </c:pt>
              </c:numCache>
            </c:numRef>
          </c:val>
          <c:smooth val="0"/>
          <c:extLst>
            <c:ext xmlns:c16="http://schemas.microsoft.com/office/drawing/2014/chart" uri="{C3380CC4-5D6E-409C-BE32-E72D297353CC}">
              <c16:uniqueId val="{00000002-9AB1-42DC-A4FC-0FAA864D4A6D}"/>
            </c:ext>
          </c:extLst>
        </c:ser>
        <c:dLbls>
          <c:showLegendKey val="0"/>
          <c:showVal val="0"/>
          <c:showCatName val="0"/>
          <c:showSerName val="0"/>
          <c:showPercent val="0"/>
          <c:showBubbleSize val="0"/>
        </c:dLbls>
        <c:marker val="1"/>
        <c:smooth val="0"/>
        <c:axId val="230451840"/>
        <c:axId val="230461824"/>
        <c:extLst>
          <c:ext xmlns:c15="http://schemas.microsoft.com/office/drawing/2012/chart" uri="{02D57815-91ED-43cb-92C2-25804820EDAC}">
            <c15:filteredLineSeries>
              <c15:ser>
                <c:idx val="2"/>
                <c:order val="2"/>
                <c:tx>
                  <c:strRef>
                    <c:extLst>
                      <c:ext uri="{02D57815-91ED-43cb-92C2-25804820EDAC}">
                        <c15:formulaRef>
                          <c15:sqref>[2]Sheet3!$U$3</c15:sqref>
                        </c15:formulaRef>
                      </c:ext>
                    </c:extLst>
                    <c:strCache>
                      <c:ptCount val="1"/>
                      <c:pt idx="0">
                        <c:v>租金增长率</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extLst>
                      <c:ext uri="{02D57815-91ED-43cb-92C2-25804820EDAC}">
                        <c15:formulaRef>
                          <c15:sqref>[2]Sheet3!$R$4:$R$23</c15:sqref>
                        </c15:formulaRef>
                      </c:ext>
                    </c:extLst>
                    <c:numCache>
                      <c:formatCode>General</c:formatCode>
                      <c:ptCount val="20"/>
                      <c:pt idx="0">
                        <c:v>2016.1</c:v>
                      </c:pt>
                      <c:pt idx="1">
                        <c:v>2016.2</c:v>
                      </c:pt>
                      <c:pt idx="2">
                        <c:v>2016.3</c:v>
                      </c:pt>
                      <c:pt idx="3">
                        <c:v>2016.4</c:v>
                      </c:pt>
                      <c:pt idx="4">
                        <c:v>2017.1</c:v>
                      </c:pt>
                      <c:pt idx="5">
                        <c:v>2017.2</c:v>
                      </c:pt>
                      <c:pt idx="6">
                        <c:v>2017.3</c:v>
                      </c:pt>
                      <c:pt idx="7">
                        <c:v>2017.4</c:v>
                      </c:pt>
                      <c:pt idx="8">
                        <c:v>2018.1</c:v>
                      </c:pt>
                      <c:pt idx="9">
                        <c:v>2018.2</c:v>
                      </c:pt>
                      <c:pt idx="10">
                        <c:v>2018.3</c:v>
                      </c:pt>
                      <c:pt idx="11">
                        <c:v>2018.4</c:v>
                      </c:pt>
                      <c:pt idx="12">
                        <c:v>2019.1</c:v>
                      </c:pt>
                      <c:pt idx="13">
                        <c:v>2019.2</c:v>
                      </c:pt>
                      <c:pt idx="14">
                        <c:v>2019.3</c:v>
                      </c:pt>
                      <c:pt idx="15">
                        <c:v>2019.4</c:v>
                      </c:pt>
                      <c:pt idx="16">
                        <c:v>2020.1</c:v>
                      </c:pt>
                      <c:pt idx="17">
                        <c:v>2020.2</c:v>
                      </c:pt>
                      <c:pt idx="18">
                        <c:v>2020.3</c:v>
                      </c:pt>
                      <c:pt idx="19">
                        <c:v>2020.4</c:v>
                      </c:pt>
                    </c:numCache>
                  </c:numRef>
                </c:cat>
                <c:val>
                  <c:numRef>
                    <c:extLst>
                      <c:ext uri="{02D57815-91ED-43cb-92C2-25804820EDAC}">
                        <c15:formulaRef>
                          <c15:sqref>[2]Sheet3!$U$4:$U$23</c15:sqref>
                        </c15:formulaRef>
                      </c:ext>
                    </c:extLst>
                    <c:numCache>
                      <c:formatCode>General</c:formatCode>
                      <c:ptCount val="20"/>
                      <c:pt idx="1">
                        <c:v>-5.885815185403178E-3</c:v>
                      </c:pt>
                      <c:pt idx="2">
                        <c:v>0</c:v>
                      </c:pt>
                      <c:pt idx="3">
                        <c:v>-2.6642984014210599E-3</c:v>
                      </c:pt>
                      <c:pt idx="4">
                        <c:v>-5.3428317008012904E-3</c:v>
                      </c:pt>
                      <c:pt idx="5">
                        <c:v>8.9525514771709933E-3</c:v>
                      </c:pt>
                      <c:pt idx="6">
                        <c:v>2.9577048210578492E-4</c:v>
                      </c:pt>
                      <c:pt idx="7">
                        <c:v>5.3222945002957172E-3</c:v>
                      </c:pt>
                      <c:pt idx="8">
                        <c:v>1.558823529411768E-2</c:v>
                      </c:pt>
                      <c:pt idx="9">
                        <c:v>2.8091514624963766E-2</c:v>
                      </c:pt>
                      <c:pt idx="10">
                        <c:v>3.3521126760563319E-2</c:v>
                      </c:pt>
                      <c:pt idx="11">
                        <c:v>5.7236304170074212E-3</c:v>
                      </c:pt>
                      <c:pt idx="12">
                        <c:v>-2.7100271002710027E-3</c:v>
                      </c:pt>
                      <c:pt idx="13">
                        <c:v>8.1521739130437868E-4</c:v>
                      </c:pt>
                      <c:pt idx="14">
                        <c:v>-1.9006244909041232E-3</c:v>
                      </c:pt>
                      <c:pt idx="15">
                        <c:v>-7.344940152339623E-3</c:v>
                      </c:pt>
                      <c:pt idx="16">
                        <c:v>-5.2069060016442245E-3</c:v>
                      </c:pt>
                      <c:pt idx="17">
                        <c:v>-6.8870523415977963E-3</c:v>
                      </c:pt>
                      <c:pt idx="18">
                        <c:v>-1.5811373092926458E-2</c:v>
                      </c:pt>
                      <c:pt idx="19">
                        <c:v>-1.578354002254798E-2</c:v>
                      </c:pt>
                    </c:numCache>
                  </c:numRef>
                </c:val>
                <c:smooth val="0"/>
                <c:extLst>
                  <c:ext xmlns:c16="http://schemas.microsoft.com/office/drawing/2014/chart" uri="{C3380CC4-5D6E-409C-BE32-E72D297353CC}">
                    <c16:uniqueId val="{00000001-9AB1-42DC-A4FC-0FAA864D4A6D}"/>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[2]Sheet3!$V$3</c15:sqref>
                        </c15:formulaRef>
                      </c:ext>
                    </c:extLst>
                    <c:strCache>
                      <c:ptCount val="1"/>
                      <c:pt idx="0">
                        <c:v>新增供应</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extLst xmlns:c15="http://schemas.microsoft.com/office/drawing/2012/chart">
                      <c:ext xmlns:c15="http://schemas.microsoft.com/office/drawing/2012/chart" uri="{02D57815-91ED-43cb-92C2-25804820EDAC}">
                        <c15:formulaRef>
                          <c15:sqref>[2]Sheet3!$R$4:$R$23</c15:sqref>
                        </c15:formulaRef>
                      </c:ext>
                    </c:extLst>
                    <c:numCache>
                      <c:formatCode>General</c:formatCode>
                      <c:ptCount val="20"/>
                      <c:pt idx="0">
                        <c:v>2016.1</c:v>
                      </c:pt>
                      <c:pt idx="1">
                        <c:v>2016.2</c:v>
                      </c:pt>
                      <c:pt idx="2">
                        <c:v>2016.3</c:v>
                      </c:pt>
                      <c:pt idx="3">
                        <c:v>2016.4</c:v>
                      </c:pt>
                      <c:pt idx="4">
                        <c:v>2017.1</c:v>
                      </c:pt>
                      <c:pt idx="5">
                        <c:v>2017.2</c:v>
                      </c:pt>
                      <c:pt idx="6">
                        <c:v>2017.3</c:v>
                      </c:pt>
                      <c:pt idx="7">
                        <c:v>2017.4</c:v>
                      </c:pt>
                      <c:pt idx="8">
                        <c:v>2018.1</c:v>
                      </c:pt>
                      <c:pt idx="9">
                        <c:v>2018.2</c:v>
                      </c:pt>
                      <c:pt idx="10">
                        <c:v>2018.3</c:v>
                      </c:pt>
                      <c:pt idx="11">
                        <c:v>2018.4</c:v>
                      </c:pt>
                      <c:pt idx="12">
                        <c:v>2019.1</c:v>
                      </c:pt>
                      <c:pt idx="13">
                        <c:v>2019.2</c:v>
                      </c:pt>
                      <c:pt idx="14">
                        <c:v>2019.3</c:v>
                      </c:pt>
                      <c:pt idx="15">
                        <c:v>2019.4</c:v>
                      </c:pt>
                      <c:pt idx="16">
                        <c:v>2020.1</c:v>
                      </c:pt>
                      <c:pt idx="17">
                        <c:v>2020.2</c:v>
                      </c:pt>
                      <c:pt idx="18">
                        <c:v>2020.3</c:v>
                      </c:pt>
                      <c:pt idx="19">
                        <c:v>2020.4</c:v>
                      </c:pt>
                    </c:numCache>
                  </c:numRef>
                </c:cat>
                <c:val>
                  <c:numRef>
                    <c:extLst xmlns:c15="http://schemas.microsoft.com/office/drawing/2012/chart">
                      <c:ext xmlns:c15="http://schemas.microsoft.com/office/drawing/2012/chart" uri="{02D57815-91ED-43cb-92C2-25804820EDAC}">
                        <c15:formulaRef>
                          <c15:sqref>[2]Sheet3!$V$4:$V$23</c15:sqref>
                        </c15:formulaRef>
                      </c:ext>
                    </c:extLst>
                    <c:numCache>
                      <c:formatCode>General</c:formatCode>
                      <c:ptCount val="20"/>
                      <c:pt idx="1">
                        <c:v>300000</c:v>
                      </c:pt>
                      <c:pt idx="2">
                        <c:v>220000</c:v>
                      </c:pt>
                      <c:pt idx="3">
                        <c:v>160000</c:v>
                      </c:pt>
                      <c:pt idx="4">
                        <c:v>160000</c:v>
                      </c:pt>
                      <c:pt idx="5">
                        <c:v>120000</c:v>
                      </c:pt>
                      <c:pt idx="6">
                        <c:v>100000</c:v>
                      </c:pt>
                      <c:pt idx="7">
                        <c:v>440000</c:v>
                      </c:pt>
                      <c:pt idx="8">
                        <c:v>-90000</c:v>
                      </c:pt>
                      <c:pt idx="9">
                        <c:v>70000</c:v>
                      </c:pt>
                      <c:pt idx="10">
                        <c:v>145000</c:v>
                      </c:pt>
                      <c:pt idx="11">
                        <c:v>157000</c:v>
                      </c:pt>
                      <c:pt idx="12">
                        <c:v>0</c:v>
                      </c:pt>
                      <c:pt idx="13">
                        <c:v>284000</c:v>
                      </c:pt>
                      <c:pt idx="14">
                        <c:v>180000</c:v>
                      </c:pt>
                      <c:pt idx="15">
                        <c:v>933000</c:v>
                      </c:pt>
                      <c:pt idx="16">
                        <c:v>-41000</c:v>
                      </c:pt>
                      <c:pt idx="17">
                        <c:v>100000</c:v>
                      </c:pt>
                      <c:pt idx="18">
                        <c:v>248000</c:v>
                      </c:pt>
                      <c:pt idx="19">
                        <c:v>164000</c:v>
                      </c:pt>
                    </c:numCache>
                  </c:numRef>
                </c:val>
                <c:smooth val="0"/>
                <c:extLst xmlns:c15="http://schemas.microsoft.com/office/drawing/2012/chart">
                  <c:ext xmlns:c16="http://schemas.microsoft.com/office/drawing/2014/chart" uri="{C3380CC4-5D6E-409C-BE32-E72D297353CC}">
                    <c16:uniqueId val="{00000004-9AB1-42DC-A4FC-0FAA864D4A6D}"/>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[2]Sheet3!$W$3</c15:sqref>
                        </c15:formulaRef>
                      </c:ext>
                    </c:extLst>
                    <c:strCache>
                      <c:ptCount val="1"/>
                      <c:pt idx="0">
                        <c:v>存量（㎡）</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extLst xmlns:c15="http://schemas.microsoft.com/office/drawing/2012/chart">
                      <c:ext xmlns:c15="http://schemas.microsoft.com/office/drawing/2012/chart" uri="{02D57815-91ED-43cb-92C2-25804820EDAC}">
                        <c15:formulaRef>
                          <c15:sqref>[2]Sheet3!$R$4:$R$23</c15:sqref>
                        </c15:formulaRef>
                      </c:ext>
                    </c:extLst>
                    <c:numCache>
                      <c:formatCode>General</c:formatCode>
                      <c:ptCount val="20"/>
                      <c:pt idx="0">
                        <c:v>2016.1</c:v>
                      </c:pt>
                      <c:pt idx="1">
                        <c:v>2016.2</c:v>
                      </c:pt>
                      <c:pt idx="2">
                        <c:v>2016.3</c:v>
                      </c:pt>
                      <c:pt idx="3">
                        <c:v>2016.4</c:v>
                      </c:pt>
                      <c:pt idx="4">
                        <c:v>2017.1</c:v>
                      </c:pt>
                      <c:pt idx="5">
                        <c:v>2017.2</c:v>
                      </c:pt>
                      <c:pt idx="6">
                        <c:v>2017.3</c:v>
                      </c:pt>
                      <c:pt idx="7">
                        <c:v>2017.4</c:v>
                      </c:pt>
                      <c:pt idx="8">
                        <c:v>2018.1</c:v>
                      </c:pt>
                      <c:pt idx="9">
                        <c:v>2018.2</c:v>
                      </c:pt>
                      <c:pt idx="10">
                        <c:v>2018.3</c:v>
                      </c:pt>
                      <c:pt idx="11">
                        <c:v>2018.4</c:v>
                      </c:pt>
                      <c:pt idx="12">
                        <c:v>2019.1</c:v>
                      </c:pt>
                      <c:pt idx="13">
                        <c:v>2019.2</c:v>
                      </c:pt>
                      <c:pt idx="14">
                        <c:v>2019.3</c:v>
                      </c:pt>
                      <c:pt idx="15">
                        <c:v>2019.4</c:v>
                      </c:pt>
                      <c:pt idx="16">
                        <c:v>2020.1</c:v>
                      </c:pt>
                      <c:pt idx="17">
                        <c:v>2020.2</c:v>
                      </c:pt>
                      <c:pt idx="18">
                        <c:v>2020.3</c:v>
                      </c:pt>
                      <c:pt idx="19">
                        <c:v>2020.4</c:v>
                      </c:pt>
                    </c:numCache>
                  </c:numRef>
                </c:cat>
                <c:val>
                  <c:numRef>
                    <c:extLst xmlns:c15="http://schemas.microsoft.com/office/drawing/2012/chart">
                      <c:ext xmlns:c15="http://schemas.microsoft.com/office/drawing/2012/chart" uri="{02D57815-91ED-43cb-92C2-25804820EDAC}">
                        <c15:formulaRef>
                          <c15:sqref>[2]Sheet3!$W$4:$W$23</c15:sqref>
                        </c15:formulaRef>
                      </c:ext>
                    </c:extLst>
                    <c:numCache>
                      <c:formatCode>General</c:formatCode>
                      <c:ptCount val="20"/>
                      <c:pt idx="0">
                        <c:v>9240000</c:v>
                      </c:pt>
                      <c:pt idx="1">
                        <c:v>9540000</c:v>
                      </c:pt>
                      <c:pt idx="2">
                        <c:v>9760000</c:v>
                      </c:pt>
                      <c:pt idx="3">
                        <c:v>9920000</c:v>
                      </c:pt>
                      <c:pt idx="4">
                        <c:v>10080000</c:v>
                      </c:pt>
                      <c:pt idx="5">
                        <c:v>10200000</c:v>
                      </c:pt>
                      <c:pt idx="6">
                        <c:v>10300000</c:v>
                      </c:pt>
                      <c:pt idx="7">
                        <c:v>10740000</c:v>
                      </c:pt>
                      <c:pt idx="8">
                        <c:v>10650000</c:v>
                      </c:pt>
                      <c:pt idx="9">
                        <c:v>10720000</c:v>
                      </c:pt>
                      <c:pt idx="10">
                        <c:v>10865000</c:v>
                      </c:pt>
                      <c:pt idx="11">
                        <c:v>11022000</c:v>
                      </c:pt>
                      <c:pt idx="12">
                        <c:v>11022000</c:v>
                      </c:pt>
                      <c:pt idx="13">
                        <c:v>11306000</c:v>
                      </c:pt>
                      <c:pt idx="14">
                        <c:v>11486000</c:v>
                      </c:pt>
                      <c:pt idx="15">
                        <c:v>12419000</c:v>
                      </c:pt>
                      <c:pt idx="16">
                        <c:v>12378000</c:v>
                      </c:pt>
                      <c:pt idx="17">
                        <c:v>12478000</c:v>
                      </c:pt>
                      <c:pt idx="18">
                        <c:v>12726000</c:v>
                      </c:pt>
                      <c:pt idx="19">
                        <c:v>12890000</c:v>
                      </c:pt>
                    </c:numCache>
                  </c:numRef>
                </c:val>
                <c:smooth val="0"/>
                <c:extLst xmlns:c15="http://schemas.microsoft.com/office/drawing/2012/chart">
                  <c:ext xmlns:c16="http://schemas.microsoft.com/office/drawing/2014/chart" uri="{C3380CC4-5D6E-409C-BE32-E72D297353CC}">
                    <c16:uniqueId val="{00000005-9AB1-42DC-A4FC-0FAA864D4A6D}"/>
                  </c:ext>
                </c:extLst>
              </c15:ser>
            </c15:filteredLineSeries>
          </c:ext>
        </c:extLst>
      </c:lineChart>
      <c:lineChart>
        <c:grouping val="standard"/>
        <c:varyColors val="0"/>
        <c:ser>
          <c:idx val="1"/>
          <c:order val="1"/>
          <c:tx>
            <c:strRef>
              <c:f>[2]Sheet3!$T$3</c:f>
              <c:strCache>
                <c:ptCount val="1"/>
                <c:pt idx="0">
                  <c:v>空置率</c:v>
                </c:pt>
              </c:strCache>
            </c:strRef>
          </c:tx>
          <c:spPr>
            <a:ln w="28575" cap="rnd">
              <a:solidFill>
                <a:schemeClr val="accent2"/>
              </a:solidFill>
              <a:round/>
            </a:ln>
            <a:effectLst/>
          </c:spPr>
          <c:marker>
            <c:symbol val="none"/>
          </c:marker>
          <c:cat>
            <c:numRef>
              <c:f>[2]Sheet3!$R$4:$R$23</c:f>
              <c:numCache>
                <c:formatCode>General</c:formatCode>
                <c:ptCount val="20"/>
                <c:pt idx="0">
                  <c:v>2016.1</c:v>
                </c:pt>
                <c:pt idx="1">
                  <c:v>2016.2</c:v>
                </c:pt>
                <c:pt idx="2">
                  <c:v>2016.3</c:v>
                </c:pt>
                <c:pt idx="3">
                  <c:v>2016.4</c:v>
                </c:pt>
                <c:pt idx="4">
                  <c:v>2017.1</c:v>
                </c:pt>
                <c:pt idx="5">
                  <c:v>2017.2</c:v>
                </c:pt>
                <c:pt idx="6">
                  <c:v>2017.3</c:v>
                </c:pt>
                <c:pt idx="7">
                  <c:v>2017.4</c:v>
                </c:pt>
                <c:pt idx="8">
                  <c:v>2018.1</c:v>
                </c:pt>
                <c:pt idx="9">
                  <c:v>2018.2</c:v>
                </c:pt>
                <c:pt idx="10">
                  <c:v>2018.3</c:v>
                </c:pt>
                <c:pt idx="11">
                  <c:v>2018.4</c:v>
                </c:pt>
                <c:pt idx="12">
                  <c:v>2019.1</c:v>
                </c:pt>
                <c:pt idx="13">
                  <c:v>2019.2</c:v>
                </c:pt>
                <c:pt idx="14">
                  <c:v>2019.3</c:v>
                </c:pt>
                <c:pt idx="15">
                  <c:v>2019.4</c:v>
                </c:pt>
                <c:pt idx="16">
                  <c:v>2020.1</c:v>
                </c:pt>
                <c:pt idx="17">
                  <c:v>2020.2</c:v>
                </c:pt>
                <c:pt idx="18">
                  <c:v>2020.3</c:v>
                </c:pt>
                <c:pt idx="19">
                  <c:v>2020.4</c:v>
                </c:pt>
              </c:numCache>
            </c:numRef>
          </c:cat>
          <c:val>
            <c:numRef>
              <c:f>[2]Sheet3!$T$4:$T$23</c:f>
              <c:numCache>
                <c:formatCode>General</c:formatCode>
                <c:ptCount val="20"/>
                <c:pt idx="0">
                  <c:v>3.9E-2</c:v>
                </c:pt>
                <c:pt idx="1">
                  <c:v>4.3999999999999997E-2</c:v>
                </c:pt>
                <c:pt idx="2">
                  <c:v>4.9000000000000002E-2</c:v>
                </c:pt>
                <c:pt idx="3">
                  <c:v>5.6000000000000001E-2</c:v>
                </c:pt>
                <c:pt idx="4">
                  <c:v>6.0999999999999999E-2</c:v>
                </c:pt>
                <c:pt idx="5">
                  <c:v>6.5000000000000002E-2</c:v>
                </c:pt>
                <c:pt idx="6">
                  <c:v>5.5E-2</c:v>
                </c:pt>
                <c:pt idx="7">
                  <c:v>7.5999999999999998E-2</c:v>
                </c:pt>
                <c:pt idx="8">
                  <c:v>6.8000000000000005E-2</c:v>
                </c:pt>
                <c:pt idx="9">
                  <c:v>5.8000000000000003E-2</c:v>
                </c:pt>
                <c:pt idx="10">
                  <c:v>6.5000000000000002E-2</c:v>
                </c:pt>
                <c:pt idx="11">
                  <c:v>7.0000000000000007E-2</c:v>
                </c:pt>
                <c:pt idx="12">
                  <c:v>6.9000000000000006E-2</c:v>
                </c:pt>
                <c:pt idx="13">
                  <c:v>8.5999999999999993E-2</c:v>
                </c:pt>
                <c:pt idx="14">
                  <c:v>9.1999999999999998E-2</c:v>
                </c:pt>
                <c:pt idx="15">
                  <c:v>0.127</c:v>
                </c:pt>
                <c:pt idx="16">
                  <c:v>0.13200000000000001</c:v>
                </c:pt>
                <c:pt idx="17">
                  <c:v>0.13600000000000001</c:v>
                </c:pt>
                <c:pt idx="18">
                  <c:v>0.15</c:v>
                </c:pt>
                <c:pt idx="19">
                  <c:v>0.158</c:v>
                </c:pt>
              </c:numCache>
            </c:numRef>
          </c:val>
          <c:smooth val="0"/>
          <c:extLst>
            <c:ext xmlns:c16="http://schemas.microsoft.com/office/drawing/2014/chart" uri="{C3380CC4-5D6E-409C-BE32-E72D297353CC}">
              <c16:uniqueId val="{00000003-9AB1-42DC-A4FC-0FAA864D4A6D}"/>
            </c:ext>
          </c:extLst>
        </c:ser>
        <c:dLbls>
          <c:showLegendKey val="0"/>
          <c:showVal val="0"/>
          <c:showCatName val="0"/>
          <c:showSerName val="0"/>
          <c:showPercent val="0"/>
          <c:showBubbleSize val="0"/>
        </c:dLbls>
        <c:marker val="1"/>
        <c:smooth val="0"/>
        <c:axId val="230464896"/>
        <c:axId val="230463360"/>
      </c:lineChart>
      <c:catAx>
        <c:axId val="230451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461824"/>
        <c:crosses val="autoZero"/>
        <c:auto val="1"/>
        <c:lblAlgn val="ctr"/>
        <c:lblOffset val="100"/>
        <c:noMultiLvlLbl val="0"/>
      </c:catAx>
      <c:valAx>
        <c:axId val="2304618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451840"/>
        <c:crosses val="autoZero"/>
        <c:crossBetween val="between"/>
      </c:valAx>
      <c:valAx>
        <c:axId val="230463360"/>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464896"/>
        <c:crosses val="max"/>
        <c:crossBetween val="between"/>
      </c:valAx>
      <c:catAx>
        <c:axId val="230464896"/>
        <c:scaling>
          <c:orientation val="minMax"/>
        </c:scaling>
        <c:delete val="1"/>
        <c:axPos val="b"/>
        <c:numFmt formatCode="General" sourceLinked="1"/>
        <c:majorTickMark val="out"/>
        <c:minorTickMark val="none"/>
        <c:tickLblPos val="nextTo"/>
        <c:crossAx val="2304633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戴德五大核心圈甲级及以上办公楼市场分析</a:t>
            </a:r>
          </a:p>
        </c:rich>
      </c:tx>
      <c:layout>
        <c:manualLayout>
          <c:xMode val="edge"/>
          <c:yMode val="edge"/>
          <c:x val="0.28512396694214875"/>
          <c:y val="3.2407407407407406E-2"/>
        </c:manualLayout>
      </c:layout>
      <c:overlay val="0"/>
      <c:spPr>
        <a:noFill/>
        <a:ln>
          <a:noFill/>
        </a:ln>
        <a:effectLst/>
      </c:spPr>
    </c:title>
    <c:autoTitleDeleted val="0"/>
    <c:plotArea>
      <c:layout/>
      <c:barChart>
        <c:barDir val="col"/>
        <c:grouping val="clustered"/>
        <c:varyColors val="0"/>
        <c:ser>
          <c:idx val="4"/>
          <c:order val="4"/>
          <c:tx>
            <c:strRef>
              <c:f>市场走势!$G$52</c:f>
              <c:strCache>
                <c:ptCount val="1"/>
                <c:pt idx="0">
                  <c:v>库存（万㎡）</c:v>
                </c:pt>
              </c:strCache>
            </c:strRef>
          </c:tx>
          <c:invertIfNegative val="0"/>
          <c:cat>
            <c:strRef>
              <c:extLst>
                <c:ext xmlns:c15="http://schemas.microsoft.com/office/drawing/2012/chart" uri="{02D57815-91ED-43cb-92C2-25804820EDAC}">
                  <c15:fullRef>
                    <c15:sqref>市场走势!$B$53:$B$72</c15:sqref>
                  </c15:fullRef>
                </c:ext>
              </c:extLst>
              <c:f>市场走势!$B$54:$B$72</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市场走势!$G$53:$G$72</c15:sqref>
                  </c15:fullRef>
                </c:ext>
              </c:extLst>
              <c:f>市场走势!$G$54:$G$72</c:f>
              <c:numCache>
                <c:formatCode>General</c:formatCode>
                <c:ptCount val="19"/>
                <c:pt idx="0">
                  <c:v>726.34</c:v>
                </c:pt>
                <c:pt idx="1">
                  <c:v>738.04</c:v>
                </c:pt>
                <c:pt idx="2">
                  <c:v>753.04</c:v>
                </c:pt>
                <c:pt idx="3">
                  <c:v>768.7</c:v>
                </c:pt>
                <c:pt idx="4">
                  <c:v>768.64</c:v>
                </c:pt>
                <c:pt idx="5">
                  <c:v>768.64</c:v>
                </c:pt>
                <c:pt idx="6">
                  <c:v>768.64</c:v>
                </c:pt>
                <c:pt idx="7">
                  <c:v>768.64</c:v>
                </c:pt>
                <c:pt idx="8">
                  <c:v>768.64</c:v>
                </c:pt>
                <c:pt idx="9">
                  <c:v>786.3</c:v>
                </c:pt>
                <c:pt idx="10">
                  <c:v>786.24</c:v>
                </c:pt>
                <c:pt idx="11">
                  <c:v>786.24</c:v>
                </c:pt>
                <c:pt idx="12">
                  <c:v>761.26</c:v>
                </c:pt>
                <c:pt idx="13">
                  <c:v>761.26</c:v>
                </c:pt>
                <c:pt idx="14">
                  <c:v>787.26</c:v>
                </c:pt>
                <c:pt idx="15">
                  <c:v>787.26</c:v>
                </c:pt>
                <c:pt idx="16">
                  <c:v>809.6</c:v>
                </c:pt>
                <c:pt idx="17">
                  <c:v>821.6</c:v>
                </c:pt>
                <c:pt idx="18">
                  <c:v>822.09</c:v>
                </c:pt>
              </c:numCache>
            </c:numRef>
          </c:val>
          <c:extLst>
            <c:ext xmlns:c16="http://schemas.microsoft.com/office/drawing/2014/chart" uri="{C3380CC4-5D6E-409C-BE32-E72D297353CC}">
              <c16:uniqueId val="{00000000-06BD-4304-A119-7EAA210757F3}"/>
            </c:ext>
          </c:extLst>
        </c:ser>
        <c:dLbls>
          <c:showLegendKey val="0"/>
          <c:showVal val="0"/>
          <c:showCatName val="0"/>
          <c:showSerName val="0"/>
          <c:showPercent val="0"/>
          <c:showBubbleSize val="0"/>
        </c:dLbls>
        <c:gapWidth val="150"/>
        <c:axId val="230910592"/>
        <c:axId val="230916480"/>
      </c:barChart>
      <c:lineChart>
        <c:grouping val="standard"/>
        <c:varyColors val="0"/>
        <c:ser>
          <c:idx val="0"/>
          <c:order val="0"/>
          <c:tx>
            <c:strRef>
              <c:f>市场走势!$C$52</c:f>
              <c:strCache>
                <c:ptCount val="1"/>
                <c:pt idx="0">
                  <c:v>平均有效租金</c:v>
                </c:pt>
              </c:strCache>
            </c:strRef>
          </c:tx>
          <c:spPr>
            <a:effectLst/>
          </c:spPr>
          <c:marker>
            <c:symbol val="none"/>
          </c:marker>
          <c:cat>
            <c:strRef>
              <c:extLst>
                <c:ext xmlns:c15="http://schemas.microsoft.com/office/drawing/2012/chart" uri="{02D57815-91ED-43cb-92C2-25804820EDAC}">
                  <c15:fullRef>
                    <c15:sqref>市场走势!$B$53:$B$72</c15:sqref>
                  </c15:fullRef>
                </c:ext>
              </c:extLst>
              <c:f>市场走势!$B$54:$B$72</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市场走势!$C$53:$C$72</c15:sqref>
                  </c15:fullRef>
                </c:ext>
              </c:extLst>
              <c:f>市场走势!$C$54:$C$72</c:f>
              <c:numCache>
                <c:formatCode>General</c:formatCode>
                <c:ptCount val="19"/>
                <c:pt idx="0">
                  <c:v>397.6</c:v>
                </c:pt>
                <c:pt idx="1">
                  <c:v>403.2</c:v>
                </c:pt>
                <c:pt idx="2">
                  <c:v>409.5</c:v>
                </c:pt>
                <c:pt idx="3">
                  <c:v>420.65</c:v>
                </c:pt>
                <c:pt idx="4">
                  <c:v>415.4</c:v>
                </c:pt>
                <c:pt idx="5">
                  <c:v>413.7</c:v>
                </c:pt>
                <c:pt idx="6">
                  <c:v>422.7</c:v>
                </c:pt>
                <c:pt idx="7">
                  <c:v>427.4</c:v>
                </c:pt>
                <c:pt idx="8">
                  <c:v>430.2</c:v>
                </c:pt>
                <c:pt idx="9">
                  <c:v>457.2</c:v>
                </c:pt>
                <c:pt idx="10">
                  <c:v>439.96</c:v>
                </c:pt>
                <c:pt idx="11">
                  <c:v>438.88</c:v>
                </c:pt>
                <c:pt idx="12">
                  <c:v>436.62</c:v>
                </c:pt>
                <c:pt idx="13">
                  <c:v>433.64</c:v>
                </c:pt>
                <c:pt idx="14">
                  <c:v>427.97</c:v>
                </c:pt>
                <c:pt idx="15">
                  <c:v>423.66</c:v>
                </c:pt>
                <c:pt idx="16">
                  <c:v>404.79</c:v>
                </c:pt>
                <c:pt idx="17">
                  <c:v>393.19</c:v>
                </c:pt>
                <c:pt idx="18">
                  <c:v>387.27</c:v>
                </c:pt>
              </c:numCache>
            </c:numRef>
          </c:val>
          <c:smooth val="0"/>
          <c:extLst>
            <c:ext xmlns:c16="http://schemas.microsoft.com/office/drawing/2014/chart" uri="{C3380CC4-5D6E-409C-BE32-E72D297353CC}">
              <c16:uniqueId val="{00000001-06BD-4304-A119-7EAA210757F3}"/>
            </c:ext>
          </c:extLst>
        </c:ser>
        <c:dLbls>
          <c:showLegendKey val="0"/>
          <c:showVal val="0"/>
          <c:showCatName val="0"/>
          <c:showSerName val="0"/>
          <c:showPercent val="0"/>
          <c:showBubbleSize val="0"/>
        </c:dLbls>
        <c:marker val="1"/>
        <c:smooth val="0"/>
        <c:axId val="230910592"/>
        <c:axId val="230916480"/>
      </c:lineChart>
      <c:lineChart>
        <c:grouping val="standard"/>
        <c:varyColors val="0"/>
        <c:ser>
          <c:idx val="1"/>
          <c:order val="1"/>
          <c:tx>
            <c:strRef>
              <c:f>市场走势!$D$52</c:f>
              <c:strCache>
                <c:ptCount val="1"/>
                <c:pt idx="0">
                  <c:v>空置率</c:v>
                </c:pt>
              </c:strCache>
            </c:strRef>
          </c:tx>
          <c:spPr>
            <a:ln w="28575" cap="rnd">
              <a:solidFill>
                <a:schemeClr val="accent2"/>
              </a:solidFill>
              <a:round/>
            </a:ln>
            <a:effectLst/>
          </c:spPr>
          <c:marker>
            <c:symbol val="none"/>
          </c:marker>
          <c:cat>
            <c:strRef>
              <c:extLst>
                <c:ext xmlns:c15="http://schemas.microsoft.com/office/drawing/2012/chart" uri="{02D57815-91ED-43cb-92C2-25804820EDAC}">
                  <c15:fullRef>
                    <c15:sqref>市场走势!$B$53:$B$72</c15:sqref>
                  </c15:fullRef>
                </c:ext>
              </c:extLst>
              <c:f>市场走势!$B$54:$B$72</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市场走势!$D$53:$D$72</c15:sqref>
                  </c15:fullRef>
                </c:ext>
              </c:extLst>
              <c:f>市场走势!$D$54:$D$72</c:f>
              <c:numCache>
                <c:formatCode>0.00%</c:formatCode>
                <c:ptCount val="19"/>
                <c:pt idx="0">
                  <c:v>4.3999999999999997E-2</c:v>
                </c:pt>
                <c:pt idx="1">
                  <c:v>4.4999999999999998E-2</c:v>
                </c:pt>
                <c:pt idx="2">
                  <c:v>0.05</c:v>
                </c:pt>
                <c:pt idx="3">
                  <c:v>5.5E-2</c:v>
                </c:pt>
                <c:pt idx="4">
                  <c:v>4.3999999999999997E-2</c:v>
                </c:pt>
                <c:pt idx="5">
                  <c:v>4.4999999999999998E-2</c:v>
                </c:pt>
                <c:pt idx="6">
                  <c:v>3.5000000000000003E-2</c:v>
                </c:pt>
                <c:pt idx="7">
                  <c:v>2.9000000000000001E-2</c:v>
                </c:pt>
                <c:pt idx="8">
                  <c:v>3.1E-2</c:v>
                </c:pt>
                <c:pt idx="9">
                  <c:v>3.4000000000000002E-2</c:v>
                </c:pt>
                <c:pt idx="10">
                  <c:v>3.7999999999999999E-2</c:v>
                </c:pt>
                <c:pt idx="11">
                  <c:v>4.3200000000000002E-2</c:v>
                </c:pt>
                <c:pt idx="12">
                  <c:v>5.6000000000000001E-2</c:v>
                </c:pt>
                <c:pt idx="13">
                  <c:v>5.57E-2</c:v>
                </c:pt>
                <c:pt idx="14">
                  <c:v>7.5999999999999998E-2</c:v>
                </c:pt>
                <c:pt idx="15">
                  <c:v>0.08</c:v>
                </c:pt>
                <c:pt idx="16">
                  <c:v>9.9000000000000005E-2</c:v>
                </c:pt>
                <c:pt idx="17">
                  <c:v>0.112</c:v>
                </c:pt>
                <c:pt idx="18">
                  <c:v>0.108</c:v>
                </c:pt>
              </c:numCache>
            </c:numRef>
          </c:val>
          <c:smooth val="0"/>
          <c:extLst>
            <c:ext xmlns:c16="http://schemas.microsoft.com/office/drawing/2014/chart" uri="{C3380CC4-5D6E-409C-BE32-E72D297353CC}">
              <c16:uniqueId val="{00000002-06BD-4304-A119-7EAA210757F3}"/>
            </c:ext>
          </c:extLst>
        </c:ser>
        <c:dLbls>
          <c:showLegendKey val="0"/>
          <c:showVal val="0"/>
          <c:showCatName val="0"/>
          <c:showSerName val="0"/>
          <c:showPercent val="0"/>
          <c:showBubbleSize val="0"/>
        </c:dLbls>
        <c:marker val="1"/>
        <c:smooth val="0"/>
        <c:axId val="230919552"/>
        <c:axId val="230918016"/>
        <c:extLst>
          <c:ext xmlns:c15="http://schemas.microsoft.com/office/drawing/2012/chart" uri="{02D57815-91ED-43cb-92C2-25804820EDAC}">
            <c15:filteredLineSeries>
              <c15:ser>
                <c:idx val="2"/>
                <c:order val="2"/>
                <c:tx>
                  <c:strRef>
                    <c:extLst>
                      <c:ext uri="{02D57815-91ED-43cb-92C2-25804820EDAC}">
                        <c15:formulaRef>
                          <c15:sqref>市场走势!$E$52</c15:sqref>
                        </c15:formulaRef>
                      </c:ext>
                    </c:extLst>
                    <c:strCache>
                      <c:ptCount val="1"/>
                      <c:pt idx="0">
                        <c:v>租金增长率</c:v>
                      </c:pt>
                    </c:strCache>
                  </c:strRef>
                </c:tx>
                <c:marker>
                  <c:symbol val="none"/>
                </c:marker>
                <c:cat>
                  <c:strRef>
                    <c:extLst>
                      <c:ext uri="{02D57815-91ED-43cb-92C2-25804820EDAC}">
                        <c15:fullRef>
                          <c15:sqref>市场走势!$B$53:$B$72</c15:sqref>
                        </c15:fullRef>
                        <c15:formulaRef>
                          <c15:sqref>市场走势!$B$54:$B$72</c15:sqref>
                        </c15:formulaRef>
                      </c:ext>
                    </c:extLst>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uri="{02D57815-91ED-43cb-92C2-25804820EDAC}">
                        <c15:fullRef>
                          <c15:sqref>市场走势!$E$53:$E$72</c15:sqref>
                        </c15:fullRef>
                        <c15:formulaRef>
                          <c15:sqref>市场走势!$E$54:$E$72</c15:sqref>
                        </c15:formulaRef>
                      </c:ext>
                    </c:extLst>
                    <c:numCache>
                      <c:formatCode>0.00%</c:formatCode>
                      <c:ptCount val="19"/>
                      <c:pt idx="1">
                        <c:v>1.4084507042253435E-2</c:v>
                      </c:pt>
                      <c:pt idx="2">
                        <c:v>1.5625000000000028E-2</c:v>
                      </c:pt>
                      <c:pt idx="3">
                        <c:v>2.7228327228327173E-2</c:v>
                      </c:pt>
                      <c:pt idx="4">
                        <c:v>-1.2480684654701058E-2</c:v>
                      </c:pt>
                      <c:pt idx="5">
                        <c:v>-4.0924410207029095E-3</c:v>
                      </c:pt>
                      <c:pt idx="6">
                        <c:v>2.1754894851341553E-2</c:v>
                      </c:pt>
                      <c:pt idx="7">
                        <c:v>1.1118996924532739E-2</c:v>
                      </c:pt>
                      <c:pt idx="8">
                        <c:v>6.5512400561535131E-3</c:v>
                      </c:pt>
                      <c:pt idx="9">
                        <c:v>6.2761506276150625E-2</c:v>
                      </c:pt>
                      <c:pt idx="10">
                        <c:v>-3.7707786526684182E-2</c:v>
                      </c:pt>
                      <c:pt idx="11">
                        <c:v>-2.45476861532863E-3</c:v>
                      </c:pt>
                      <c:pt idx="12">
                        <c:v>-5.1494713816988488E-3</c:v>
                      </c:pt>
                      <c:pt idx="13">
                        <c:v>-6.8251568869955983E-3</c:v>
                      </c:pt>
                      <c:pt idx="14">
                        <c:v>-1.3075362051471173E-2</c:v>
                      </c:pt>
                      <c:pt idx="15">
                        <c:v>-1.0070799355094988E-2</c:v>
                      </c:pt>
                      <c:pt idx="16">
                        <c:v>-4.4540433366378709E-2</c:v>
                      </c:pt>
                      <c:pt idx="17">
                        <c:v>-2.8656834407964678E-2</c:v>
                      </c:pt>
                      <c:pt idx="18">
                        <c:v>-1.5056334087845612E-2</c:v>
                      </c:pt>
                    </c:numCache>
                  </c:numRef>
                </c:val>
                <c:smooth val="0"/>
                <c:extLst>
                  <c:ext xmlns:c16="http://schemas.microsoft.com/office/drawing/2014/chart" uri="{C3380CC4-5D6E-409C-BE32-E72D297353CC}">
                    <c16:uniqueId val="{00000003-06BD-4304-A119-7EAA210757F3}"/>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市场走势!$F$52</c15:sqref>
                        </c15:formulaRef>
                      </c:ext>
                    </c:extLst>
                    <c:strCache>
                      <c:ptCount val="1"/>
                      <c:pt idx="0">
                        <c:v>新增供应</c:v>
                      </c:pt>
                    </c:strCache>
                  </c:strRef>
                </c:tx>
                <c:marker>
                  <c:symbol val="none"/>
                </c:marker>
                <c:cat>
                  <c:strRef>
                    <c:extLst>
                      <c:ext xmlns:c15="http://schemas.microsoft.com/office/drawing/2012/chart" uri="{02D57815-91ED-43cb-92C2-25804820EDAC}">
                        <c15:fullRef>
                          <c15:sqref>市场走势!$B$53:$B$72</c15:sqref>
                        </c15:fullRef>
                        <c15:formulaRef>
                          <c15:sqref>市场走势!$B$54:$B$72</c15:sqref>
                        </c15:formulaRef>
                      </c:ext>
                    </c:extLst>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市场走势!$F$53:$F$72</c15:sqref>
                        </c15:fullRef>
                        <c15:formulaRef>
                          <c15:sqref>市场走势!$F$54:$F$72</c15:sqref>
                        </c15:formulaRef>
                      </c:ext>
                    </c:extLst>
                    <c:numCache>
                      <c:formatCode>General</c:formatCode>
                      <c:ptCount val="19"/>
                      <c:pt idx="1">
                        <c:v>11.699999999999932</c:v>
                      </c:pt>
                      <c:pt idx="2">
                        <c:v>15</c:v>
                      </c:pt>
                      <c:pt idx="3">
                        <c:v>15.660000000000082</c:v>
                      </c:pt>
                      <c:pt idx="4">
                        <c:v>-6.0000000000059117E-2</c:v>
                      </c:pt>
                      <c:pt idx="5">
                        <c:v>0</c:v>
                      </c:pt>
                      <c:pt idx="6">
                        <c:v>0</c:v>
                      </c:pt>
                      <c:pt idx="7">
                        <c:v>0</c:v>
                      </c:pt>
                      <c:pt idx="8">
                        <c:v>0</c:v>
                      </c:pt>
                      <c:pt idx="9">
                        <c:v>17.659999999999968</c:v>
                      </c:pt>
                      <c:pt idx="10">
                        <c:v>-5.999999999994543E-2</c:v>
                      </c:pt>
                      <c:pt idx="11">
                        <c:v>0</c:v>
                      </c:pt>
                      <c:pt idx="12">
                        <c:v>-24.980000000000018</c:v>
                      </c:pt>
                      <c:pt idx="13">
                        <c:v>0</c:v>
                      </c:pt>
                      <c:pt idx="14">
                        <c:v>26</c:v>
                      </c:pt>
                      <c:pt idx="15">
                        <c:v>0</c:v>
                      </c:pt>
                      <c:pt idx="16">
                        <c:v>22.340000000000032</c:v>
                      </c:pt>
                      <c:pt idx="17">
                        <c:v>12</c:v>
                      </c:pt>
                      <c:pt idx="18">
                        <c:v>0.49000000000000909</c:v>
                      </c:pt>
                    </c:numCache>
                  </c:numRef>
                </c:val>
                <c:smooth val="0"/>
                <c:extLst xmlns:c15="http://schemas.microsoft.com/office/drawing/2012/chart">
                  <c:ext xmlns:c16="http://schemas.microsoft.com/office/drawing/2014/chart" uri="{C3380CC4-5D6E-409C-BE32-E72D297353CC}">
                    <c16:uniqueId val="{00000004-06BD-4304-A119-7EAA210757F3}"/>
                  </c:ext>
                </c:extLst>
              </c15:ser>
            </c15:filteredLineSeries>
          </c:ext>
        </c:extLst>
      </c:lineChart>
      <c:catAx>
        <c:axId val="230910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916480"/>
        <c:crosses val="autoZero"/>
        <c:auto val="1"/>
        <c:lblAlgn val="ctr"/>
        <c:lblOffset val="100"/>
        <c:noMultiLvlLbl val="0"/>
      </c:catAx>
      <c:valAx>
        <c:axId val="2309164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910592"/>
        <c:crosses val="autoZero"/>
        <c:crossBetween val="between"/>
      </c:valAx>
      <c:valAx>
        <c:axId val="230918016"/>
        <c:scaling>
          <c:orientation val="minMax"/>
          <c:max val="0.2"/>
        </c:scaling>
        <c:delete val="0"/>
        <c:axPos val="r"/>
        <c:minorGridlines>
          <c:spPr>
            <a:ln>
              <a:noFill/>
            </a:ln>
          </c:spPr>
        </c:minorGridlines>
        <c:numFmt formatCode="0.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919552"/>
        <c:crosses val="max"/>
        <c:crossBetween val="between"/>
      </c:valAx>
      <c:catAx>
        <c:axId val="230919552"/>
        <c:scaling>
          <c:orientation val="minMax"/>
        </c:scaling>
        <c:delete val="1"/>
        <c:axPos val="b"/>
        <c:numFmt formatCode="General" sourceLinked="1"/>
        <c:majorTickMark val="out"/>
        <c:minorTickMark val="none"/>
        <c:tickLblPos val="nextTo"/>
        <c:crossAx val="230918016"/>
        <c:crosses val="autoZero"/>
        <c:auto val="1"/>
        <c:lblAlgn val="ctr"/>
        <c:lblOffset val="100"/>
        <c:noMultiLvlLbl val="0"/>
      </c:catAx>
      <c:spPr>
        <a:noFill/>
        <a:ln>
          <a:noFill/>
        </a:ln>
        <a:effectLst/>
      </c:spPr>
    </c:plotArea>
    <c:legend>
      <c:legendPos val="b"/>
      <c:layout>
        <c:manualLayout>
          <c:xMode val="edge"/>
          <c:yMode val="edge"/>
          <c:x val="9.0099009900990096E-2"/>
          <c:y val="0.88946704578594338"/>
          <c:w val="0.81980198019801975"/>
          <c:h val="7.812554680664916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戴德东二环甲级及以上办公楼市场分析</a:t>
            </a:r>
          </a:p>
        </c:rich>
      </c:tx>
      <c:layout>
        <c:manualLayout>
          <c:xMode val="edge"/>
          <c:yMode val="edge"/>
          <c:x val="0.28512396694214875"/>
          <c:y val="3.2407407407407406E-2"/>
        </c:manualLayout>
      </c:layout>
      <c:overlay val="0"/>
      <c:spPr>
        <a:noFill/>
        <a:ln>
          <a:noFill/>
        </a:ln>
        <a:effectLst/>
      </c:spPr>
    </c:title>
    <c:autoTitleDeleted val="0"/>
    <c:plotArea>
      <c:layout/>
      <c:barChart>
        <c:barDir val="col"/>
        <c:grouping val="clustered"/>
        <c:varyColors val="0"/>
        <c:ser>
          <c:idx val="4"/>
          <c:order val="4"/>
          <c:tx>
            <c:strRef>
              <c:f>市场走势!$G$28</c:f>
              <c:strCache>
                <c:ptCount val="1"/>
                <c:pt idx="0">
                  <c:v>库存（万㎡）</c:v>
                </c:pt>
              </c:strCache>
            </c:strRef>
          </c:tx>
          <c:invertIfNegative val="0"/>
          <c:cat>
            <c:strRef>
              <c:extLst>
                <c:ext xmlns:c15="http://schemas.microsoft.com/office/drawing/2012/chart" uri="{02D57815-91ED-43cb-92C2-25804820EDAC}">
                  <c15:fullRef>
                    <c15:sqref>市场走势!$B$29:$B$48</c15:sqref>
                  </c15:fullRef>
                </c:ext>
              </c:extLst>
              <c:f>市场走势!$B$30:$B$48</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市场走势!$G$29:$G$48</c15:sqref>
                  </c15:fullRef>
                </c:ext>
              </c:extLst>
              <c:f>市场走势!$G$30:$G$48</c:f>
              <c:numCache>
                <c:formatCode>General</c:formatCode>
                <c:ptCount val="19"/>
                <c:pt idx="0">
                  <c:v>108.27</c:v>
                </c:pt>
                <c:pt idx="1">
                  <c:v>113.07</c:v>
                </c:pt>
                <c:pt idx="2">
                  <c:v>113.07</c:v>
                </c:pt>
                <c:pt idx="3">
                  <c:v>113.07</c:v>
                </c:pt>
                <c:pt idx="4">
                  <c:v>113.07</c:v>
                </c:pt>
                <c:pt idx="5">
                  <c:v>113.07</c:v>
                </c:pt>
                <c:pt idx="6">
                  <c:v>113.07</c:v>
                </c:pt>
                <c:pt idx="7">
                  <c:v>113.07</c:v>
                </c:pt>
                <c:pt idx="8">
                  <c:v>113.07</c:v>
                </c:pt>
                <c:pt idx="9">
                  <c:v>117.7</c:v>
                </c:pt>
                <c:pt idx="10">
                  <c:v>117.7</c:v>
                </c:pt>
                <c:pt idx="11">
                  <c:v>117.6</c:v>
                </c:pt>
                <c:pt idx="12">
                  <c:v>123.17</c:v>
                </c:pt>
                <c:pt idx="13">
                  <c:v>123.17</c:v>
                </c:pt>
                <c:pt idx="14">
                  <c:v>123.17</c:v>
                </c:pt>
                <c:pt idx="15">
                  <c:v>123.17</c:v>
                </c:pt>
                <c:pt idx="16">
                  <c:v>123.17</c:v>
                </c:pt>
                <c:pt idx="17">
                  <c:v>135.16999999999999</c:v>
                </c:pt>
                <c:pt idx="18">
                  <c:v>135.16999999999999</c:v>
                </c:pt>
              </c:numCache>
            </c:numRef>
          </c:val>
          <c:extLst>
            <c:ext xmlns:c16="http://schemas.microsoft.com/office/drawing/2014/chart" uri="{C3380CC4-5D6E-409C-BE32-E72D297353CC}">
              <c16:uniqueId val="{00000000-27E1-4A22-A561-2028BC1AEC22}"/>
            </c:ext>
          </c:extLst>
        </c:ser>
        <c:dLbls>
          <c:showLegendKey val="0"/>
          <c:showVal val="0"/>
          <c:showCatName val="0"/>
          <c:showSerName val="0"/>
          <c:showPercent val="0"/>
          <c:showBubbleSize val="0"/>
        </c:dLbls>
        <c:gapWidth val="150"/>
        <c:axId val="230627968"/>
        <c:axId val="230633856"/>
      </c:barChart>
      <c:lineChart>
        <c:grouping val="standard"/>
        <c:varyColors val="0"/>
        <c:ser>
          <c:idx val="0"/>
          <c:order val="0"/>
          <c:tx>
            <c:strRef>
              <c:f>市场走势!$C$28</c:f>
              <c:strCache>
                <c:ptCount val="1"/>
                <c:pt idx="0">
                  <c:v>平均有效租金</c:v>
                </c:pt>
              </c:strCache>
            </c:strRef>
          </c:tx>
          <c:spPr>
            <a:effectLst/>
          </c:spPr>
          <c:marker>
            <c:symbol val="none"/>
          </c:marker>
          <c:cat>
            <c:strRef>
              <c:extLst>
                <c:ext xmlns:c15="http://schemas.microsoft.com/office/drawing/2012/chart" uri="{02D57815-91ED-43cb-92C2-25804820EDAC}">
                  <c15:fullRef>
                    <c15:sqref>市场走势!$B$29:$B$48</c15:sqref>
                  </c15:fullRef>
                </c:ext>
              </c:extLst>
              <c:f>市场走势!$B$30:$B$48</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市场走势!$C$29:$C$48</c15:sqref>
                  </c15:fullRef>
                </c:ext>
              </c:extLst>
              <c:f>市场走势!$C$30:$C$48</c:f>
              <c:numCache>
                <c:formatCode>General</c:formatCode>
                <c:ptCount val="19"/>
                <c:pt idx="0">
                  <c:v>334.2</c:v>
                </c:pt>
                <c:pt idx="1">
                  <c:v>350.8</c:v>
                </c:pt>
                <c:pt idx="2">
                  <c:v>344.9</c:v>
                </c:pt>
                <c:pt idx="3">
                  <c:v>343.4</c:v>
                </c:pt>
                <c:pt idx="4">
                  <c:v>348.5</c:v>
                </c:pt>
                <c:pt idx="5">
                  <c:v>351.2</c:v>
                </c:pt>
                <c:pt idx="6">
                  <c:v>353.1</c:v>
                </c:pt>
                <c:pt idx="7">
                  <c:v>357.6</c:v>
                </c:pt>
                <c:pt idx="8">
                  <c:v>359.2</c:v>
                </c:pt>
                <c:pt idx="9">
                  <c:v>369.6</c:v>
                </c:pt>
                <c:pt idx="10">
                  <c:v>364.1</c:v>
                </c:pt>
                <c:pt idx="11">
                  <c:v>361.93</c:v>
                </c:pt>
                <c:pt idx="12">
                  <c:v>350.81</c:v>
                </c:pt>
                <c:pt idx="13">
                  <c:v>347.43</c:v>
                </c:pt>
                <c:pt idx="14">
                  <c:v>343.19</c:v>
                </c:pt>
                <c:pt idx="15">
                  <c:v>342.62</c:v>
                </c:pt>
                <c:pt idx="16">
                  <c:v>335.36</c:v>
                </c:pt>
                <c:pt idx="17">
                  <c:v>332.2</c:v>
                </c:pt>
                <c:pt idx="18">
                  <c:v>327.98</c:v>
                </c:pt>
              </c:numCache>
            </c:numRef>
          </c:val>
          <c:smooth val="0"/>
          <c:extLst>
            <c:ext xmlns:c16="http://schemas.microsoft.com/office/drawing/2014/chart" uri="{C3380CC4-5D6E-409C-BE32-E72D297353CC}">
              <c16:uniqueId val="{00000001-27E1-4A22-A561-2028BC1AEC22}"/>
            </c:ext>
          </c:extLst>
        </c:ser>
        <c:dLbls>
          <c:showLegendKey val="0"/>
          <c:showVal val="0"/>
          <c:showCatName val="0"/>
          <c:showSerName val="0"/>
          <c:showPercent val="0"/>
          <c:showBubbleSize val="0"/>
        </c:dLbls>
        <c:marker val="1"/>
        <c:smooth val="0"/>
        <c:axId val="230627968"/>
        <c:axId val="230633856"/>
      </c:lineChart>
      <c:lineChart>
        <c:grouping val="standard"/>
        <c:varyColors val="0"/>
        <c:ser>
          <c:idx val="1"/>
          <c:order val="1"/>
          <c:tx>
            <c:strRef>
              <c:f>市场走势!$D$28</c:f>
              <c:strCache>
                <c:ptCount val="1"/>
                <c:pt idx="0">
                  <c:v>空置率</c:v>
                </c:pt>
              </c:strCache>
            </c:strRef>
          </c:tx>
          <c:spPr>
            <a:ln w="28575" cap="rnd">
              <a:solidFill>
                <a:schemeClr val="accent2"/>
              </a:solidFill>
              <a:round/>
            </a:ln>
            <a:effectLst/>
          </c:spPr>
          <c:marker>
            <c:symbol val="none"/>
          </c:marker>
          <c:cat>
            <c:strRef>
              <c:extLst>
                <c:ext xmlns:c15="http://schemas.microsoft.com/office/drawing/2012/chart" uri="{02D57815-91ED-43cb-92C2-25804820EDAC}">
                  <c15:fullRef>
                    <c15:sqref>市场走势!$B$29:$B$48</c15:sqref>
                  </c15:fullRef>
                </c:ext>
              </c:extLst>
              <c:f>市场走势!$B$30:$B$48</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市场走势!$D$29:$D$48</c15:sqref>
                  </c15:fullRef>
                </c:ext>
              </c:extLst>
              <c:f>市场走势!$D$30:$D$48</c:f>
              <c:numCache>
                <c:formatCode>0.00%</c:formatCode>
                <c:ptCount val="19"/>
                <c:pt idx="0">
                  <c:v>2.9000000000000001E-2</c:v>
                </c:pt>
                <c:pt idx="1">
                  <c:v>0.06</c:v>
                </c:pt>
                <c:pt idx="2">
                  <c:v>3.4000000000000002E-2</c:v>
                </c:pt>
                <c:pt idx="3">
                  <c:v>0.03</c:v>
                </c:pt>
                <c:pt idx="4">
                  <c:v>3.5000000000000003E-2</c:v>
                </c:pt>
                <c:pt idx="5">
                  <c:v>4.8000000000000001E-2</c:v>
                </c:pt>
                <c:pt idx="6">
                  <c:v>3.3000000000000002E-2</c:v>
                </c:pt>
                <c:pt idx="7">
                  <c:v>3.5000000000000003E-2</c:v>
                </c:pt>
                <c:pt idx="8">
                  <c:v>7.1999999999999995E-2</c:v>
                </c:pt>
                <c:pt idx="9">
                  <c:v>6.2E-2</c:v>
                </c:pt>
                <c:pt idx="10">
                  <c:v>5.8000000000000003E-2</c:v>
                </c:pt>
                <c:pt idx="11">
                  <c:v>4.9700000000000001E-2</c:v>
                </c:pt>
                <c:pt idx="12">
                  <c:v>6.2E-2</c:v>
                </c:pt>
                <c:pt idx="13">
                  <c:v>5.6000000000000001E-2</c:v>
                </c:pt>
                <c:pt idx="14">
                  <c:v>5.3999999999999999E-2</c:v>
                </c:pt>
                <c:pt idx="15">
                  <c:v>6.3E-2</c:v>
                </c:pt>
                <c:pt idx="16">
                  <c:v>6.8000000000000005E-2</c:v>
                </c:pt>
                <c:pt idx="17">
                  <c:v>0.157</c:v>
                </c:pt>
                <c:pt idx="18">
                  <c:v>0.13300000000000001</c:v>
                </c:pt>
              </c:numCache>
            </c:numRef>
          </c:val>
          <c:smooth val="0"/>
          <c:extLst>
            <c:ext xmlns:c16="http://schemas.microsoft.com/office/drawing/2014/chart" uri="{C3380CC4-5D6E-409C-BE32-E72D297353CC}">
              <c16:uniqueId val="{00000002-27E1-4A22-A561-2028BC1AEC22}"/>
            </c:ext>
          </c:extLst>
        </c:ser>
        <c:dLbls>
          <c:showLegendKey val="0"/>
          <c:showVal val="0"/>
          <c:showCatName val="0"/>
          <c:showSerName val="0"/>
          <c:showPercent val="0"/>
          <c:showBubbleSize val="0"/>
        </c:dLbls>
        <c:marker val="1"/>
        <c:smooth val="0"/>
        <c:axId val="230636928"/>
        <c:axId val="230635392"/>
        <c:extLst>
          <c:ext xmlns:c15="http://schemas.microsoft.com/office/drawing/2012/chart" uri="{02D57815-91ED-43cb-92C2-25804820EDAC}">
            <c15:filteredLineSeries>
              <c15:ser>
                <c:idx val="2"/>
                <c:order val="2"/>
                <c:tx>
                  <c:strRef>
                    <c:extLst>
                      <c:ext uri="{02D57815-91ED-43cb-92C2-25804820EDAC}">
                        <c15:formulaRef>
                          <c15:sqref>市场走势!$E$28</c15:sqref>
                        </c15:formulaRef>
                      </c:ext>
                    </c:extLst>
                    <c:strCache>
                      <c:ptCount val="1"/>
                      <c:pt idx="0">
                        <c:v>租金增长率</c:v>
                      </c:pt>
                    </c:strCache>
                  </c:strRef>
                </c:tx>
                <c:marker>
                  <c:symbol val="none"/>
                </c:marker>
                <c:cat>
                  <c:strRef>
                    <c:extLst>
                      <c:ext uri="{02D57815-91ED-43cb-92C2-25804820EDAC}">
                        <c15:fullRef>
                          <c15:sqref>市场走势!$B$29:$B$48</c15:sqref>
                        </c15:fullRef>
                        <c15:formulaRef>
                          <c15:sqref>市场走势!$B$30:$B$48</c15:sqref>
                        </c15:formulaRef>
                      </c:ext>
                    </c:extLst>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uri="{02D57815-91ED-43cb-92C2-25804820EDAC}">
                        <c15:fullRef>
                          <c15:sqref>市场走势!$E$29:$E$48</c15:sqref>
                        </c15:fullRef>
                        <c15:formulaRef>
                          <c15:sqref>市场走势!$E$30:$E$48</c15:sqref>
                        </c15:formulaRef>
                      </c:ext>
                    </c:extLst>
                    <c:numCache>
                      <c:formatCode>0.00%</c:formatCode>
                      <c:ptCount val="19"/>
                      <c:pt idx="1">
                        <c:v>4.9670855774985111E-2</c:v>
                      </c:pt>
                      <c:pt idx="2">
                        <c:v>-1.6818700114025181E-2</c:v>
                      </c:pt>
                      <c:pt idx="3">
                        <c:v>-4.3490866917947233E-3</c:v>
                      </c:pt>
                      <c:pt idx="4">
                        <c:v>1.4851485148514918E-2</c:v>
                      </c:pt>
                      <c:pt idx="5">
                        <c:v>7.7474892395982455E-3</c:v>
                      </c:pt>
                      <c:pt idx="6">
                        <c:v>5.4100227790433771E-3</c:v>
                      </c:pt>
                      <c:pt idx="7">
                        <c:v>1.2744265080713678E-2</c:v>
                      </c:pt>
                      <c:pt idx="8">
                        <c:v>4.4742729306486741E-3</c:v>
                      </c:pt>
                      <c:pt idx="9">
                        <c:v>2.8953229398663793E-2</c:v>
                      </c:pt>
                      <c:pt idx="10">
                        <c:v>-1.488095238095238E-2</c:v>
                      </c:pt>
                      <c:pt idx="11">
                        <c:v>-5.959901126064311E-3</c:v>
                      </c:pt>
                      <c:pt idx="12">
                        <c:v>-3.0724173182659641E-2</c:v>
                      </c:pt>
                      <c:pt idx="13">
                        <c:v>-9.6348450728314348E-3</c:v>
                      </c:pt>
                      <c:pt idx="14">
                        <c:v>-1.2203897187922773E-2</c:v>
                      </c:pt>
                      <c:pt idx="15">
                        <c:v>-1.660887554998669E-3</c:v>
                      </c:pt>
                      <c:pt idx="16">
                        <c:v>-2.1189656178857017E-2</c:v>
                      </c:pt>
                      <c:pt idx="17">
                        <c:v>-9.4227099236641968E-3</c:v>
                      </c:pt>
                      <c:pt idx="18">
                        <c:v>-1.2703190848886124E-2</c:v>
                      </c:pt>
                    </c:numCache>
                  </c:numRef>
                </c:val>
                <c:smooth val="0"/>
                <c:extLst>
                  <c:ext xmlns:c16="http://schemas.microsoft.com/office/drawing/2014/chart" uri="{C3380CC4-5D6E-409C-BE32-E72D297353CC}">
                    <c16:uniqueId val="{00000003-27E1-4A22-A561-2028BC1AEC22}"/>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市场走势!$F$28</c15:sqref>
                        </c15:formulaRef>
                      </c:ext>
                    </c:extLst>
                    <c:strCache>
                      <c:ptCount val="1"/>
                      <c:pt idx="0">
                        <c:v>新增</c:v>
                      </c:pt>
                    </c:strCache>
                  </c:strRef>
                </c:tx>
                <c:marker>
                  <c:symbol val="none"/>
                </c:marker>
                <c:cat>
                  <c:strRef>
                    <c:extLst>
                      <c:ext xmlns:c15="http://schemas.microsoft.com/office/drawing/2012/chart" uri="{02D57815-91ED-43cb-92C2-25804820EDAC}">
                        <c15:fullRef>
                          <c15:sqref>市场走势!$B$29:$B$48</c15:sqref>
                        </c15:fullRef>
                        <c15:formulaRef>
                          <c15:sqref>市场走势!$B$30:$B$48</c15:sqref>
                        </c15:formulaRef>
                      </c:ext>
                    </c:extLst>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市场走势!$F$29:$F$48</c15:sqref>
                        </c15:fullRef>
                        <c15:formulaRef>
                          <c15:sqref>市场走势!$F$30:$F$48</c15:sqref>
                        </c15:formulaRef>
                      </c:ext>
                    </c:extLst>
                    <c:numCache>
                      <c:formatCode>General</c:formatCode>
                      <c:ptCount val="19"/>
                      <c:pt idx="1">
                        <c:v>4.7999999999999972</c:v>
                      </c:pt>
                      <c:pt idx="2">
                        <c:v>0</c:v>
                      </c:pt>
                      <c:pt idx="3">
                        <c:v>0</c:v>
                      </c:pt>
                      <c:pt idx="4">
                        <c:v>0</c:v>
                      </c:pt>
                      <c:pt idx="5">
                        <c:v>0</c:v>
                      </c:pt>
                      <c:pt idx="6">
                        <c:v>0</c:v>
                      </c:pt>
                      <c:pt idx="7">
                        <c:v>0</c:v>
                      </c:pt>
                      <c:pt idx="8">
                        <c:v>0</c:v>
                      </c:pt>
                      <c:pt idx="9">
                        <c:v>4.6300000000000097</c:v>
                      </c:pt>
                      <c:pt idx="10">
                        <c:v>0</c:v>
                      </c:pt>
                      <c:pt idx="11">
                        <c:v>-0.10000000000000853</c:v>
                      </c:pt>
                      <c:pt idx="12">
                        <c:v>5.5700000000000074</c:v>
                      </c:pt>
                      <c:pt idx="13">
                        <c:v>0</c:v>
                      </c:pt>
                      <c:pt idx="14">
                        <c:v>0</c:v>
                      </c:pt>
                      <c:pt idx="15">
                        <c:v>0</c:v>
                      </c:pt>
                      <c:pt idx="16">
                        <c:v>0</c:v>
                      </c:pt>
                      <c:pt idx="17">
                        <c:v>11.999999999999986</c:v>
                      </c:pt>
                      <c:pt idx="18">
                        <c:v>0</c:v>
                      </c:pt>
                    </c:numCache>
                  </c:numRef>
                </c:val>
                <c:smooth val="0"/>
                <c:extLst xmlns:c15="http://schemas.microsoft.com/office/drawing/2012/chart">
                  <c:ext xmlns:c16="http://schemas.microsoft.com/office/drawing/2014/chart" uri="{C3380CC4-5D6E-409C-BE32-E72D297353CC}">
                    <c16:uniqueId val="{00000004-27E1-4A22-A561-2028BC1AEC22}"/>
                  </c:ext>
                </c:extLst>
              </c15:ser>
            </c15:filteredLineSeries>
          </c:ext>
        </c:extLst>
      </c:lineChart>
      <c:catAx>
        <c:axId val="230627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633856"/>
        <c:crosses val="autoZero"/>
        <c:auto val="1"/>
        <c:lblAlgn val="ctr"/>
        <c:lblOffset val="100"/>
        <c:noMultiLvlLbl val="0"/>
      </c:catAx>
      <c:valAx>
        <c:axId val="230633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627968"/>
        <c:crosses val="autoZero"/>
        <c:crossBetween val="between"/>
      </c:valAx>
      <c:valAx>
        <c:axId val="230635392"/>
        <c:scaling>
          <c:orientation val="minMax"/>
          <c:max val="0.2"/>
        </c:scaling>
        <c:delete val="0"/>
        <c:axPos val="r"/>
        <c:minorGridlines>
          <c:spPr>
            <a:ln>
              <a:noFill/>
            </a:ln>
          </c:spPr>
        </c:min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636928"/>
        <c:crosses val="max"/>
        <c:crossBetween val="between"/>
      </c:valAx>
      <c:catAx>
        <c:axId val="230636928"/>
        <c:scaling>
          <c:orientation val="minMax"/>
        </c:scaling>
        <c:delete val="1"/>
        <c:axPos val="b"/>
        <c:numFmt formatCode="General" sourceLinked="1"/>
        <c:majorTickMark val="out"/>
        <c:minorTickMark val="none"/>
        <c:tickLblPos val="nextTo"/>
        <c:crossAx val="23063539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戴德全市甲级及以上办公楼市场分析</a:t>
            </a:r>
          </a:p>
        </c:rich>
      </c:tx>
      <c:layout>
        <c:manualLayout>
          <c:xMode val="edge"/>
          <c:yMode val="edge"/>
          <c:x val="0.28512396694214875"/>
          <c:y val="3.2407407407407406E-2"/>
        </c:manualLayout>
      </c:layout>
      <c:overlay val="0"/>
      <c:spPr>
        <a:noFill/>
        <a:ln>
          <a:noFill/>
        </a:ln>
        <a:effectLst/>
      </c:spPr>
    </c:title>
    <c:autoTitleDeleted val="0"/>
    <c:plotArea>
      <c:layout/>
      <c:barChart>
        <c:barDir val="col"/>
        <c:grouping val="clustered"/>
        <c:varyColors val="0"/>
        <c:ser>
          <c:idx val="4"/>
          <c:order val="4"/>
          <c:tx>
            <c:strRef>
              <c:f>市场走势!$G$3</c:f>
              <c:strCache>
                <c:ptCount val="1"/>
                <c:pt idx="0">
                  <c:v>库存（万㎡）</c:v>
                </c:pt>
              </c:strCache>
            </c:strRef>
          </c:tx>
          <c:invertIfNegative val="0"/>
          <c:cat>
            <c:strRef>
              <c:extLst>
                <c:ext xmlns:c15="http://schemas.microsoft.com/office/drawing/2012/chart" uri="{02D57815-91ED-43cb-92C2-25804820EDAC}">
                  <c15:fullRef>
                    <c15:sqref>市场走势!$B$4:$B$23</c15:sqref>
                  </c15:fullRef>
                </c:ext>
              </c:extLst>
              <c:f>市场走势!$B$5:$B$23</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市场走势!$G$4:$G$23</c15:sqref>
                  </c15:fullRef>
                </c:ext>
              </c:extLst>
              <c:f>市场走势!$G$5:$G$23</c:f>
              <c:numCache>
                <c:formatCode>General</c:formatCode>
                <c:ptCount val="19"/>
                <c:pt idx="0">
                  <c:v>852.08</c:v>
                </c:pt>
                <c:pt idx="1">
                  <c:v>905.39</c:v>
                </c:pt>
                <c:pt idx="2">
                  <c:v>930.21</c:v>
                </c:pt>
                <c:pt idx="3">
                  <c:v>946</c:v>
                </c:pt>
                <c:pt idx="4">
                  <c:v>967.06</c:v>
                </c:pt>
                <c:pt idx="5">
                  <c:v>967.06</c:v>
                </c:pt>
                <c:pt idx="6">
                  <c:v>1005.54</c:v>
                </c:pt>
                <c:pt idx="7">
                  <c:v>1043.6099999999999</c:v>
                </c:pt>
                <c:pt idx="8">
                  <c:v>1043.6099999999999</c:v>
                </c:pt>
                <c:pt idx="9">
                  <c:v>1048.5999999999999</c:v>
                </c:pt>
                <c:pt idx="10">
                  <c:v>1058</c:v>
                </c:pt>
                <c:pt idx="11">
                  <c:v>1058</c:v>
                </c:pt>
                <c:pt idx="12">
                  <c:v>1034.68</c:v>
                </c:pt>
                <c:pt idx="13">
                  <c:v>1055.3800000000001</c:v>
                </c:pt>
                <c:pt idx="14">
                  <c:v>1114.18</c:v>
                </c:pt>
                <c:pt idx="15">
                  <c:v>1114.18</c:v>
                </c:pt>
                <c:pt idx="16">
                  <c:v>1150.42</c:v>
                </c:pt>
                <c:pt idx="17">
                  <c:v>1166.92</c:v>
                </c:pt>
                <c:pt idx="18">
                  <c:v>1198.4100000000001</c:v>
                </c:pt>
              </c:numCache>
            </c:numRef>
          </c:val>
          <c:extLst>
            <c:ext xmlns:c16="http://schemas.microsoft.com/office/drawing/2014/chart" uri="{C3380CC4-5D6E-409C-BE32-E72D297353CC}">
              <c16:uniqueId val="{00000000-68EE-48DD-84F4-9170E9DD3913}"/>
            </c:ext>
          </c:extLst>
        </c:ser>
        <c:dLbls>
          <c:showLegendKey val="0"/>
          <c:showVal val="0"/>
          <c:showCatName val="0"/>
          <c:showSerName val="0"/>
          <c:showPercent val="0"/>
          <c:showBubbleSize val="0"/>
        </c:dLbls>
        <c:gapWidth val="150"/>
        <c:axId val="230705792"/>
        <c:axId val="230711680"/>
      </c:barChart>
      <c:lineChart>
        <c:grouping val="standard"/>
        <c:varyColors val="0"/>
        <c:ser>
          <c:idx val="0"/>
          <c:order val="0"/>
          <c:tx>
            <c:strRef>
              <c:f>市场走势!$C$3</c:f>
              <c:strCache>
                <c:ptCount val="1"/>
                <c:pt idx="0">
                  <c:v>平均有效租金</c:v>
                </c:pt>
              </c:strCache>
            </c:strRef>
          </c:tx>
          <c:spPr>
            <a:effectLst/>
          </c:spPr>
          <c:marker>
            <c:symbol val="none"/>
          </c:marker>
          <c:cat>
            <c:strRef>
              <c:extLst>
                <c:ext xmlns:c15="http://schemas.microsoft.com/office/drawing/2012/chart" uri="{02D57815-91ED-43cb-92C2-25804820EDAC}">
                  <c15:fullRef>
                    <c15:sqref>市场走势!$B$4:$B$23</c15:sqref>
                  </c15:fullRef>
                </c:ext>
              </c:extLst>
              <c:f>市场走势!$B$5:$B$23</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市场走势!$C$4:$C$23</c15:sqref>
                  </c15:fullRef>
                </c:ext>
              </c:extLst>
              <c:f>市场走势!$C$5:$C$23</c:f>
              <c:numCache>
                <c:formatCode>General</c:formatCode>
                <c:ptCount val="19"/>
                <c:pt idx="0">
                  <c:v>378.1</c:v>
                </c:pt>
                <c:pt idx="1">
                  <c:v>383.7</c:v>
                </c:pt>
                <c:pt idx="2">
                  <c:v>387.2</c:v>
                </c:pt>
                <c:pt idx="3">
                  <c:v>388.4</c:v>
                </c:pt>
                <c:pt idx="4">
                  <c:v>392.1</c:v>
                </c:pt>
                <c:pt idx="5">
                  <c:v>391.3</c:v>
                </c:pt>
                <c:pt idx="6">
                  <c:v>395.7</c:v>
                </c:pt>
                <c:pt idx="7">
                  <c:v>391.3</c:v>
                </c:pt>
                <c:pt idx="8">
                  <c:v>394.4</c:v>
                </c:pt>
                <c:pt idx="9">
                  <c:v>403</c:v>
                </c:pt>
                <c:pt idx="10">
                  <c:v>400.1</c:v>
                </c:pt>
                <c:pt idx="11">
                  <c:v>399.75</c:v>
                </c:pt>
                <c:pt idx="12">
                  <c:v>396.19</c:v>
                </c:pt>
                <c:pt idx="13">
                  <c:v>388.16</c:v>
                </c:pt>
                <c:pt idx="14">
                  <c:v>382.4</c:v>
                </c:pt>
                <c:pt idx="15">
                  <c:v>377.49</c:v>
                </c:pt>
                <c:pt idx="16">
                  <c:v>358.51</c:v>
                </c:pt>
                <c:pt idx="17">
                  <c:v>348.4</c:v>
                </c:pt>
                <c:pt idx="18">
                  <c:v>337.2</c:v>
                </c:pt>
              </c:numCache>
            </c:numRef>
          </c:val>
          <c:smooth val="0"/>
          <c:extLst>
            <c:ext xmlns:c16="http://schemas.microsoft.com/office/drawing/2014/chart" uri="{C3380CC4-5D6E-409C-BE32-E72D297353CC}">
              <c16:uniqueId val="{00000001-68EE-48DD-84F4-9170E9DD3913}"/>
            </c:ext>
          </c:extLst>
        </c:ser>
        <c:dLbls>
          <c:showLegendKey val="0"/>
          <c:showVal val="0"/>
          <c:showCatName val="0"/>
          <c:showSerName val="0"/>
          <c:showPercent val="0"/>
          <c:showBubbleSize val="0"/>
        </c:dLbls>
        <c:marker val="1"/>
        <c:smooth val="0"/>
        <c:axId val="230705792"/>
        <c:axId val="230711680"/>
      </c:lineChart>
      <c:lineChart>
        <c:grouping val="standard"/>
        <c:varyColors val="0"/>
        <c:ser>
          <c:idx val="1"/>
          <c:order val="1"/>
          <c:tx>
            <c:strRef>
              <c:f>市场走势!$D$3</c:f>
              <c:strCache>
                <c:ptCount val="1"/>
                <c:pt idx="0">
                  <c:v>空置率</c:v>
                </c:pt>
              </c:strCache>
            </c:strRef>
          </c:tx>
          <c:spPr>
            <a:ln w="28575" cap="rnd">
              <a:solidFill>
                <a:schemeClr val="accent2"/>
              </a:solidFill>
              <a:round/>
            </a:ln>
            <a:effectLst/>
          </c:spPr>
          <c:marker>
            <c:symbol val="none"/>
          </c:marker>
          <c:cat>
            <c:strRef>
              <c:extLst>
                <c:ext xmlns:c15="http://schemas.microsoft.com/office/drawing/2012/chart" uri="{02D57815-91ED-43cb-92C2-25804820EDAC}">
                  <c15:fullRef>
                    <c15:sqref>市场走势!$B$4:$B$23</c15:sqref>
                  </c15:fullRef>
                </c:ext>
              </c:extLst>
              <c:f>市场走势!$B$5:$B$23</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市场走势!$D$4:$D$23</c15:sqref>
                  </c15:fullRef>
                </c:ext>
              </c:extLst>
              <c:f>市场走势!$D$5:$D$23</c:f>
              <c:numCache>
                <c:formatCode>0.00%</c:formatCode>
                <c:ptCount val="19"/>
                <c:pt idx="0">
                  <c:v>7.2999999999999995E-2</c:v>
                </c:pt>
                <c:pt idx="1">
                  <c:v>5.8000000000000003E-2</c:v>
                </c:pt>
                <c:pt idx="2">
                  <c:v>6.6000000000000003E-2</c:v>
                </c:pt>
                <c:pt idx="3">
                  <c:v>6.6000000000000003E-2</c:v>
                </c:pt>
                <c:pt idx="4">
                  <c:v>7.1999999999999995E-2</c:v>
                </c:pt>
                <c:pt idx="5">
                  <c:v>6.3E-2</c:v>
                </c:pt>
                <c:pt idx="6">
                  <c:v>7.6999999999999999E-2</c:v>
                </c:pt>
                <c:pt idx="7">
                  <c:v>8.4000000000000005E-2</c:v>
                </c:pt>
                <c:pt idx="8">
                  <c:v>7.0999999999999994E-2</c:v>
                </c:pt>
                <c:pt idx="9">
                  <c:v>7.9000000000000001E-2</c:v>
                </c:pt>
                <c:pt idx="10">
                  <c:v>8.1000000000000003E-2</c:v>
                </c:pt>
                <c:pt idx="11">
                  <c:v>7.9200000000000007E-2</c:v>
                </c:pt>
                <c:pt idx="12">
                  <c:v>8.8999999999999996E-2</c:v>
                </c:pt>
                <c:pt idx="13">
                  <c:v>0.10150000000000001</c:v>
                </c:pt>
                <c:pt idx="14">
                  <c:v>0.13500000000000001</c:v>
                </c:pt>
                <c:pt idx="15">
                  <c:v>0.13800000000000001</c:v>
                </c:pt>
                <c:pt idx="16">
                  <c:v>0.16200000000000001</c:v>
                </c:pt>
                <c:pt idx="17">
                  <c:v>0.16600000000000001</c:v>
                </c:pt>
                <c:pt idx="18">
                  <c:v>0.17</c:v>
                </c:pt>
              </c:numCache>
            </c:numRef>
          </c:val>
          <c:smooth val="0"/>
          <c:extLst>
            <c:ext xmlns:c16="http://schemas.microsoft.com/office/drawing/2014/chart" uri="{C3380CC4-5D6E-409C-BE32-E72D297353CC}">
              <c16:uniqueId val="{00000002-68EE-48DD-84F4-9170E9DD3913}"/>
            </c:ext>
          </c:extLst>
        </c:ser>
        <c:dLbls>
          <c:showLegendKey val="0"/>
          <c:showVal val="0"/>
          <c:showCatName val="0"/>
          <c:showSerName val="0"/>
          <c:showPercent val="0"/>
          <c:showBubbleSize val="0"/>
        </c:dLbls>
        <c:marker val="1"/>
        <c:smooth val="0"/>
        <c:axId val="230714752"/>
        <c:axId val="230713216"/>
        <c:extLst>
          <c:ext xmlns:c15="http://schemas.microsoft.com/office/drawing/2012/chart" uri="{02D57815-91ED-43cb-92C2-25804820EDAC}">
            <c15:filteredLineSeries>
              <c15:ser>
                <c:idx val="2"/>
                <c:order val="2"/>
                <c:tx>
                  <c:strRef>
                    <c:extLst>
                      <c:ext uri="{02D57815-91ED-43cb-92C2-25804820EDAC}">
                        <c15:formulaRef>
                          <c15:sqref>市场走势!$E$3</c15:sqref>
                        </c15:formulaRef>
                      </c:ext>
                    </c:extLst>
                    <c:strCache>
                      <c:ptCount val="1"/>
                      <c:pt idx="0">
                        <c:v>租金增长率</c:v>
                      </c:pt>
                    </c:strCache>
                  </c:strRef>
                </c:tx>
                <c:marker>
                  <c:symbol val="none"/>
                </c:marker>
                <c:cat>
                  <c:strRef>
                    <c:extLst>
                      <c:ext uri="{02D57815-91ED-43cb-92C2-25804820EDAC}">
                        <c15:fullRef>
                          <c15:sqref>市场走势!$B$4:$B$23</c15:sqref>
                        </c15:fullRef>
                        <c15:formulaRef>
                          <c15:sqref>市场走势!$B$5:$B$23</c15:sqref>
                        </c15:formulaRef>
                      </c:ext>
                    </c:extLst>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uri="{02D57815-91ED-43cb-92C2-25804820EDAC}">
                        <c15:fullRef>
                          <c15:sqref>市场走势!$E$4:$E$23</c15:sqref>
                        </c15:fullRef>
                        <c15:formulaRef>
                          <c15:sqref>市场走势!$E$5:$E$23</c15:sqref>
                        </c15:formulaRef>
                      </c:ext>
                    </c:extLst>
                    <c:numCache>
                      <c:formatCode>0.00%</c:formatCode>
                      <c:ptCount val="19"/>
                      <c:pt idx="0">
                        <c:v>-3.9515279241306633E-3</c:v>
                      </c:pt>
                      <c:pt idx="1">
                        <c:v>1.4810896588204088E-2</c:v>
                      </c:pt>
                      <c:pt idx="2">
                        <c:v>9.1217096690122488E-3</c:v>
                      </c:pt>
                      <c:pt idx="3">
                        <c:v>3.0991735537189789E-3</c:v>
                      </c:pt>
                      <c:pt idx="4">
                        <c:v>9.5262615859939385E-3</c:v>
                      </c:pt>
                      <c:pt idx="5">
                        <c:v>-2.0402958428972491E-3</c:v>
                      </c:pt>
                      <c:pt idx="6">
                        <c:v>1.124456938410421E-2</c:v>
                      </c:pt>
                      <c:pt idx="7">
                        <c:v>-1.1119535001263526E-2</c:v>
                      </c:pt>
                      <c:pt idx="8">
                        <c:v>7.9223102478915564E-3</c:v>
                      </c:pt>
                      <c:pt idx="9">
                        <c:v>2.1805273833671458E-2</c:v>
                      </c:pt>
                      <c:pt idx="10">
                        <c:v>-7.1960297766748811E-3</c:v>
                      </c:pt>
                      <c:pt idx="11">
                        <c:v>-8.7478130467388837E-4</c:v>
                      </c:pt>
                      <c:pt idx="12">
                        <c:v>-8.9055659787367156E-3</c:v>
                      </c:pt>
                      <c:pt idx="13">
                        <c:v>-2.0268053206794652E-2</c:v>
                      </c:pt>
                      <c:pt idx="14">
                        <c:v>-1.4839241549876462E-2</c:v>
                      </c:pt>
                      <c:pt idx="15">
                        <c:v>-1.2839958158995734E-2</c:v>
                      </c:pt>
                      <c:pt idx="16">
                        <c:v>-5.0279477602055728E-2</c:v>
                      </c:pt>
                      <c:pt idx="17">
                        <c:v>-2.8200050207804563E-2</c:v>
                      </c:pt>
                      <c:pt idx="18">
                        <c:v>-3.2146957520091821E-2</c:v>
                      </c:pt>
                    </c:numCache>
                  </c:numRef>
                </c:val>
                <c:smooth val="0"/>
                <c:extLst>
                  <c:ext xmlns:c16="http://schemas.microsoft.com/office/drawing/2014/chart" uri="{C3380CC4-5D6E-409C-BE32-E72D297353CC}">
                    <c16:uniqueId val="{00000003-68EE-48DD-84F4-9170E9DD3913}"/>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市场走势!$F$3</c15:sqref>
                        </c15:formulaRef>
                      </c:ext>
                    </c:extLst>
                    <c:strCache>
                      <c:ptCount val="1"/>
                      <c:pt idx="0">
                        <c:v>新增供应</c:v>
                      </c:pt>
                    </c:strCache>
                  </c:strRef>
                </c:tx>
                <c:marker>
                  <c:symbol val="none"/>
                </c:marker>
                <c:cat>
                  <c:strRef>
                    <c:extLst>
                      <c:ext xmlns:c15="http://schemas.microsoft.com/office/drawing/2012/chart" uri="{02D57815-91ED-43cb-92C2-25804820EDAC}">
                        <c15:fullRef>
                          <c15:sqref>市场走势!$B$4:$B$23</c15:sqref>
                        </c15:fullRef>
                        <c15:formulaRef>
                          <c15:sqref>市场走势!$B$5:$B$23</c15:sqref>
                        </c15:formulaRef>
                      </c:ext>
                    </c:extLst>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市场走势!$F$4:$F$23</c15:sqref>
                        </c15:fullRef>
                        <c15:formulaRef>
                          <c15:sqref>市场走势!$F$5:$F$23</c15:sqref>
                        </c15:formulaRef>
                      </c:ext>
                    </c:extLst>
                    <c:numCache>
                      <c:formatCode>General</c:formatCode>
                      <c:ptCount val="19"/>
                      <c:pt idx="1">
                        <c:v>53.309999999999945</c:v>
                      </c:pt>
                      <c:pt idx="2">
                        <c:v>24.82000000000005</c:v>
                      </c:pt>
                      <c:pt idx="3">
                        <c:v>15.789999999999964</c:v>
                      </c:pt>
                      <c:pt idx="4">
                        <c:v>21.059999999999945</c:v>
                      </c:pt>
                      <c:pt idx="5">
                        <c:v>0</c:v>
                      </c:pt>
                      <c:pt idx="6">
                        <c:v>38.480000000000018</c:v>
                      </c:pt>
                      <c:pt idx="7">
                        <c:v>38.069999999999936</c:v>
                      </c:pt>
                      <c:pt idx="8">
                        <c:v>0</c:v>
                      </c:pt>
                      <c:pt idx="9">
                        <c:v>4.9900000000000091</c:v>
                      </c:pt>
                      <c:pt idx="10">
                        <c:v>9.4000000000000909</c:v>
                      </c:pt>
                      <c:pt idx="11">
                        <c:v>0</c:v>
                      </c:pt>
                      <c:pt idx="12">
                        <c:v>-23.319999999999936</c:v>
                      </c:pt>
                      <c:pt idx="13">
                        <c:v>20.700000000000045</c:v>
                      </c:pt>
                      <c:pt idx="14">
                        <c:v>58.799999999999955</c:v>
                      </c:pt>
                      <c:pt idx="15">
                        <c:v>0</c:v>
                      </c:pt>
                      <c:pt idx="16">
                        <c:v>36.240000000000009</c:v>
                      </c:pt>
                      <c:pt idx="17">
                        <c:v>16.5</c:v>
                      </c:pt>
                      <c:pt idx="18">
                        <c:v>31.490000000000009</c:v>
                      </c:pt>
                    </c:numCache>
                  </c:numRef>
                </c:val>
                <c:smooth val="0"/>
                <c:extLst xmlns:c15="http://schemas.microsoft.com/office/drawing/2012/chart">
                  <c:ext xmlns:c16="http://schemas.microsoft.com/office/drawing/2014/chart" uri="{C3380CC4-5D6E-409C-BE32-E72D297353CC}">
                    <c16:uniqueId val="{00000004-68EE-48DD-84F4-9170E9DD3913}"/>
                  </c:ext>
                </c:extLst>
              </c15:ser>
            </c15:filteredLineSeries>
          </c:ext>
        </c:extLst>
      </c:lineChart>
      <c:catAx>
        <c:axId val="230705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711680"/>
        <c:crosses val="autoZero"/>
        <c:auto val="1"/>
        <c:lblAlgn val="ctr"/>
        <c:lblOffset val="100"/>
        <c:noMultiLvlLbl val="0"/>
      </c:catAx>
      <c:valAx>
        <c:axId val="2307116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705792"/>
        <c:crosses val="autoZero"/>
        <c:crossBetween val="between"/>
      </c:valAx>
      <c:valAx>
        <c:axId val="230713216"/>
        <c:scaling>
          <c:orientation val="minMax"/>
          <c:max val="0.2"/>
        </c:scaling>
        <c:delete val="0"/>
        <c:axPos val="r"/>
        <c:minorGridlines>
          <c:spPr>
            <a:ln>
              <a:noFill/>
            </a:ln>
          </c:spPr>
        </c:min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714752"/>
        <c:crosses val="max"/>
        <c:crossBetween val="between"/>
      </c:valAx>
      <c:catAx>
        <c:axId val="230714752"/>
        <c:scaling>
          <c:orientation val="minMax"/>
        </c:scaling>
        <c:delete val="1"/>
        <c:axPos val="b"/>
        <c:numFmt formatCode="General" sourceLinked="1"/>
        <c:majorTickMark val="out"/>
        <c:minorTickMark val="none"/>
        <c:tickLblPos val="nextTo"/>
        <c:crossAx val="23071321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zh-CN" altLang="en-US" sz="1600" b="0" i="0" baseline="0">
                <a:effectLst/>
              </a:rPr>
              <a:t>仲量北京全市</a:t>
            </a:r>
            <a:r>
              <a:rPr lang="zh-CN" altLang="zh-CN" sz="1600" b="0" i="0" baseline="0">
                <a:effectLst/>
              </a:rPr>
              <a:t>办公楼市场分析</a:t>
            </a:r>
            <a:endParaRPr lang="zh-CN" altLang="zh-CN" sz="1600">
              <a:effectLst/>
            </a:endParaRPr>
          </a:p>
        </c:rich>
      </c:tx>
      <c:overlay val="0"/>
      <c:spPr>
        <a:noFill/>
        <a:ln>
          <a:noFill/>
        </a:ln>
        <a:effectLst/>
      </c:spPr>
    </c:title>
    <c:autoTitleDeleted val="0"/>
    <c:plotArea>
      <c:layout/>
      <c:barChart>
        <c:barDir val="col"/>
        <c:grouping val="clustered"/>
        <c:varyColors val="0"/>
        <c:ser>
          <c:idx val="5"/>
          <c:order val="5"/>
          <c:tx>
            <c:strRef>
              <c:f>市场走势!$Q$3</c:f>
              <c:strCache>
                <c:ptCount val="1"/>
                <c:pt idx="0">
                  <c:v>存量（万㎡）</c:v>
                </c:pt>
              </c:strCache>
            </c:strRef>
          </c:tx>
          <c:spPr>
            <a:solidFill>
              <a:schemeClr val="accent6"/>
            </a:solidFill>
            <a:ln>
              <a:noFill/>
            </a:ln>
            <a:effectLst/>
          </c:spPr>
          <c:invertIfNegative val="0"/>
          <c:cat>
            <c:strRef>
              <c:f>市场走势!$K$4:$K$23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市场走势!$Q$4:$Q$23</c:f>
              <c:numCache>
                <c:formatCode>General</c:formatCode>
                <c:ptCount val="20"/>
                <c:pt idx="0">
                  <c:v>675.3</c:v>
                </c:pt>
                <c:pt idx="1">
                  <c:v>710.84</c:v>
                </c:pt>
                <c:pt idx="2">
                  <c:v>724.24</c:v>
                </c:pt>
                <c:pt idx="3">
                  <c:v>735.79</c:v>
                </c:pt>
                <c:pt idx="4">
                  <c:v>748.02</c:v>
                </c:pt>
                <c:pt idx="5">
                  <c:v>774.8</c:v>
                </c:pt>
                <c:pt idx="6">
                  <c:v>774.8</c:v>
                </c:pt>
                <c:pt idx="7">
                  <c:v>817.89</c:v>
                </c:pt>
                <c:pt idx="8">
                  <c:v>817.89</c:v>
                </c:pt>
                <c:pt idx="9">
                  <c:v>825.89</c:v>
                </c:pt>
                <c:pt idx="10">
                  <c:v>830.46</c:v>
                </c:pt>
                <c:pt idx="11">
                  <c:v>855.59</c:v>
                </c:pt>
                <c:pt idx="12">
                  <c:v>868.15</c:v>
                </c:pt>
                <c:pt idx="13">
                  <c:v>882.45</c:v>
                </c:pt>
                <c:pt idx="14">
                  <c:v>882.45</c:v>
                </c:pt>
                <c:pt idx="15">
                  <c:v>962.52</c:v>
                </c:pt>
                <c:pt idx="16">
                  <c:v>962.52</c:v>
                </c:pt>
                <c:pt idx="17">
                  <c:v>962.52</c:v>
                </c:pt>
                <c:pt idx="18">
                  <c:v>963.52</c:v>
                </c:pt>
                <c:pt idx="19">
                  <c:v>1017.59</c:v>
                </c:pt>
              </c:numCache>
            </c:numRef>
          </c:val>
          <c:extLst>
            <c:ext xmlns:c16="http://schemas.microsoft.com/office/drawing/2014/chart" uri="{C3380CC4-5D6E-409C-BE32-E72D297353CC}">
              <c16:uniqueId val="{00000000-2B72-4051-8BF2-7FC499F09851}"/>
            </c:ext>
          </c:extLst>
        </c:ser>
        <c:dLbls>
          <c:showLegendKey val="0"/>
          <c:showVal val="0"/>
          <c:showCatName val="0"/>
          <c:showSerName val="0"/>
          <c:showPercent val="0"/>
          <c:showBubbleSize val="0"/>
        </c:dLbls>
        <c:gapWidth val="219"/>
        <c:axId val="230841728"/>
        <c:axId val="230872192"/>
      </c:barChart>
      <c:lineChart>
        <c:grouping val="standard"/>
        <c:varyColors val="0"/>
        <c:ser>
          <c:idx val="2"/>
          <c:order val="2"/>
          <c:tx>
            <c:strRef>
              <c:f>市场走势!$N$3</c:f>
              <c:strCache>
                <c:ptCount val="1"/>
                <c:pt idx="0">
                  <c:v>租金增长率</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市场走势!$K$4:$K$23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市场走势!$N$4:$N$23</c:f>
            </c:numRef>
          </c:val>
          <c:smooth val="0"/>
          <c:extLst>
            <c:ext xmlns:c16="http://schemas.microsoft.com/office/drawing/2014/chart" uri="{C3380CC4-5D6E-409C-BE32-E72D297353CC}">
              <c16:uniqueId val="{00000001-2B72-4051-8BF2-7FC499F09851}"/>
            </c:ext>
          </c:extLst>
        </c:ser>
        <c:ser>
          <c:idx val="3"/>
          <c:order val="3"/>
          <c:tx>
            <c:strRef>
              <c:f>市场走势!$O$3</c:f>
              <c:strCache>
                <c:ptCount val="1"/>
                <c:pt idx="0">
                  <c:v>新增供应</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市场走势!$K$4:$K$23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市场走势!$O$4:$O$23</c:f>
            </c:numRef>
          </c:val>
          <c:smooth val="0"/>
          <c:extLst>
            <c:ext xmlns:c16="http://schemas.microsoft.com/office/drawing/2014/chart" uri="{C3380CC4-5D6E-409C-BE32-E72D297353CC}">
              <c16:uniqueId val="{00000002-2B72-4051-8BF2-7FC499F09851}"/>
            </c:ext>
          </c:extLst>
        </c:ser>
        <c:ser>
          <c:idx val="4"/>
          <c:order val="4"/>
          <c:tx>
            <c:strRef>
              <c:f>市场走势!$P$3</c:f>
              <c:strCache>
                <c:ptCount val="1"/>
                <c:pt idx="0">
                  <c:v>存量（万㎡）</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市场走势!$K$4:$K$23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市场走势!$P$4:$P$23</c:f>
            </c:numRef>
          </c:val>
          <c:smooth val="0"/>
          <c:extLst>
            <c:ext xmlns:c16="http://schemas.microsoft.com/office/drawing/2014/chart" uri="{C3380CC4-5D6E-409C-BE32-E72D297353CC}">
              <c16:uniqueId val="{00000003-2B72-4051-8BF2-7FC499F09851}"/>
            </c:ext>
          </c:extLst>
        </c:ser>
        <c:ser>
          <c:idx val="0"/>
          <c:order val="0"/>
          <c:tx>
            <c:strRef>
              <c:f>市场走势!$L$3</c:f>
              <c:strCache>
                <c:ptCount val="1"/>
                <c:pt idx="0">
                  <c:v>平均有效租金</c:v>
                </c:pt>
              </c:strCache>
            </c:strRef>
          </c:tx>
          <c:spPr>
            <a:ln w="28575" cap="rnd">
              <a:solidFill>
                <a:schemeClr val="accent1"/>
              </a:solidFill>
              <a:round/>
            </a:ln>
            <a:effectLst/>
          </c:spPr>
          <c:marker>
            <c:symbol val="none"/>
          </c:marker>
          <c:cat>
            <c:strRef>
              <c:f>市场走势!$K$4:$K$23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市场走势!$L$4:$L$23</c:f>
              <c:numCache>
                <c:formatCode>General</c:formatCode>
                <c:ptCount val="20"/>
                <c:pt idx="0">
                  <c:v>373</c:v>
                </c:pt>
                <c:pt idx="1">
                  <c:v>374</c:v>
                </c:pt>
                <c:pt idx="2">
                  <c:v>371</c:v>
                </c:pt>
                <c:pt idx="3">
                  <c:v>373</c:v>
                </c:pt>
                <c:pt idx="4">
                  <c:v>371</c:v>
                </c:pt>
                <c:pt idx="5">
                  <c:v>374</c:v>
                </c:pt>
                <c:pt idx="6">
                  <c:v>377</c:v>
                </c:pt>
                <c:pt idx="7">
                  <c:v>374</c:v>
                </c:pt>
                <c:pt idx="8">
                  <c:v>370</c:v>
                </c:pt>
                <c:pt idx="9">
                  <c:v>384</c:v>
                </c:pt>
                <c:pt idx="10">
                  <c:v>390</c:v>
                </c:pt>
                <c:pt idx="11">
                  <c:v>386</c:v>
                </c:pt>
                <c:pt idx="12">
                  <c:v>382</c:v>
                </c:pt>
                <c:pt idx="13">
                  <c:v>377</c:v>
                </c:pt>
                <c:pt idx="14">
                  <c:v>374</c:v>
                </c:pt>
                <c:pt idx="15">
                  <c:v>379</c:v>
                </c:pt>
                <c:pt idx="16">
                  <c:v>374</c:v>
                </c:pt>
                <c:pt idx="17">
                  <c:v>356</c:v>
                </c:pt>
                <c:pt idx="18">
                  <c:v>352</c:v>
                </c:pt>
                <c:pt idx="19">
                  <c:v>342</c:v>
                </c:pt>
              </c:numCache>
            </c:numRef>
          </c:val>
          <c:smooth val="0"/>
          <c:extLst>
            <c:ext xmlns:c16="http://schemas.microsoft.com/office/drawing/2014/chart" uri="{C3380CC4-5D6E-409C-BE32-E72D297353CC}">
              <c16:uniqueId val="{00000004-2B72-4051-8BF2-7FC499F09851}"/>
            </c:ext>
          </c:extLst>
        </c:ser>
        <c:dLbls>
          <c:showLegendKey val="0"/>
          <c:showVal val="0"/>
          <c:showCatName val="0"/>
          <c:showSerName val="0"/>
          <c:showPercent val="0"/>
          <c:showBubbleSize val="0"/>
        </c:dLbls>
        <c:marker val="1"/>
        <c:smooth val="0"/>
        <c:axId val="230841728"/>
        <c:axId val="230872192"/>
      </c:lineChart>
      <c:lineChart>
        <c:grouping val="standard"/>
        <c:varyColors val="0"/>
        <c:ser>
          <c:idx val="1"/>
          <c:order val="1"/>
          <c:tx>
            <c:strRef>
              <c:f>市场走势!$M$3</c:f>
              <c:strCache>
                <c:ptCount val="1"/>
                <c:pt idx="0">
                  <c:v>空置率</c:v>
                </c:pt>
              </c:strCache>
            </c:strRef>
          </c:tx>
          <c:spPr>
            <a:ln w="28575" cap="rnd">
              <a:solidFill>
                <a:schemeClr val="accent2"/>
              </a:solidFill>
              <a:round/>
            </a:ln>
            <a:effectLst/>
          </c:spPr>
          <c:marker>
            <c:symbol val="none"/>
          </c:marker>
          <c:cat>
            <c:strRef>
              <c:f>市场走势!$K$4:$K$23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市场走势!$M$4:$M$23</c:f>
              <c:numCache>
                <c:formatCode>0.00%</c:formatCode>
                <c:ptCount val="20"/>
                <c:pt idx="0">
                  <c:v>2.5999999999999999E-2</c:v>
                </c:pt>
                <c:pt idx="1">
                  <c:v>4.5999999999999999E-2</c:v>
                </c:pt>
                <c:pt idx="2">
                  <c:v>4.9000000000000002E-2</c:v>
                </c:pt>
                <c:pt idx="3">
                  <c:v>3.9E-2</c:v>
                </c:pt>
                <c:pt idx="4">
                  <c:v>4.5999999999999999E-2</c:v>
                </c:pt>
                <c:pt idx="5">
                  <c:v>6.3E-2</c:v>
                </c:pt>
                <c:pt idx="6">
                  <c:v>5.6000000000000001E-2</c:v>
                </c:pt>
                <c:pt idx="7">
                  <c:v>7.0999999999999994E-2</c:v>
                </c:pt>
                <c:pt idx="8">
                  <c:v>4.2999999999999997E-2</c:v>
                </c:pt>
                <c:pt idx="9">
                  <c:v>3.3000000000000002E-2</c:v>
                </c:pt>
                <c:pt idx="10">
                  <c:v>3.2000000000000001E-2</c:v>
                </c:pt>
                <c:pt idx="11">
                  <c:v>4.9000000000000002E-2</c:v>
                </c:pt>
                <c:pt idx="12">
                  <c:v>5.8000000000000003E-2</c:v>
                </c:pt>
                <c:pt idx="13">
                  <c:v>6.9000000000000006E-2</c:v>
                </c:pt>
                <c:pt idx="14">
                  <c:v>7.0999999999999994E-2</c:v>
                </c:pt>
                <c:pt idx="15">
                  <c:v>0.113</c:v>
                </c:pt>
                <c:pt idx="16">
                  <c:v>0.113</c:v>
                </c:pt>
                <c:pt idx="17">
                  <c:v>0.14000000000000001</c:v>
                </c:pt>
                <c:pt idx="18">
                  <c:v>0.13900000000000001</c:v>
                </c:pt>
                <c:pt idx="19">
                  <c:v>0.154</c:v>
                </c:pt>
              </c:numCache>
            </c:numRef>
          </c:val>
          <c:smooth val="0"/>
          <c:extLst>
            <c:ext xmlns:c16="http://schemas.microsoft.com/office/drawing/2014/chart" uri="{C3380CC4-5D6E-409C-BE32-E72D297353CC}">
              <c16:uniqueId val="{00000005-2B72-4051-8BF2-7FC499F09851}"/>
            </c:ext>
          </c:extLst>
        </c:ser>
        <c:dLbls>
          <c:showLegendKey val="0"/>
          <c:showVal val="0"/>
          <c:showCatName val="0"/>
          <c:showSerName val="0"/>
          <c:showPercent val="0"/>
          <c:showBubbleSize val="0"/>
        </c:dLbls>
        <c:marker val="1"/>
        <c:smooth val="0"/>
        <c:axId val="230875520"/>
        <c:axId val="230873728"/>
        <c:extLst>
          <c:ext xmlns:c15="http://schemas.microsoft.com/office/drawing/2012/chart" uri="{02D57815-91ED-43cb-92C2-25804820EDAC}">
            <c15:filteredLineSeries>
              <c15:ser>
                <c:idx val="6"/>
                <c:order val="6"/>
                <c:tx>
                  <c:strRef>
                    <c:extLst>
                      <c:ext uri="{02D57815-91ED-43cb-92C2-25804820EDAC}">
                        <c15:formulaRef>
                          <c15:sqref>市场走势!$R$3</c15:sqref>
                        </c15:formulaRef>
                      </c:ext>
                    </c:extLst>
                    <c:strCache>
                      <c:ptCount val="1"/>
                      <c:pt idx="0">
                        <c:v>租金增长率</c:v>
                      </c:pt>
                    </c:strCache>
                  </c:strRef>
                </c:tx>
                <c:spPr>
                  <a:ln w="28575" cap="rnd">
                    <a:solidFill>
                      <a:schemeClr val="accent1">
                        <a:lumMod val="60000"/>
                      </a:schemeClr>
                    </a:solidFill>
                    <a:round/>
                  </a:ln>
                  <a:effectLst/>
                </c:spPr>
                <c:marker>
                  <c:symbol val="none"/>
                </c:marker>
                <c:cat>
                  <c:strRef>
                    <c:extLst>
                      <c:ext uri="{02D57815-91ED-43cb-92C2-25804820EDAC}">
                        <c15:formulaRef>
                          <c15:sqref>市场走势!$K$4:$K$23</c15:sqref>
                        </c15:formulaRef>
                      </c:ext>
                    </c:extLst>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extLst>
                      <c:ext uri="{02D57815-91ED-43cb-92C2-25804820EDAC}">
                        <c15:formulaRef>
                          <c15:sqref>市场走势!$R$4:$R$23</c15:sqref>
                        </c15:formulaRef>
                      </c:ext>
                    </c:extLst>
                    <c:numCache>
                      <c:formatCode>0.00%</c:formatCode>
                      <c:ptCount val="20"/>
                      <c:pt idx="1">
                        <c:v>2.6809651474530832E-3</c:v>
                      </c:pt>
                      <c:pt idx="2">
                        <c:v>-8.0213903743315516E-3</c:v>
                      </c:pt>
                      <c:pt idx="3">
                        <c:v>5.3908355795148251E-3</c:v>
                      </c:pt>
                      <c:pt idx="4">
                        <c:v>-5.3619302949061663E-3</c:v>
                      </c:pt>
                      <c:pt idx="5">
                        <c:v>8.0862533692722376E-3</c:v>
                      </c:pt>
                      <c:pt idx="6">
                        <c:v>8.0213903743315516E-3</c:v>
                      </c:pt>
                      <c:pt idx="7">
                        <c:v>-7.9575596816976128E-3</c:v>
                      </c:pt>
                      <c:pt idx="8">
                        <c:v>-1.06951871657754E-2</c:v>
                      </c:pt>
                      <c:pt idx="9">
                        <c:v>3.783783783783784E-2</c:v>
                      </c:pt>
                      <c:pt idx="10">
                        <c:v>1.5625E-2</c:v>
                      </c:pt>
                      <c:pt idx="11">
                        <c:v>-1.0256410256410256E-2</c:v>
                      </c:pt>
                      <c:pt idx="12">
                        <c:v>-1.0362694300518135E-2</c:v>
                      </c:pt>
                      <c:pt idx="13">
                        <c:v>-1.3089005235602094E-2</c:v>
                      </c:pt>
                      <c:pt idx="14">
                        <c:v>-7.9575596816976128E-3</c:v>
                      </c:pt>
                      <c:pt idx="15">
                        <c:v>1.3368983957219251E-2</c:v>
                      </c:pt>
                      <c:pt idx="16">
                        <c:v>-1.3192612137203167E-2</c:v>
                      </c:pt>
                      <c:pt idx="17">
                        <c:v>-4.8128342245989303E-2</c:v>
                      </c:pt>
                      <c:pt idx="18">
                        <c:v>-1.1235955056179775E-2</c:v>
                      </c:pt>
                      <c:pt idx="19">
                        <c:v>-2.8409090909090908E-2</c:v>
                      </c:pt>
                    </c:numCache>
                  </c:numRef>
                </c:val>
                <c:smooth val="0"/>
                <c:extLst>
                  <c:ext xmlns:c16="http://schemas.microsoft.com/office/drawing/2014/chart" uri="{C3380CC4-5D6E-409C-BE32-E72D297353CC}">
                    <c16:uniqueId val="{00000006-2B72-4051-8BF2-7FC499F09851}"/>
                  </c:ext>
                </c:extLst>
              </c15:ser>
            </c15:filteredLineSeries>
          </c:ext>
        </c:extLst>
      </c:lineChart>
      <c:catAx>
        <c:axId val="230841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72192"/>
        <c:crosses val="autoZero"/>
        <c:auto val="1"/>
        <c:lblAlgn val="ctr"/>
        <c:lblOffset val="100"/>
        <c:noMultiLvlLbl val="0"/>
      </c:catAx>
      <c:valAx>
        <c:axId val="2308721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41728"/>
        <c:crosses val="autoZero"/>
        <c:crossBetween val="between"/>
      </c:valAx>
      <c:valAx>
        <c:axId val="230873728"/>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75520"/>
        <c:crosses val="max"/>
        <c:crossBetween val="between"/>
      </c:valAx>
      <c:catAx>
        <c:axId val="230875520"/>
        <c:scaling>
          <c:orientation val="minMax"/>
        </c:scaling>
        <c:delete val="1"/>
        <c:axPos val="b"/>
        <c:numFmt formatCode="General" sourceLinked="1"/>
        <c:majorTickMark val="out"/>
        <c:minorTickMark val="none"/>
        <c:tickLblPos val="nextTo"/>
        <c:crossAx val="23087372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戴德金融街甲级及以上办公楼市场分析</a:t>
            </a:r>
          </a:p>
        </c:rich>
      </c:tx>
      <c:layout>
        <c:manualLayout>
          <c:xMode val="edge"/>
          <c:yMode val="edge"/>
          <c:x val="0.28512396694214875"/>
          <c:y val="3.2407407407407406E-2"/>
        </c:manualLayout>
      </c:layout>
      <c:overlay val="0"/>
      <c:spPr>
        <a:noFill/>
        <a:ln>
          <a:noFill/>
        </a:ln>
        <a:effectLst/>
      </c:spPr>
    </c:title>
    <c:autoTitleDeleted val="0"/>
    <c:plotArea>
      <c:layout/>
      <c:barChart>
        <c:barDir val="col"/>
        <c:grouping val="clustered"/>
        <c:varyColors val="0"/>
        <c:ser>
          <c:idx val="4"/>
          <c:order val="4"/>
          <c:tx>
            <c:strRef>
              <c:f>市场走势!$G$76</c:f>
              <c:strCache>
                <c:ptCount val="1"/>
                <c:pt idx="0">
                  <c:v>库存（万㎡）</c:v>
                </c:pt>
              </c:strCache>
            </c:strRef>
          </c:tx>
          <c:invertIfNegative val="0"/>
          <c:cat>
            <c:strRef>
              <c:extLst>
                <c:ext xmlns:c15="http://schemas.microsoft.com/office/drawing/2012/chart" uri="{02D57815-91ED-43cb-92C2-25804820EDAC}">
                  <c15:fullRef>
                    <c15:sqref>市场走势!$B$77:$B$96</c15:sqref>
                  </c15:fullRef>
                </c:ext>
              </c:extLst>
              <c:f>市场走势!$B$78:$B$96</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市场走势!$G$77:$G$96</c15:sqref>
                  </c15:fullRef>
                </c:ext>
              </c:extLst>
              <c:f>市场走势!$G$78:$G$96</c:f>
              <c:numCache>
                <c:formatCode>General</c:formatCode>
                <c:ptCount val="19"/>
                <c:pt idx="0">
                  <c:v>138.25</c:v>
                </c:pt>
                <c:pt idx="1">
                  <c:v>138.25</c:v>
                </c:pt>
                <c:pt idx="2">
                  <c:v>138.25</c:v>
                </c:pt>
                <c:pt idx="3">
                  <c:v>141.66</c:v>
                </c:pt>
                <c:pt idx="4">
                  <c:v>141.66</c:v>
                </c:pt>
                <c:pt idx="5">
                  <c:v>141.66</c:v>
                </c:pt>
                <c:pt idx="6">
                  <c:v>141.66</c:v>
                </c:pt>
                <c:pt idx="7">
                  <c:v>141.66</c:v>
                </c:pt>
                <c:pt idx="8">
                  <c:v>141.66</c:v>
                </c:pt>
                <c:pt idx="9">
                  <c:v>154.66</c:v>
                </c:pt>
                <c:pt idx="10">
                  <c:v>154.66</c:v>
                </c:pt>
                <c:pt idx="11">
                  <c:v>154.66</c:v>
                </c:pt>
                <c:pt idx="12">
                  <c:v>154.66</c:v>
                </c:pt>
                <c:pt idx="13">
                  <c:v>154.66</c:v>
                </c:pt>
                <c:pt idx="14">
                  <c:v>154.66</c:v>
                </c:pt>
                <c:pt idx="15">
                  <c:v>154.66</c:v>
                </c:pt>
                <c:pt idx="16">
                  <c:v>159.66</c:v>
                </c:pt>
                <c:pt idx="17">
                  <c:v>159.66</c:v>
                </c:pt>
                <c:pt idx="18">
                  <c:v>159.66</c:v>
                </c:pt>
              </c:numCache>
            </c:numRef>
          </c:val>
          <c:extLst>
            <c:ext xmlns:c16="http://schemas.microsoft.com/office/drawing/2014/chart" uri="{C3380CC4-5D6E-409C-BE32-E72D297353CC}">
              <c16:uniqueId val="{00000000-939D-45C2-9153-54905FD55FA4}"/>
            </c:ext>
          </c:extLst>
        </c:ser>
        <c:dLbls>
          <c:showLegendKey val="0"/>
          <c:showVal val="0"/>
          <c:showCatName val="0"/>
          <c:showSerName val="0"/>
          <c:showPercent val="0"/>
          <c:showBubbleSize val="0"/>
        </c:dLbls>
        <c:gapWidth val="150"/>
        <c:axId val="230985088"/>
        <c:axId val="230990976"/>
      </c:barChart>
      <c:lineChart>
        <c:grouping val="standard"/>
        <c:varyColors val="0"/>
        <c:ser>
          <c:idx val="0"/>
          <c:order val="0"/>
          <c:tx>
            <c:strRef>
              <c:f>市场走势!$C$76</c:f>
              <c:strCache>
                <c:ptCount val="1"/>
                <c:pt idx="0">
                  <c:v>平均有效租金</c:v>
                </c:pt>
              </c:strCache>
            </c:strRef>
          </c:tx>
          <c:spPr>
            <a:effectLst/>
          </c:spPr>
          <c:marker>
            <c:symbol val="none"/>
          </c:marker>
          <c:cat>
            <c:strRef>
              <c:extLst>
                <c:ext xmlns:c15="http://schemas.microsoft.com/office/drawing/2012/chart" uri="{02D57815-91ED-43cb-92C2-25804820EDAC}">
                  <c15:fullRef>
                    <c15:sqref>市场走势!$B$77:$B$96</c15:sqref>
                  </c15:fullRef>
                </c:ext>
              </c:extLst>
              <c:f>市场走势!$B$78:$B$96</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市场走势!$C$77:$C$96</c15:sqref>
                  </c15:fullRef>
                </c:ext>
              </c:extLst>
              <c:f>市场走势!$C$78:$C$96</c:f>
              <c:numCache>
                <c:formatCode>General</c:formatCode>
                <c:ptCount val="19"/>
                <c:pt idx="0">
                  <c:v>637.70000000000005</c:v>
                </c:pt>
                <c:pt idx="1">
                  <c:v>643.6</c:v>
                </c:pt>
                <c:pt idx="2">
                  <c:v>664.5</c:v>
                </c:pt>
                <c:pt idx="3">
                  <c:v>660.7</c:v>
                </c:pt>
                <c:pt idx="4">
                  <c:v>675.5</c:v>
                </c:pt>
                <c:pt idx="5">
                  <c:v>682</c:v>
                </c:pt>
                <c:pt idx="6">
                  <c:v>683.3</c:v>
                </c:pt>
                <c:pt idx="7">
                  <c:v>691</c:v>
                </c:pt>
                <c:pt idx="8">
                  <c:v>697.8</c:v>
                </c:pt>
                <c:pt idx="9">
                  <c:v>712.5</c:v>
                </c:pt>
                <c:pt idx="10">
                  <c:v>706.16</c:v>
                </c:pt>
                <c:pt idx="11">
                  <c:v>714.43</c:v>
                </c:pt>
                <c:pt idx="12">
                  <c:v>717.29</c:v>
                </c:pt>
                <c:pt idx="13">
                  <c:v>717.29</c:v>
                </c:pt>
                <c:pt idx="14">
                  <c:v>711.46</c:v>
                </c:pt>
                <c:pt idx="15">
                  <c:v>707.87</c:v>
                </c:pt>
                <c:pt idx="16">
                  <c:v>682</c:v>
                </c:pt>
                <c:pt idx="17">
                  <c:v>662.98</c:v>
                </c:pt>
                <c:pt idx="18">
                  <c:v>642.98</c:v>
                </c:pt>
              </c:numCache>
            </c:numRef>
          </c:val>
          <c:smooth val="0"/>
          <c:extLst>
            <c:ext xmlns:c16="http://schemas.microsoft.com/office/drawing/2014/chart" uri="{C3380CC4-5D6E-409C-BE32-E72D297353CC}">
              <c16:uniqueId val="{00000001-939D-45C2-9153-54905FD55FA4}"/>
            </c:ext>
          </c:extLst>
        </c:ser>
        <c:dLbls>
          <c:showLegendKey val="0"/>
          <c:showVal val="0"/>
          <c:showCatName val="0"/>
          <c:showSerName val="0"/>
          <c:showPercent val="0"/>
          <c:showBubbleSize val="0"/>
        </c:dLbls>
        <c:marker val="1"/>
        <c:smooth val="0"/>
        <c:axId val="230985088"/>
        <c:axId val="230990976"/>
      </c:lineChart>
      <c:lineChart>
        <c:grouping val="standard"/>
        <c:varyColors val="0"/>
        <c:ser>
          <c:idx val="1"/>
          <c:order val="1"/>
          <c:tx>
            <c:strRef>
              <c:f>市场走势!$D$76</c:f>
              <c:strCache>
                <c:ptCount val="1"/>
                <c:pt idx="0">
                  <c:v>空置率</c:v>
                </c:pt>
              </c:strCache>
            </c:strRef>
          </c:tx>
          <c:spPr>
            <a:ln w="28575" cap="rnd">
              <a:solidFill>
                <a:schemeClr val="accent2"/>
              </a:solidFill>
              <a:round/>
            </a:ln>
            <a:effectLst/>
          </c:spPr>
          <c:marker>
            <c:symbol val="none"/>
          </c:marker>
          <c:cat>
            <c:strRef>
              <c:extLst>
                <c:ext xmlns:c15="http://schemas.microsoft.com/office/drawing/2012/chart" uri="{02D57815-91ED-43cb-92C2-25804820EDAC}">
                  <c15:fullRef>
                    <c15:sqref>市场走势!$B$77:$B$96</c15:sqref>
                  </c15:fullRef>
                </c:ext>
              </c:extLst>
              <c:f>市场走势!$B$78:$B$96</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市场走势!$D$77:$D$96</c15:sqref>
                  </c15:fullRef>
                </c:ext>
              </c:extLst>
              <c:f>市场走势!$D$78:$D$96</c:f>
              <c:numCache>
                <c:formatCode>0.00%</c:formatCode>
                <c:ptCount val="19"/>
                <c:pt idx="0">
                  <c:v>8.0000000000000002E-3</c:v>
                </c:pt>
                <c:pt idx="1">
                  <c:v>2E-3</c:v>
                </c:pt>
                <c:pt idx="2">
                  <c:v>6.0000000000000001E-3</c:v>
                </c:pt>
                <c:pt idx="3">
                  <c:v>2.7E-2</c:v>
                </c:pt>
                <c:pt idx="4">
                  <c:v>2.4E-2</c:v>
                </c:pt>
                <c:pt idx="5">
                  <c:v>2.3E-2</c:v>
                </c:pt>
                <c:pt idx="6">
                  <c:v>3.1E-2</c:v>
                </c:pt>
                <c:pt idx="7">
                  <c:v>3.1E-2</c:v>
                </c:pt>
                <c:pt idx="8">
                  <c:v>2.1000000000000001E-2</c:v>
                </c:pt>
                <c:pt idx="9">
                  <c:v>3.4000000000000002E-2</c:v>
                </c:pt>
                <c:pt idx="10">
                  <c:v>3.1E-2</c:v>
                </c:pt>
                <c:pt idx="11">
                  <c:v>3.2199999999999999E-2</c:v>
                </c:pt>
                <c:pt idx="12">
                  <c:v>3.1E-2</c:v>
                </c:pt>
                <c:pt idx="13">
                  <c:v>1.9E-2</c:v>
                </c:pt>
                <c:pt idx="14">
                  <c:v>2.9000000000000001E-2</c:v>
                </c:pt>
                <c:pt idx="15">
                  <c:v>0.03</c:v>
                </c:pt>
                <c:pt idx="16">
                  <c:v>2.9000000000000001E-2</c:v>
                </c:pt>
                <c:pt idx="17">
                  <c:v>2.5999999999999999E-2</c:v>
                </c:pt>
                <c:pt idx="18">
                  <c:v>2.7E-2</c:v>
                </c:pt>
              </c:numCache>
            </c:numRef>
          </c:val>
          <c:smooth val="0"/>
          <c:extLst>
            <c:ext xmlns:c16="http://schemas.microsoft.com/office/drawing/2014/chart" uri="{C3380CC4-5D6E-409C-BE32-E72D297353CC}">
              <c16:uniqueId val="{00000002-939D-45C2-9153-54905FD55FA4}"/>
            </c:ext>
          </c:extLst>
        </c:ser>
        <c:dLbls>
          <c:showLegendKey val="0"/>
          <c:showVal val="0"/>
          <c:showCatName val="0"/>
          <c:showSerName val="0"/>
          <c:showPercent val="0"/>
          <c:showBubbleSize val="0"/>
        </c:dLbls>
        <c:marker val="1"/>
        <c:smooth val="0"/>
        <c:axId val="230994304"/>
        <c:axId val="230992512"/>
        <c:extLst>
          <c:ext xmlns:c15="http://schemas.microsoft.com/office/drawing/2012/chart" uri="{02D57815-91ED-43cb-92C2-25804820EDAC}">
            <c15:filteredLineSeries>
              <c15:ser>
                <c:idx val="2"/>
                <c:order val="2"/>
                <c:tx>
                  <c:strRef>
                    <c:extLst>
                      <c:ext uri="{02D57815-91ED-43cb-92C2-25804820EDAC}">
                        <c15:formulaRef>
                          <c15:sqref>市场走势!$E$76</c15:sqref>
                        </c15:formulaRef>
                      </c:ext>
                    </c:extLst>
                    <c:strCache>
                      <c:ptCount val="1"/>
                      <c:pt idx="0">
                        <c:v>租金增长率</c:v>
                      </c:pt>
                    </c:strCache>
                  </c:strRef>
                </c:tx>
                <c:marker>
                  <c:symbol val="none"/>
                </c:marker>
                <c:cat>
                  <c:strRef>
                    <c:extLst>
                      <c:ext uri="{02D57815-91ED-43cb-92C2-25804820EDAC}">
                        <c15:fullRef>
                          <c15:sqref>市场走势!$B$77:$B$96</c15:sqref>
                        </c15:fullRef>
                        <c15:formulaRef>
                          <c15:sqref>市场走势!$B$78:$B$96</c15:sqref>
                        </c15:formulaRef>
                      </c:ext>
                    </c:extLst>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uri="{02D57815-91ED-43cb-92C2-25804820EDAC}">
                        <c15:fullRef>
                          <c15:sqref>市场走势!$E$77:$E$96</c15:sqref>
                        </c15:fullRef>
                        <c15:formulaRef>
                          <c15:sqref>市场走势!$E$78:$E$96</c15:sqref>
                        </c15:formulaRef>
                      </c:ext>
                    </c:extLst>
                    <c:numCache>
                      <c:formatCode>0.00%</c:formatCode>
                      <c:ptCount val="19"/>
                      <c:pt idx="1">
                        <c:v>9.2519993727457686E-3</c:v>
                      </c:pt>
                      <c:pt idx="2">
                        <c:v>3.2473586078309476E-2</c:v>
                      </c:pt>
                      <c:pt idx="3">
                        <c:v>-5.7185854025582463E-3</c:v>
                      </c:pt>
                      <c:pt idx="4">
                        <c:v>2.2400484334796359E-2</c:v>
                      </c:pt>
                      <c:pt idx="5">
                        <c:v>9.6225018504811251E-3</c:v>
                      </c:pt>
                      <c:pt idx="6">
                        <c:v>1.9061583577711944E-3</c:v>
                      </c:pt>
                      <c:pt idx="7">
                        <c:v>1.1268842382555313E-2</c:v>
                      </c:pt>
                      <c:pt idx="8">
                        <c:v>9.8408104196815553E-3</c:v>
                      </c:pt>
                      <c:pt idx="9">
                        <c:v>2.106620808254521E-2</c:v>
                      </c:pt>
                      <c:pt idx="10">
                        <c:v>-8.8982456140351326E-3</c:v>
                      </c:pt>
                      <c:pt idx="11">
                        <c:v>1.1711226917412458E-2</c:v>
                      </c:pt>
                      <c:pt idx="12">
                        <c:v>4.0031913553462391E-3</c:v>
                      </c:pt>
                      <c:pt idx="13">
                        <c:v>0</c:v>
                      </c:pt>
                      <c:pt idx="14">
                        <c:v>-8.1278144125805848E-3</c:v>
                      </c:pt>
                      <c:pt idx="15">
                        <c:v>-5.0459618249796634E-3</c:v>
                      </c:pt>
                      <c:pt idx="16">
                        <c:v>-3.6546258493791242E-2</c:v>
                      </c:pt>
                      <c:pt idx="17">
                        <c:v>-2.7888563049853345E-2</c:v>
                      </c:pt>
                      <c:pt idx="18">
                        <c:v>-3.0166822528583062E-2</c:v>
                      </c:pt>
                    </c:numCache>
                  </c:numRef>
                </c:val>
                <c:smooth val="0"/>
                <c:extLst>
                  <c:ext xmlns:c16="http://schemas.microsoft.com/office/drawing/2014/chart" uri="{C3380CC4-5D6E-409C-BE32-E72D297353CC}">
                    <c16:uniqueId val="{00000003-939D-45C2-9153-54905FD55FA4}"/>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市场走势!$F$76</c15:sqref>
                        </c15:formulaRef>
                      </c:ext>
                    </c:extLst>
                    <c:strCache>
                      <c:ptCount val="1"/>
                      <c:pt idx="0">
                        <c:v>新增供应</c:v>
                      </c:pt>
                    </c:strCache>
                  </c:strRef>
                </c:tx>
                <c:marker>
                  <c:symbol val="none"/>
                </c:marker>
                <c:cat>
                  <c:strRef>
                    <c:extLst>
                      <c:ext xmlns:c15="http://schemas.microsoft.com/office/drawing/2012/chart" uri="{02D57815-91ED-43cb-92C2-25804820EDAC}">
                        <c15:fullRef>
                          <c15:sqref>市场走势!$B$77:$B$96</c15:sqref>
                        </c15:fullRef>
                        <c15:formulaRef>
                          <c15:sqref>市场走势!$B$78:$B$96</c15:sqref>
                        </c15:formulaRef>
                      </c:ext>
                    </c:extLst>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市场走势!$F$77:$F$96</c15:sqref>
                        </c15:fullRef>
                        <c15:formulaRef>
                          <c15:sqref>市场走势!$F$78:$F$96</c15:sqref>
                        </c15:formulaRef>
                      </c:ext>
                    </c:extLst>
                    <c:numCache>
                      <c:formatCode>General</c:formatCode>
                      <c:ptCount val="19"/>
                      <c:pt idx="1">
                        <c:v>0</c:v>
                      </c:pt>
                      <c:pt idx="2">
                        <c:v>0</c:v>
                      </c:pt>
                      <c:pt idx="3">
                        <c:v>3.4099999999999966</c:v>
                      </c:pt>
                      <c:pt idx="4">
                        <c:v>0</c:v>
                      </c:pt>
                      <c:pt idx="5">
                        <c:v>0</c:v>
                      </c:pt>
                      <c:pt idx="6">
                        <c:v>0</c:v>
                      </c:pt>
                      <c:pt idx="7">
                        <c:v>0</c:v>
                      </c:pt>
                      <c:pt idx="8">
                        <c:v>0</c:v>
                      </c:pt>
                      <c:pt idx="9">
                        <c:v>13</c:v>
                      </c:pt>
                      <c:pt idx="10">
                        <c:v>0</c:v>
                      </c:pt>
                      <c:pt idx="11">
                        <c:v>0</c:v>
                      </c:pt>
                      <c:pt idx="12">
                        <c:v>0</c:v>
                      </c:pt>
                      <c:pt idx="13">
                        <c:v>0</c:v>
                      </c:pt>
                      <c:pt idx="14">
                        <c:v>0</c:v>
                      </c:pt>
                      <c:pt idx="15">
                        <c:v>0</c:v>
                      </c:pt>
                      <c:pt idx="16">
                        <c:v>5</c:v>
                      </c:pt>
                      <c:pt idx="17">
                        <c:v>0</c:v>
                      </c:pt>
                      <c:pt idx="18">
                        <c:v>0</c:v>
                      </c:pt>
                    </c:numCache>
                  </c:numRef>
                </c:val>
                <c:smooth val="0"/>
                <c:extLst xmlns:c15="http://schemas.microsoft.com/office/drawing/2012/chart">
                  <c:ext xmlns:c16="http://schemas.microsoft.com/office/drawing/2014/chart" uri="{C3380CC4-5D6E-409C-BE32-E72D297353CC}">
                    <c16:uniqueId val="{00000004-939D-45C2-9153-54905FD55FA4}"/>
                  </c:ext>
                </c:extLst>
              </c15:ser>
            </c15:filteredLineSeries>
          </c:ext>
        </c:extLst>
      </c:lineChart>
      <c:catAx>
        <c:axId val="230985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990976"/>
        <c:crosses val="autoZero"/>
        <c:auto val="1"/>
        <c:lblAlgn val="ctr"/>
        <c:lblOffset val="100"/>
        <c:noMultiLvlLbl val="0"/>
      </c:catAx>
      <c:valAx>
        <c:axId val="2309909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985088"/>
        <c:crosses val="autoZero"/>
        <c:crossBetween val="between"/>
      </c:valAx>
      <c:valAx>
        <c:axId val="230992512"/>
        <c:scaling>
          <c:orientation val="minMax"/>
          <c:max val="5.000000000000001E-2"/>
        </c:scaling>
        <c:delete val="0"/>
        <c:axPos val="r"/>
        <c:minorGridlines>
          <c:spPr>
            <a:ln>
              <a:noFill/>
            </a:ln>
          </c:spPr>
        </c:minorGridlines>
        <c:numFmt formatCode="0.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994304"/>
        <c:crosses val="max"/>
        <c:crossBetween val="between"/>
      </c:valAx>
      <c:catAx>
        <c:axId val="230994304"/>
        <c:scaling>
          <c:orientation val="minMax"/>
        </c:scaling>
        <c:delete val="1"/>
        <c:axPos val="b"/>
        <c:numFmt formatCode="General" sourceLinked="1"/>
        <c:majorTickMark val="out"/>
        <c:minorTickMark val="none"/>
        <c:tickLblPos val="nextTo"/>
        <c:crossAx val="23099251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sz="1600" b="0" i="0" baseline="0">
                <a:effectLst/>
              </a:rPr>
              <a:t>仲量北京金融街</a:t>
            </a:r>
            <a:r>
              <a:rPr lang="zh-CN" altLang="zh-CN" sz="1600" b="0" i="0" baseline="0">
                <a:effectLst/>
              </a:rPr>
              <a:t>办公楼市场分析</a:t>
            </a:r>
            <a:endParaRPr lang="zh-CN" altLang="zh-CN" sz="1600">
              <a:effectLst/>
            </a:endParaRPr>
          </a:p>
        </c:rich>
      </c:tx>
      <c:overlay val="0"/>
      <c:spPr>
        <a:noFill/>
        <a:ln>
          <a:noFill/>
        </a:ln>
        <a:effectLst/>
      </c:spPr>
    </c:title>
    <c:autoTitleDeleted val="0"/>
    <c:plotArea>
      <c:layout>
        <c:manualLayout>
          <c:layoutTarget val="inner"/>
          <c:xMode val="edge"/>
          <c:yMode val="edge"/>
          <c:x val="5.7208133005468495E-2"/>
          <c:y val="0.17380197522979723"/>
          <c:w val="0.85263127062682975"/>
          <c:h val="0.55672177864599759"/>
        </c:manualLayout>
      </c:layout>
      <c:barChart>
        <c:barDir val="col"/>
        <c:grouping val="clustered"/>
        <c:varyColors val="0"/>
        <c:ser>
          <c:idx val="5"/>
          <c:order val="5"/>
          <c:tx>
            <c:strRef>
              <c:f>市场走势!$Q$52</c:f>
              <c:strCache>
                <c:ptCount val="1"/>
                <c:pt idx="0">
                  <c:v>存量（万㎡）</c:v>
                </c:pt>
              </c:strCache>
            </c:strRef>
          </c:tx>
          <c:spPr>
            <a:solidFill>
              <a:schemeClr val="accent6"/>
            </a:solidFill>
            <a:ln>
              <a:noFill/>
            </a:ln>
            <a:effectLst/>
          </c:spPr>
          <c:invertIfNegative val="0"/>
          <c:cat>
            <c:strRef>
              <c:f>市场走势!$K$53:$K$72</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市场走势!$Q$53:$Q$72</c:f>
              <c:numCache>
                <c:formatCode>General</c:formatCode>
                <c:ptCount val="20"/>
                <c:pt idx="0">
                  <c:v>144.75</c:v>
                </c:pt>
                <c:pt idx="1">
                  <c:v>170.29</c:v>
                </c:pt>
                <c:pt idx="2">
                  <c:v>170.29</c:v>
                </c:pt>
                <c:pt idx="3">
                  <c:v>174.16</c:v>
                </c:pt>
                <c:pt idx="4">
                  <c:v>174.16</c:v>
                </c:pt>
                <c:pt idx="5">
                  <c:v>174.16</c:v>
                </c:pt>
                <c:pt idx="6">
                  <c:v>174.16</c:v>
                </c:pt>
                <c:pt idx="7">
                  <c:v>174.16</c:v>
                </c:pt>
                <c:pt idx="8">
                  <c:v>174.16</c:v>
                </c:pt>
                <c:pt idx="9">
                  <c:v>174.16</c:v>
                </c:pt>
                <c:pt idx="10">
                  <c:v>174.16</c:v>
                </c:pt>
                <c:pt idx="11">
                  <c:v>174.16</c:v>
                </c:pt>
                <c:pt idx="12">
                  <c:v>174.16</c:v>
                </c:pt>
                <c:pt idx="13">
                  <c:v>174.16</c:v>
                </c:pt>
                <c:pt idx="14">
                  <c:v>174.16</c:v>
                </c:pt>
                <c:pt idx="15">
                  <c:v>179.43</c:v>
                </c:pt>
                <c:pt idx="16">
                  <c:v>179.43</c:v>
                </c:pt>
                <c:pt idx="17">
                  <c:v>179.43</c:v>
                </c:pt>
                <c:pt idx="18">
                  <c:v>179.43</c:v>
                </c:pt>
                <c:pt idx="19">
                  <c:v>179.43</c:v>
                </c:pt>
              </c:numCache>
            </c:numRef>
          </c:val>
          <c:extLst>
            <c:ext xmlns:c16="http://schemas.microsoft.com/office/drawing/2014/chart" uri="{C3380CC4-5D6E-409C-BE32-E72D297353CC}">
              <c16:uniqueId val="{00000000-7585-4072-A82D-73FB0F295615}"/>
            </c:ext>
          </c:extLst>
        </c:ser>
        <c:dLbls>
          <c:showLegendKey val="0"/>
          <c:showVal val="0"/>
          <c:showCatName val="0"/>
          <c:showSerName val="0"/>
          <c:showPercent val="0"/>
          <c:showBubbleSize val="0"/>
        </c:dLbls>
        <c:gapWidth val="219"/>
        <c:axId val="231134336"/>
        <c:axId val="231135872"/>
      </c:barChart>
      <c:lineChart>
        <c:grouping val="standard"/>
        <c:varyColors val="0"/>
        <c:ser>
          <c:idx val="0"/>
          <c:order val="0"/>
          <c:tx>
            <c:strRef>
              <c:f>市场走势!$L$52</c:f>
              <c:strCache>
                <c:ptCount val="1"/>
                <c:pt idx="0">
                  <c:v>平均有效租金</c:v>
                </c:pt>
              </c:strCache>
            </c:strRef>
          </c:tx>
          <c:spPr>
            <a:ln w="28575" cap="rnd">
              <a:solidFill>
                <a:schemeClr val="accent1"/>
              </a:solidFill>
              <a:round/>
            </a:ln>
            <a:effectLst/>
          </c:spPr>
          <c:marker>
            <c:symbol val="none"/>
          </c:marker>
          <c:cat>
            <c:strRef>
              <c:f>市场走势!$K$53:$K$72</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市场走势!$L$53:$L$72</c:f>
              <c:numCache>
                <c:formatCode>General</c:formatCode>
                <c:ptCount val="20"/>
                <c:pt idx="0">
                  <c:v>602</c:v>
                </c:pt>
                <c:pt idx="1">
                  <c:v>613</c:v>
                </c:pt>
                <c:pt idx="2">
                  <c:v>618</c:v>
                </c:pt>
                <c:pt idx="3">
                  <c:v>620</c:v>
                </c:pt>
                <c:pt idx="4">
                  <c:v>621</c:v>
                </c:pt>
                <c:pt idx="5">
                  <c:v>627</c:v>
                </c:pt>
                <c:pt idx="6">
                  <c:v>631</c:v>
                </c:pt>
                <c:pt idx="7">
                  <c:v>651</c:v>
                </c:pt>
                <c:pt idx="8">
                  <c:v>652</c:v>
                </c:pt>
                <c:pt idx="9">
                  <c:v>654</c:v>
                </c:pt>
                <c:pt idx="10">
                  <c:v>662</c:v>
                </c:pt>
                <c:pt idx="11">
                  <c:v>665</c:v>
                </c:pt>
                <c:pt idx="12">
                  <c:v>668</c:v>
                </c:pt>
                <c:pt idx="13">
                  <c:v>667</c:v>
                </c:pt>
                <c:pt idx="14">
                  <c:v>668</c:v>
                </c:pt>
                <c:pt idx="15">
                  <c:v>670</c:v>
                </c:pt>
                <c:pt idx="16">
                  <c:v>670</c:v>
                </c:pt>
                <c:pt idx="17">
                  <c:v>663</c:v>
                </c:pt>
                <c:pt idx="18">
                  <c:v>659</c:v>
                </c:pt>
                <c:pt idx="19">
                  <c:v>652</c:v>
                </c:pt>
              </c:numCache>
            </c:numRef>
          </c:val>
          <c:smooth val="0"/>
          <c:extLst>
            <c:ext xmlns:c16="http://schemas.microsoft.com/office/drawing/2014/chart" uri="{C3380CC4-5D6E-409C-BE32-E72D297353CC}">
              <c16:uniqueId val="{00000001-7585-4072-A82D-73FB0F295615}"/>
            </c:ext>
          </c:extLst>
        </c:ser>
        <c:ser>
          <c:idx val="2"/>
          <c:order val="2"/>
          <c:tx>
            <c:strRef>
              <c:f>市场走势!$N$52</c:f>
              <c:strCache>
                <c:ptCount val="1"/>
                <c:pt idx="0">
                  <c:v>租金增长率</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市场走势!$K$53:$K$72</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市场走势!$N$53:$N$72</c:f>
            </c:numRef>
          </c:val>
          <c:smooth val="0"/>
          <c:extLst xmlns:c15="http://schemas.microsoft.com/office/drawing/2012/chart">
            <c:ext xmlns:c16="http://schemas.microsoft.com/office/drawing/2014/chart" uri="{C3380CC4-5D6E-409C-BE32-E72D297353CC}">
              <c16:uniqueId val="{00000003-7585-4072-A82D-73FB0F295615}"/>
            </c:ext>
          </c:extLst>
        </c:ser>
        <c:ser>
          <c:idx val="3"/>
          <c:order val="3"/>
          <c:tx>
            <c:strRef>
              <c:f>市场走势!$O$52</c:f>
              <c:strCache>
                <c:ptCount val="1"/>
                <c:pt idx="0">
                  <c:v>新增供应</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市场走势!$K$53:$K$72</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市场走势!$O$53:$O$72</c:f>
            </c:numRef>
          </c:val>
          <c:smooth val="0"/>
          <c:extLst xmlns:c15="http://schemas.microsoft.com/office/drawing/2012/chart">
            <c:ext xmlns:c16="http://schemas.microsoft.com/office/drawing/2014/chart" uri="{C3380CC4-5D6E-409C-BE32-E72D297353CC}">
              <c16:uniqueId val="{00000004-7585-4072-A82D-73FB0F295615}"/>
            </c:ext>
          </c:extLst>
        </c:ser>
        <c:ser>
          <c:idx val="4"/>
          <c:order val="4"/>
          <c:tx>
            <c:strRef>
              <c:f>市场走势!$P$52</c:f>
              <c:strCache>
                <c:ptCount val="1"/>
                <c:pt idx="0">
                  <c:v>库存（㎡）</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市场走势!$K$53:$K$72</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市场走势!$P$53:$P$72</c:f>
            </c:numRef>
          </c:val>
          <c:smooth val="0"/>
          <c:extLst xmlns:c15="http://schemas.microsoft.com/office/drawing/2012/chart">
            <c:ext xmlns:c16="http://schemas.microsoft.com/office/drawing/2014/chart" uri="{C3380CC4-5D6E-409C-BE32-E72D297353CC}">
              <c16:uniqueId val="{00000005-7585-4072-A82D-73FB0F295615}"/>
            </c:ext>
          </c:extLst>
        </c:ser>
        <c:dLbls>
          <c:showLegendKey val="0"/>
          <c:showVal val="0"/>
          <c:showCatName val="0"/>
          <c:showSerName val="0"/>
          <c:showPercent val="0"/>
          <c:showBubbleSize val="0"/>
        </c:dLbls>
        <c:marker val="1"/>
        <c:smooth val="0"/>
        <c:axId val="231134336"/>
        <c:axId val="231135872"/>
        <c:extLst/>
      </c:lineChart>
      <c:lineChart>
        <c:grouping val="standard"/>
        <c:varyColors val="0"/>
        <c:ser>
          <c:idx val="1"/>
          <c:order val="1"/>
          <c:tx>
            <c:strRef>
              <c:f>市场走势!$M$52</c:f>
              <c:strCache>
                <c:ptCount val="1"/>
                <c:pt idx="0">
                  <c:v>空置率</c:v>
                </c:pt>
              </c:strCache>
            </c:strRef>
          </c:tx>
          <c:spPr>
            <a:ln w="28575" cap="rnd">
              <a:solidFill>
                <a:schemeClr val="accent2"/>
              </a:solidFill>
              <a:round/>
            </a:ln>
            <a:effectLst/>
          </c:spPr>
          <c:marker>
            <c:symbol val="none"/>
          </c:marker>
          <c:cat>
            <c:strRef>
              <c:f>市场走势!$K$53:$K$72</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市场走势!$M$53:$M$72</c:f>
              <c:numCache>
                <c:formatCode>0.00%</c:formatCode>
                <c:ptCount val="20"/>
                <c:pt idx="0">
                  <c:v>1.9E-2</c:v>
                </c:pt>
                <c:pt idx="1">
                  <c:v>2.5000000000000001E-2</c:v>
                </c:pt>
                <c:pt idx="2">
                  <c:v>1.4E-2</c:v>
                </c:pt>
                <c:pt idx="3">
                  <c:v>7.0000000000000001E-3</c:v>
                </c:pt>
                <c:pt idx="4">
                  <c:v>7.0000000000000001E-3</c:v>
                </c:pt>
                <c:pt idx="5">
                  <c:v>8.0000000000000002E-3</c:v>
                </c:pt>
                <c:pt idx="6">
                  <c:v>7.0000000000000001E-3</c:v>
                </c:pt>
                <c:pt idx="7">
                  <c:v>7.0000000000000001E-3</c:v>
                </c:pt>
                <c:pt idx="8">
                  <c:v>6.0000000000000001E-3</c:v>
                </c:pt>
                <c:pt idx="9">
                  <c:v>0.01</c:v>
                </c:pt>
                <c:pt idx="10">
                  <c:v>1.0999999999999999E-2</c:v>
                </c:pt>
                <c:pt idx="11">
                  <c:v>0.01</c:v>
                </c:pt>
                <c:pt idx="12">
                  <c:v>8.0000000000000002E-3</c:v>
                </c:pt>
                <c:pt idx="13">
                  <c:v>1.0999999999999999E-2</c:v>
                </c:pt>
                <c:pt idx="14">
                  <c:v>1.2999999999999999E-2</c:v>
                </c:pt>
                <c:pt idx="15">
                  <c:v>2.1000000000000001E-2</c:v>
                </c:pt>
                <c:pt idx="16">
                  <c:v>1.9E-2</c:v>
                </c:pt>
                <c:pt idx="17">
                  <c:v>3.3000000000000002E-2</c:v>
                </c:pt>
                <c:pt idx="18">
                  <c:v>3.5999999999999997E-2</c:v>
                </c:pt>
                <c:pt idx="19">
                  <c:v>3.7999999999999999E-2</c:v>
                </c:pt>
              </c:numCache>
            </c:numRef>
          </c:val>
          <c:smooth val="0"/>
          <c:extLst>
            <c:ext xmlns:c16="http://schemas.microsoft.com/office/drawing/2014/chart" uri="{C3380CC4-5D6E-409C-BE32-E72D297353CC}">
              <c16:uniqueId val="{00000002-7585-4072-A82D-73FB0F295615}"/>
            </c:ext>
          </c:extLst>
        </c:ser>
        <c:dLbls>
          <c:showLegendKey val="0"/>
          <c:showVal val="0"/>
          <c:showCatName val="0"/>
          <c:showSerName val="0"/>
          <c:showPercent val="0"/>
          <c:showBubbleSize val="0"/>
        </c:dLbls>
        <c:marker val="1"/>
        <c:smooth val="0"/>
        <c:axId val="231143296"/>
        <c:axId val="231141760"/>
      </c:lineChart>
      <c:catAx>
        <c:axId val="231134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1135872"/>
        <c:crosses val="autoZero"/>
        <c:auto val="1"/>
        <c:lblAlgn val="ctr"/>
        <c:lblOffset val="100"/>
        <c:noMultiLvlLbl val="0"/>
      </c:catAx>
      <c:valAx>
        <c:axId val="2311358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1134336"/>
        <c:crosses val="autoZero"/>
        <c:crossBetween val="between"/>
      </c:valAx>
      <c:valAx>
        <c:axId val="231141760"/>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1143296"/>
        <c:crosses val="max"/>
        <c:crossBetween val="between"/>
      </c:valAx>
      <c:catAx>
        <c:axId val="231143296"/>
        <c:scaling>
          <c:orientation val="minMax"/>
        </c:scaling>
        <c:delete val="1"/>
        <c:axPos val="b"/>
        <c:numFmt formatCode="General" sourceLinked="1"/>
        <c:majorTickMark val="out"/>
        <c:minorTickMark val="none"/>
        <c:tickLblPos val="nextTo"/>
        <c:crossAx val="2311417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drawing3.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4.xml.rels><?xml version="1.0" encoding="UTF-8" standalone="yes"?>
<Relationships xmlns="http://schemas.openxmlformats.org/package/2006/relationships"><Relationship Id="rId8" Type="http://schemas.openxmlformats.org/officeDocument/2006/relationships/chart" Target="../charts/chart21.xml"/><Relationship Id="rId3" Type="http://schemas.openxmlformats.org/officeDocument/2006/relationships/chart" Target="../charts/chart16.xml"/><Relationship Id="rId7" Type="http://schemas.openxmlformats.org/officeDocument/2006/relationships/chart" Target="../charts/chart20.xml"/><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9.xml"/><Relationship Id="rId11" Type="http://schemas.openxmlformats.org/officeDocument/2006/relationships/chart" Target="../charts/chart24.xml"/><Relationship Id="rId5" Type="http://schemas.openxmlformats.org/officeDocument/2006/relationships/chart" Target="../charts/chart18.xml"/><Relationship Id="rId10" Type="http://schemas.openxmlformats.org/officeDocument/2006/relationships/chart" Target="../charts/chart23.xml"/><Relationship Id="rId4" Type="http://schemas.openxmlformats.org/officeDocument/2006/relationships/chart" Target="../charts/chart17.xml"/><Relationship Id="rId9" Type="http://schemas.openxmlformats.org/officeDocument/2006/relationships/chart" Target="../charts/chart2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17</xdr:col>
      <xdr:colOff>868680</xdr:colOff>
      <xdr:row>2</xdr:row>
      <xdr:rowOff>158115</xdr:rowOff>
    </xdr:from>
    <xdr:to>
      <xdr:col>22</xdr:col>
      <xdr:colOff>812874</xdr:colOff>
      <xdr:row>18</xdr:row>
      <xdr:rowOff>62277</xdr:rowOff>
    </xdr:to>
    <xdr:pic>
      <xdr:nvPicPr>
        <xdr:cNvPr id="2" name="图片 1">
          <a:extLst>
            <a:ext uri="{FF2B5EF4-FFF2-40B4-BE49-F238E27FC236}">
              <a16:creationId xmlns:a16="http://schemas.microsoft.com/office/drawing/2014/main" id="{A6D6A07E-F5F3-4431-A5B2-FA77BBC21580}"/>
            </a:ext>
          </a:extLst>
        </xdr:cNvPr>
        <xdr:cNvPicPr>
          <a:picLocks noChangeAspect="1"/>
        </xdr:cNvPicPr>
      </xdr:nvPicPr>
      <xdr:blipFill>
        <a:blip xmlns:r="http://schemas.openxmlformats.org/officeDocument/2006/relationships" r:embed="rId1"/>
        <a:stretch>
          <a:fillRect/>
        </a:stretch>
      </xdr:blipFill>
      <xdr:spPr>
        <a:xfrm>
          <a:off x="13470255" y="672465"/>
          <a:ext cx="4476190" cy="4704762"/>
        </a:xfrm>
        <a:prstGeom prst="rect">
          <a:avLst/>
        </a:prstGeom>
      </xdr:spPr>
    </xdr:pic>
    <xdr:clientData/>
  </xdr:twoCellAnchor>
  <xdr:twoCellAnchor editAs="oneCell">
    <xdr:from>
      <xdr:col>16</xdr:col>
      <xdr:colOff>276225</xdr:colOff>
      <xdr:row>37</xdr:row>
      <xdr:rowOff>228600</xdr:rowOff>
    </xdr:from>
    <xdr:to>
      <xdr:col>24</xdr:col>
      <xdr:colOff>3009</xdr:colOff>
      <xdr:row>54</xdr:row>
      <xdr:rowOff>161290</xdr:rowOff>
    </xdr:to>
    <xdr:pic>
      <xdr:nvPicPr>
        <xdr:cNvPr id="3" name="图片 2">
          <a:extLst>
            <a:ext uri="{FF2B5EF4-FFF2-40B4-BE49-F238E27FC236}">
              <a16:creationId xmlns:a16="http://schemas.microsoft.com/office/drawing/2014/main" id="{0071425B-5414-4AAB-8D79-92F26805B2D4}"/>
            </a:ext>
          </a:extLst>
        </xdr:cNvPr>
        <xdr:cNvPicPr>
          <a:picLocks noChangeAspect="1"/>
        </xdr:cNvPicPr>
      </xdr:nvPicPr>
      <xdr:blipFill>
        <a:blip xmlns:r="http://schemas.openxmlformats.org/officeDocument/2006/relationships" r:embed="rId2"/>
        <a:stretch>
          <a:fillRect/>
        </a:stretch>
      </xdr:blipFill>
      <xdr:spPr>
        <a:xfrm>
          <a:off x="12439650" y="12573000"/>
          <a:ext cx="6409524" cy="5076190"/>
        </a:xfrm>
        <a:prstGeom prst="rect">
          <a:avLst/>
        </a:prstGeom>
      </xdr:spPr>
    </xdr:pic>
    <xdr:clientData/>
  </xdr:twoCellAnchor>
  <xdr:twoCellAnchor editAs="oneCell">
    <xdr:from>
      <xdr:col>12</xdr:col>
      <xdr:colOff>476250</xdr:colOff>
      <xdr:row>88</xdr:row>
      <xdr:rowOff>295275</xdr:rowOff>
    </xdr:from>
    <xdr:to>
      <xdr:col>19</xdr:col>
      <xdr:colOff>322970</xdr:colOff>
      <xdr:row>99</xdr:row>
      <xdr:rowOff>322721</xdr:rowOff>
    </xdr:to>
    <xdr:pic>
      <xdr:nvPicPr>
        <xdr:cNvPr id="4" name="图片 3">
          <a:extLst>
            <a:ext uri="{FF2B5EF4-FFF2-40B4-BE49-F238E27FC236}">
              <a16:creationId xmlns:a16="http://schemas.microsoft.com/office/drawing/2014/main" id="{AD5E8E5C-E5AB-412F-83CE-F1298F942B2F}"/>
            </a:ext>
          </a:extLst>
        </xdr:cNvPr>
        <xdr:cNvPicPr>
          <a:picLocks noChangeAspect="1"/>
        </xdr:cNvPicPr>
      </xdr:nvPicPr>
      <xdr:blipFill>
        <a:blip xmlns:r="http://schemas.openxmlformats.org/officeDocument/2006/relationships" r:embed="rId3"/>
        <a:stretch>
          <a:fillRect/>
        </a:stretch>
      </xdr:blipFill>
      <xdr:spPr>
        <a:xfrm>
          <a:off x="10991850" y="27260550"/>
          <a:ext cx="5123570" cy="3799346"/>
        </a:xfrm>
        <a:prstGeom prst="rect">
          <a:avLst/>
        </a:prstGeom>
      </xdr:spPr>
    </xdr:pic>
    <xdr:clientData/>
  </xdr:twoCellAnchor>
  <xdr:twoCellAnchor editAs="oneCell">
    <xdr:from>
      <xdr:col>9</xdr:col>
      <xdr:colOff>561974</xdr:colOff>
      <xdr:row>86</xdr:row>
      <xdr:rowOff>56757</xdr:rowOff>
    </xdr:from>
    <xdr:to>
      <xdr:col>20</xdr:col>
      <xdr:colOff>46326</xdr:colOff>
      <xdr:row>95</xdr:row>
      <xdr:rowOff>113854</xdr:rowOff>
    </xdr:to>
    <xdr:pic>
      <xdr:nvPicPr>
        <xdr:cNvPr id="5" name="图片 4">
          <a:extLst>
            <a:ext uri="{FF2B5EF4-FFF2-40B4-BE49-F238E27FC236}">
              <a16:creationId xmlns:a16="http://schemas.microsoft.com/office/drawing/2014/main" id="{FEFD4FE8-F042-4970-9CDE-36ADD9D44470}"/>
            </a:ext>
          </a:extLst>
        </xdr:cNvPr>
        <xdr:cNvPicPr>
          <a:picLocks noChangeAspect="1"/>
        </xdr:cNvPicPr>
      </xdr:nvPicPr>
      <xdr:blipFill>
        <a:blip xmlns:r="http://schemas.openxmlformats.org/officeDocument/2006/relationships" r:embed="rId4"/>
        <a:stretch>
          <a:fillRect/>
        </a:stretch>
      </xdr:blipFill>
      <xdr:spPr>
        <a:xfrm>
          <a:off x="7629524" y="21688032"/>
          <a:ext cx="8637877" cy="297174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238124</xdr:colOff>
      <xdr:row>38</xdr:row>
      <xdr:rowOff>26747</xdr:rowOff>
    </xdr:from>
    <xdr:to>
      <xdr:col>21</xdr:col>
      <xdr:colOff>171449</xdr:colOff>
      <xdr:row>139</xdr:row>
      <xdr:rowOff>39892</xdr:rowOff>
    </xdr:to>
    <xdr:pic>
      <xdr:nvPicPr>
        <xdr:cNvPr id="2" name="图片 1">
          <a:extLst>
            <a:ext uri="{FF2B5EF4-FFF2-40B4-BE49-F238E27FC236}">
              <a16:creationId xmlns:a16="http://schemas.microsoft.com/office/drawing/2014/main" id="{53D49FB8-33F5-4521-8F21-1981BD1CF3E9}"/>
            </a:ext>
          </a:extLst>
        </xdr:cNvPr>
        <xdr:cNvPicPr>
          <a:picLocks noChangeAspect="1"/>
        </xdr:cNvPicPr>
      </xdr:nvPicPr>
      <xdr:blipFill>
        <a:blip xmlns:r="http://schemas.openxmlformats.org/officeDocument/2006/relationships" r:embed="rId1"/>
        <a:stretch>
          <a:fillRect/>
        </a:stretch>
      </xdr:blipFill>
      <xdr:spPr>
        <a:xfrm>
          <a:off x="10048874" y="18171872"/>
          <a:ext cx="6315075" cy="6166295"/>
        </a:xfrm>
        <a:prstGeom prst="rect">
          <a:avLst/>
        </a:prstGeom>
      </xdr:spPr>
    </xdr:pic>
    <xdr:clientData/>
  </xdr:twoCellAnchor>
  <xdr:twoCellAnchor editAs="oneCell">
    <xdr:from>
      <xdr:col>13</xdr:col>
      <xdr:colOff>647700</xdr:colOff>
      <xdr:row>37</xdr:row>
      <xdr:rowOff>104082</xdr:rowOff>
    </xdr:from>
    <xdr:to>
      <xdr:col>21</xdr:col>
      <xdr:colOff>357074</xdr:colOff>
      <xdr:row>126</xdr:row>
      <xdr:rowOff>94687</xdr:rowOff>
    </xdr:to>
    <xdr:pic>
      <xdr:nvPicPr>
        <xdr:cNvPr id="3" name="图片 2">
          <a:extLst>
            <a:ext uri="{FF2B5EF4-FFF2-40B4-BE49-F238E27FC236}">
              <a16:creationId xmlns:a16="http://schemas.microsoft.com/office/drawing/2014/main" id="{13FDEEF9-5754-4C9A-9E85-C94881108C62}"/>
            </a:ext>
          </a:extLst>
        </xdr:cNvPr>
        <xdr:cNvPicPr>
          <a:picLocks noChangeAspect="1"/>
        </xdr:cNvPicPr>
      </xdr:nvPicPr>
      <xdr:blipFill>
        <a:blip xmlns:r="http://schemas.openxmlformats.org/officeDocument/2006/relationships" r:embed="rId2"/>
        <a:stretch>
          <a:fillRect/>
        </a:stretch>
      </xdr:blipFill>
      <xdr:spPr>
        <a:xfrm>
          <a:off x="9782175" y="18039657"/>
          <a:ext cx="6767399" cy="4124455"/>
        </a:xfrm>
        <a:prstGeom prst="rect">
          <a:avLst/>
        </a:prstGeom>
      </xdr:spPr>
    </xdr:pic>
    <xdr:clientData/>
  </xdr:twoCellAnchor>
  <xdr:twoCellAnchor editAs="oneCell">
    <xdr:from>
      <xdr:col>15</xdr:col>
      <xdr:colOff>819150</xdr:colOff>
      <xdr:row>42</xdr:row>
      <xdr:rowOff>304107</xdr:rowOff>
    </xdr:from>
    <xdr:to>
      <xdr:col>31</xdr:col>
      <xdr:colOff>70976</xdr:colOff>
      <xdr:row>122</xdr:row>
      <xdr:rowOff>56293</xdr:rowOff>
    </xdr:to>
    <xdr:pic>
      <xdr:nvPicPr>
        <xdr:cNvPr id="4" name="图片 3">
          <a:extLst>
            <a:ext uri="{FF2B5EF4-FFF2-40B4-BE49-F238E27FC236}">
              <a16:creationId xmlns:a16="http://schemas.microsoft.com/office/drawing/2014/main" id="{C2906241-585D-4CCA-AA70-5E3F16B9D8A0}"/>
            </a:ext>
          </a:extLst>
        </xdr:cNvPr>
        <xdr:cNvPicPr>
          <a:picLocks noChangeAspect="1"/>
        </xdr:cNvPicPr>
      </xdr:nvPicPr>
      <xdr:blipFill>
        <a:blip xmlns:r="http://schemas.openxmlformats.org/officeDocument/2006/relationships" r:embed="rId3"/>
        <a:stretch>
          <a:fillRect/>
        </a:stretch>
      </xdr:blipFill>
      <xdr:spPr>
        <a:xfrm>
          <a:off x="11477625" y="19916082"/>
          <a:ext cx="11339051" cy="1523836"/>
        </a:xfrm>
        <a:prstGeom prst="rect">
          <a:avLst/>
        </a:prstGeom>
      </xdr:spPr>
    </xdr:pic>
    <xdr:clientData/>
  </xdr:twoCellAnchor>
  <xdr:twoCellAnchor editAs="oneCell">
    <xdr:from>
      <xdr:col>24</xdr:col>
      <xdr:colOff>304800</xdr:colOff>
      <xdr:row>4</xdr:row>
      <xdr:rowOff>211035</xdr:rowOff>
    </xdr:from>
    <xdr:to>
      <xdr:col>32</xdr:col>
      <xdr:colOff>361042</xdr:colOff>
      <xdr:row>10</xdr:row>
      <xdr:rowOff>866207</xdr:rowOff>
    </xdr:to>
    <xdr:pic>
      <xdr:nvPicPr>
        <xdr:cNvPr id="5" name="图片 4">
          <a:extLst>
            <a:ext uri="{FF2B5EF4-FFF2-40B4-BE49-F238E27FC236}">
              <a16:creationId xmlns:a16="http://schemas.microsoft.com/office/drawing/2014/main" id="{D5FF6D8E-7D77-47F8-9468-1B8C6A236503}"/>
            </a:ext>
          </a:extLst>
        </xdr:cNvPr>
        <xdr:cNvPicPr>
          <a:picLocks noChangeAspect="1"/>
        </xdr:cNvPicPr>
      </xdr:nvPicPr>
      <xdr:blipFill>
        <a:blip xmlns:r="http://schemas.openxmlformats.org/officeDocument/2006/relationships" r:embed="rId4"/>
        <a:stretch>
          <a:fillRect/>
        </a:stretch>
      </xdr:blipFill>
      <xdr:spPr>
        <a:xfrm>
          <a:off x="18316575" y="1477860"/>
          <a:ext cx="5466442" cy="341742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19</xdr:col>
      <xdr:colOff>381000</xdr:colOff>
      <xdr:row>26</xdr:row>
      <xdr:rowOff>66675</xdr:rowOff>
    </xdr:from>
    <xdr:to>
      <xdr:col>28</xdr:col>
      <xdr:colOff>152400</xdr:colOff>
      <xdr:row>49</xdr:row>
      <xdr:rowOff>66675</xdr:rowOff>
    </xdr:to>
    <xdr:graphicFrame macro="">
      <xdr:nvGraphicFramePr>
        <xdr:cNvPr id="4" name="图表 3">
          <a:extLst>
            <a:ext uri="{FF2B5EF4-FFF2-40B4-BE49-F238E27FC236}">
              <a16:creationId xmlns:a16="http://schemas.microsoft.com/office/drawing/2014/main" id="{2FFE596B-5575-425F-A4CC-33CD33267E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28574</xdr:colOff>
      <xdr:row>118</xdr:row>
      <xdr:rowOff>47626</xdr:rowOff>
    </xdr:from>
    <xdr:to>
      <xdr:col>20</xdr:col>
      <xdr:colOff>38100</xdr:colOff>
      <xdr:row>135</xdr:row>
      <xdr:rowOff>114300</xdr:rowOff>
    </xdr:to>
    <xdr:graphicFrame macro="">
      <xdr:nvGraphicFramePr>
        <xdr:cNvPr id="5" name="图表 4">
          <a:extLst>
            <a:ext uri="{FF2B5EF4-FFF2-40B4-BE49-F238E27FC236}">
              <a16:creationId xmlns:a16="http://schemas.microsoft.com/office/drawing/2014/main" id="{A4900CC9-B959-4D1E-933D-6C45DC8F0B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228599</xdr:colOff>
      <xdr:row>2</xdr:row>
      <xdr:rowOff>123825</xdr:rowOff>
    </xdr:from>
    <xdr:to>
      <xdr:col>30</xdr:col>
      <xdr:colOff>333374</xdr:colOff>
      <xdr:row>20</xdr:row>
      <xdr:rowOff>142874</xdr:rowOff>
    </xdr:to>
    <xdr:graphicFrame macro="">
      <xdr:nvGraphicFramePr>
        <xdr:cNvPr id="6" name="图表 5">
          <a:extLst>
            <a:ext uri="{FF2B5EF4-FFF2-40B4-BE49-F238E27FC236}">
              <a16:creationId xmlns:a16="http://schemas.microsoft.com/office/drawing/2014/main" id="{21D16EB3-549B-4025-9142-7C3ED6F4D0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104774</xdr:colOff>
      <xdr:row>130</xdr:row>
      <xdr:rowOff>150928</xdr:rowOff>
    </xdr:from>
    <xdr:to>
      <xdr:col>9</xdr:col>
      <xdr:colOff>609165</xdr:colOff>
      <xdr:row>145</xdr:row>
      <xdr:rowOff>157109</xdr:rowOff>
    </xdr:to>
    <xdr:graphicFrame macro="">
      <xdr:nvGraphicFramePr>
        <xdr:cNvPr id="8" name="图表 7">
          <a:extLst>
            <a:ext uri="{FF2B5EF4-FFF2-40B4-BE49-F238E27FC236}">
              <a16:creationId xmlns:a16="http://schemas.microsoft.com/office/drawing/2014/main" id="{FC4B2AD0-84DA-4B5C-A666-826F83F3CF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28574</xdr:colOff>
      <xdr:row>116</xdr:row>
      <xdr:rowOff>86935</xdr:rowOff>
    </xdr:from>
    <xdr:to>
      <xdr:col>9</xdr:col>
      <xdr:colOff>647699</xdr:colOff>
      <xdr:row>129</xdr:row>
      <xdr:rowOff>142875</xdr:rowOff>
    </xdr:to>
    <xdr:graphicFrame macro="">
      <xdr:nvGraphicFramePr>
        <xdr:cNvPr id="9" name="图表 8">
          <a:extLst>
            <a:ext uri="{FF2B5EF4-FFF2-40B4-BE49-F238E27FC236}">
              <a16:creationId xmlns:a16="http://schemas.microsoft.com/office/drawing/2014/main" id="{43693B86-D3C6-4C60-B0CA-206CEC880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66675</xdr:colOff>
      <xdr:row>99</xdr:row>
      <xdr:rowOff>142874</xdr:rowOff>
    </xdr:from>
    <xdr:to>
      <xdr:col>9</xdr:col>
      <xdr:colOff>352425</xdr:colOff>
      <xdr:row>115</xdr:row>
      <xdr:rowOff>75769</xdr:rowOff>
    </xdr:to>
    <xdr:graphicFrame macro="">
      <xdr:nvGraphicFramePr>
        <xdr:cNvPr id="10" name="图表 9">
          <a:extLst>
            <a:ext uri="{FF2B5EF4-FFF2-40B4-BE49-F238E27FC236}">
              <a16:creationId xmlns:a16="http://schemas.microsoft.com/office/drawing/2014/main" id="{373675DA-DE46-4AE6-AB28-3D6A53F29E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762000</xdr:colOff>
      <xdr:row>101</xdr:row>
      <xdr:rowOff>76200</xdr:rowOff>
    </xdr:from>
    <xdr:to>
      <xdr:col>19</xdr:col>
      <xdr:colOff>266700</xdr:colOff>
      <xdr:row>118</xdr:row>
      <xdr:rowOff>76200</xdr:rowOff>
    </xdr:to>
    <xdr:graphicFrame macro="">
      <xdr:nvGraphicFramePr>
        <xdr:cNvPr id="11" name="图表 10">
          <a:extLst>
            <a:ext uri="{FF2B5EF4-FFF2-40B4-BE49-F238E27FC236}">
              <a16:creationId xmlns:a16="http://schemas.microsoft.com/office/drawing/2014/main" id="{DB6918F6-F236-4C51-B58B-A8BCA460BD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104775</xdr:colOff>
      <xdr:row>147</xdr:row>
      <xdr:rowOff>57150</xdr:rowOff>
    </xdr:from>
    <xdr:to>
      <xdr:col>9</xdr:col>
      <xdr:colOff>390525</xdr:colOff>
      <xdr:row>162</xdr:row>
      <xdr:rowOff>161495</xdr:rowOff>
    </xdr:to>
    <xdr:graphicFrame macro="">
      <xdr:nvGraphicFramePr>
        <xdr:cNvPr id="13" name="图表 12">
          <a:extLst>
            <a:ext uri="{FF2B5EF4-FFF2-40B4-BE49-F238E27FC236}">
              <a16:creationId xmlns:a16="http://schemas.microsoft.com/office/drawing/2014/main" id="{1EAD59F9-17D9-452F-A890-D62534B98B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1581150</xdr:colOff>
      <xdr:row>137</xdr:row>
      <xdr:rowOff>47625</xdr:rowOff>
    </xdr:from>
    <xdr:to>
      <xdr:col>19</xdr:col>
      <xdr:colOff>581026</xdr:colOff>
      <xdr:row>154</xdr:row>
      <xdr:rowOff>76199</xdr:rowOff>
    </xdr:to>
    <xdr:graphicFrame macro="">
      <xdr:nvGraphicFramePr>
        <xdr:cNvPr id="14" name="图表 13">
          <a:extLst>
            <a:ext uri="{FF2B5EF4-FFF2-40B4-BE49-F238E27FC236}">
              <a16:creationId xmlns:a16="http://schemas.microsoft.com/office/drawing/2014/main" id="{4A3580C7-D784-42E7-B833-EFA31C2641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28</xdr:col>
      <xdr:colOff>47625</xdr:colOff>
      <xdr:row>49</xdr:row>
      <xdr:rowOff>161925</xdr:rowOff>
    </xdr:from>
    <xdr:to>
      <xdr:col>35</xdr:col>
      <xdr:colOff>276225</xdr:colOff>
      <xdr:row>61</xdr:row>
      <xdr:rowOff>161925</xdr:rowOff>
    </xdr:to>
    <xdr:graphicFrame macro="">
      <xdr:nvGraphicFramePr>
        <xdr:cNvPr id="12" name="图表 11">
          <a:extLst>
            <a:ext uri="{FF2B5EF4-FFF2-40B4-BE49-F238E27FC236}">
              <a16:creationId xmlns:a16="http://schemas.microsoft.com/office/drawing/2014/main" id="{DB9E9F44-0127-46BD-9D20-1B6320386D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27</xdr:col>
      <xdr:colOff>676275</xdr:colOff>
      <xdr:row>62</xdr:row>
      <xdr:rowOff>19050</xdr:rowOff>
    </xdr:from>
    <xdr:to>
      <xdr:col>35</xdr:col>
      <xdr:colOff>219075</xdr:colOff>
      <xdr:row>78</xdr:row>
      <xdr:rowOff>19050</xdr:rowOff>
    </xdr:to>
    <xdr:graphicFrame macro="">
      <xdr:nvGraphicFramePr>
        <xdr:cNvPr id="15" name="图表 14">
          <a:extLst>
            <a:ext uri="{FF2B5EF4-FFF2-40B4-BE49-F238E27FC236}">
              <a16:creationId xmlns:a16="http://schemas.microsoft.com/office/drawing/2014/main" id="{BA2367B5-7671-43FB-A310-E4DABC2E9A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27</xdr:col>
      <xdr:colOff>609600</xdr:colOff>
      <xdr:row>79</xdr:row>
      <xdr:rowOff>57150</xdr:rowOff>
    </xdr:from>
    <xdr:to>
      <xdr:col>35</xdr:col>
      <xdr:colOff>152400</xdr:colOff>
      <xdr:row>96</xdr:row>
      <xdr:rowOff>57150</xdr:rowOff>
    </xdr:to>
    <xdr:graphicFrame macro="">
      <xdr:nvGraphicFramePr>
        <xdr:cNvPr id="16" name="图表 15">
          <a:extLst>
            <a:ext uri="{FF2B5EF4-FFF2-40B4-BE49-F238E27FC236}">
              <a16:creationId xmlns:a16="http://schemas.microsoft.com/office/drawing/2014/main" id="{659B7D7B-2E2B-47D1-8DE7-010C4365C5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28</xdr:col>
      <xdr:colOff>228600</xdr:colOff>
      <xdr:row>98</xdr:row>
      <xdr:rowOff>152400</xdr:rowOff>
    </xdr:from>
    <xdr:to>
      <xdr:col>35</xdr:col>
      <xdr:colOff>457200</xdr:colOff>
      <xdr:row>115</xdr:row>
      <xdr:rowOff>152400</xdr:rowOff>
    </xdr:to>
    <xdr:graphicFrame macro="">
      <xdr:nvGraphicFramePr>
        <xdr:cNvPr id="17" name="图表 16">
          <a:extLst>
            <a:ext uri="{FF2B5EF4-FFF2-40B4-BE49-F238E27FC236}">
              <a16:creationId xmlns:a16="http://schemas.microsoft.com/office/drawing/2014/main" id="{8877C025-2EF1-4F98-AF46-8A70C7C795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133350</xdr:colOff>
      <xdr:row>17</xdr:row>
      <xdr:rowOff>47624</xdr:rowOff>
    </xdr:from>
    <xdr:to>
      <xdr:col>6</xdr:col>
      <xdr:colOff>647700</xdr:colOff>
      <xdr:row>33</xdr:row>
      <xdr:rowOff>57149</xdr:rowOff>
    </xdr:to>
    <xdr:graphicFrame macro="">
      <xdr:nvGraphicFramePr>
        <xdr:cNvPr id="3" name="图表 2">
          <a:extLst>
            <a:ext uri="{FF2B5EF4-FFF2-40B4-BE49-F238E27FC236}">
              <a16:creationId xmlns:a16="http://schemas.microsoft.com/office/drawing/2014/main" id="{EF9FE1EE-6D7A-4CBF-84AA-B0761DDECB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114300</xdr:colOff>
      <xdr:row>33</xdr:row>
      <xdr:rowOff>133350</xdr:rowOff>
    </xdr:from>
    <xdr:to>
      <xdr:col>6</xdr:col>
      <xdr:colOff>666750</xdr:colOff>
      <xdr:row>48</xdr:row>
      <xdr:rowOff>133350</xdr:rowOff>
    </xdr:to>
    <xdr:graphicFrame macro="">
      <xdr:nvGraphicFramePr>
        <xdr:cNvPr id="4" name="图表 3">
          <a:extLst>
            <a:ext uri="{FF2B5EF4-FFF2-40B4-BE49-F238E27FC236}">
              <a16:creationId xmlns:a16="http://schemas.microsoft.com/office/drawing/2014/main" id="{1C9DD7EC-E783-4323-88BC-FFFFEB67F4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161925</xdr:colOff>
      <xdr:row>50</xdr:row>
      <xdr:rowOff>74729</xdr:rowOff>
    </xdr:from>
    <xdr:to>
      <xdr:col>14</xdr:col>
      <xdr:colOff>285316</xdr:colOff>
      <xdr:row>65</xdr:row>
      <xdr:rowOff>80910</xdr:rowOff>
    </xdr:to>
    <xdr:graphicFrame macro="">
      <xdr:nvGraphicFramePr>
        <xdr:cNvPr id="5" name="图表 4">
          <a:extLst>
            <a:ext uri="{FF2B5EF4-FFF2-40B4-BE49-F238E27FC236}">
              <a16:creationId xmlns:a16="http://schemas.microsoft.com/office/drawing/2014/main" id="{195FA416-07AB-41C1-A606-BA6EA0DA2E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161925</xdr:colOff>
      <xdr:row>18</xdr:row>
      <xdr:rowOff>9525</xdr:rowOff>
    </xdr:from>
    <xdr:to>
      <xdr:col>14</xdr:col>
      <xdr:colOff>428624</xdr:colOff>
      <xdr:row>32</xdr:row>
      <xdr:rowOff>9525</xdr:rowOff>
    </xdr:to>
    <xdr:graphicFrame macro="">
      <xdr:nvGraphicFramePr>
        <xdr:cNvPr id="6" name="图表 5">
          <a:extLst>
            <a:ext uri="{FF2B5EF4-FFF2-40B4-BE49-F238E27FC236}">
              <a16:creationId xmlns:a16="http://schemas.microsoft.com/office/drawing/2014/main" id="{9979AB3E-AD14-454C-99A2-F51BE6B348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352426</xdr:colOff>
      <xdr:row>1</xdr:row>
      <xdr:rowOff>104775</xdr:rowOff>
    </xdr:from>
    <xdr:to>
      <xdr:col>14</xdr:col>
      <xdr:colOff>85725</xdr:colOff>
      <xdr:row>16</xdr:row>
      <xdr:rowOff>113870</xdr:rowOff>
    </xdr:to>
    <xdr:graphicFrame macro="">
      <xdr:nvGraphicFramePr>
        <xdr:cNvPr id="7" name="图表 6">
          <a:extLst>
            <a:ext uri="{FF2B5EF4-FFF2-40B4-BE49-F238E27FC236}">
              <a16:creationId xmlns:a16="http://schemas.microsoft.com/office/drawing/2014/main" id="{8C5B4188-A998-41F1-8292-9EF68D2AAB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123826</xdr:colOff>
      <xdr:row>33</xdr:row>
      <xdr:rowOff>152399</xdr:rowOff>
    </xdr:from>
    <xdr:to>
      <xdr:col>14</xdr:col>
      <xdr:colOff>28576</xdr:colOff>
      <xdr:row>50</xdr:row>
      <xdr:rowOff>47196</xdr:rowOff>
    </xdr:to>
    <xdr:graphicFrame macro="">
      <xdr:nvGraphicFramePr>
        <xdr:cNvPr id="8" name="图表 7">
          <a:extLst>
            <a:ext uri="{FF2B5EF4-FFF2-40B4-BE49-F238E27FC236}">
              <a16:creationId xmlns:a16="http://schemas.microsoft.com/office/drawing/2014/main" id="{97CE837E-4321-420D-95EF-31DAC9FEA6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523874</xdr:colOff>
      <xdr:row>16</xdr:row>
      <xdr:rowOff>152399</xdr:rowOff>
    </xdr:from>
    <xdr:to>
      <xdr:col>21</xdr:col>
      <xdr:colOff>400050</xdr:colOff>
      <xdr:row>30</xdr:row>
      <xdr:rowOff>142874</xdr:rowOff>
    </xdr:to>
    <xdr:graphicFrame macro="">
      <xdr:nvGraphicFramePr>
        <xdr:cNvPr id="9" name="图表 8">
          <a:extLst>
            <a:ext uri="{FF2B5EF4-FFF2-40B4-BE49-F238E27FC236}">
              <a16:creationId xmlns:a16="http://schemas.microsoft.com/office/drawing/2014/main" id="{F73D3A25-E6F3-4177-9D01-E397AEC307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14</xdr:col>
      <xdr:colOff>352425</xdr:colOff>
      <xdr:row>2</xdr:row>
      <xdr:rowOff>57150</xdr:rowOff>
    </xdr:from>
    <xdr:to>
      <xdr:col>21</xdr:col>
      <xdr:colOff>180975</xdr:colOff>
      <xdr:row>16</xdr:row>
      <xdr:rowOff>57150</xdr:rowOff>
    </xdr:to>
    <xdr:graphicFrame macro="">
      <xdr:nvGraphicFramePr>
        <xdr:cNvPr id="10" name="图表 9">
          <a:extLst>
            <a:ext uri="{FF2B5EF4-FFF2-40B4-BE49-F238E27FC236}">
              <a16:creationId xmlns:a16="http://schemas.microsoft.com/office/drawing/2014/main" id="{1CB16B9F-56E4-4575-B85D-E09621462A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485775</xdr:colOff>
      <xdr:row>33</xdr:row>
      <xdr:rowOff>95249</xdr:rowOff>
    </xdr:from>
    <xdr:to>
      <xdr:col>22</xdr:col>
      <xdr:colOff>190500</xdr:colOff>
      <xdr:row>47</xdr:row>
      <xdr:rowOff>133348</xdr:rowOff>
    </xdr:to>
    <xdr:graphicFrame macro="">
      <xdr:nvGraphicFramePr>
        <xdr:cNvPr id="11" name="图表 10">
          <a:extLst>
            <a:ext uri="{FF2B5EF4-FFF2-40B4-BE49-F238E27FC236}">
              <a16:creationId xmlns:a16="http://schemas.microsoft.com/office/drawing/2014/main" id="{381D804D-187A-4E66-8C6E-4D6E04DA33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49</xdr:row>
      <xdr:rowOff>152400</xdr:rowOff>
    </xdr:from>
    <xdr:to>
      <xdr:col>7</xdr:col>
      <xdr:colOff>114300</xdr:colOff>
      <xdr:row>65</xdr:row>
      <xdr:rowOff>114300</xdr:rowOff>
    </xdr:to>
    <xdr:graphicFrame macro="">
      <xdr:nvGraphicFramePr>
        <xdr:cNvPr id="13" name="图表 12">
          <a:extLst>
            <a:ext uri="{FF2B5EF4-FFF2-40B4-BE49-F238E27FC236}">
              <a16:creationId xmlns:a16="http://schemas.microsoft.com/office/drawing/2014/main" id="{2E77D785-BFB2-4646-A19E-CB2575FF33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xdr:row>
      <xdr:rowOff>133350</xdr:rowOff>
    </xdr:from>
    <xdr:to>
      <xdr:col>7</xdr:col>
      <xdr:colOff>9525</xdr:colOff>
      <xdr:row>16</xdr:row>
      <xdr:rowOff>0</xdr:rowOff>
    </xdr:to>
    <xdr:graphicFrame macro="">
      <xdr:nvGraphicFramePr>
        <xdr:cNvPr id="14" name="图表 13">
          <a:extLst>
            <a:ext uri="{FF2B5EF4-FFF2-40B4-BE49-F238E27FC236}">
              <a16:creationId xmlns:a16="http://schemas.microsoft.com/office/drawing/2014/main" id="{E1D3BF4C-4228-4C8E-A865-D801877D4D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425;/2.&#32508;&#21512;/4.&#35810;&#20215;&#21450;&#20854;&#20182;/2021-1-0305-F01ZLGJ6&#21271;&#20140;&#24066;&#28023;&#28096;&#21306;&#21271;&#34562;&#31389;&#36335;5&#21495;&#38498;3&#12289;4&#21495;&#27004;&#35033;&#25151;&#19968;&#23618;&#37096;&#20998;&#21830;&#19994;&#29992;&#25151;/F01/&#20013;&#34892;&#31199;&#37329;&#21271;&#34562;&#31389;-&#20351;&#29992;&#38754;&#31215;-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8754;&#31215;&#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结果一览表"/>
      <sheetName val="成本法"/>
      <sheetName val="成本法 (元)"/>
      <sheetName val="假设开发法"/>
      <sheetName val="收益法 (元)"/>
      <sheetName val="收益法（汇总）"/>
      <sheetName val="酒店收入计算"/>
      <sheetName val="比较法-住宅"/>
      <sheetName val="比较法-商业 (2)"/>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
      <sheetName val="Sheet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商业</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sheetData sheetId="24"/>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sheetData sheetId="27">
        <row r="49">
          <cell r="C49">
            <v>11.7</v>
          </cell>
        </row>
        <row r="61">
          <cell r="A61" t="str">
            <v>交易情况</v>
          </cell>
          <cell r="C61" t="str">
            <v>正常</v>
          </cell>
          <cell r="D61" t="str">
            <v>正常（挂牌）</v>
          </cell>
        </row>
        <row r="63">
          <cell r="B63" t="str">
            <v>用途</v>
          </cell>
          <cell r="C63" t="str">
            <v>商业</v>
          </cell>
        </row>
        <row r="86">
          <cell r="B86" t="str">
            <v>临街状况</v>
          </cell>
          <cell r="C86" t="str">
            <v>高速路</v>
          </cell>
          <cell r="D86" t="str">
            <v>快速路</v>
          </cell>
          <cell r="E86" t="str">
            <v>城市主干道</v>
          </cell>
          <cell r="F86" t="str">
            <v>城市次干道</v>
          </cell>
          <cell r="G86" t="str">
            <v>城市支路</v>
          </cell>
        </row>
        <row r="90">
          <cell r="B90" t="str">
            <v>人流量</v>
          </cell>
          <cell r="C90" t="str">
            <v>较大</v>
          </cell>
          <cell r="D90" t="str">
            <v>一般</v>
          </cell>
        </row>
        <row r="92">
          <cell r="B92" t="str">
            <v>楼层</v>
          </cell>
          <cell r="C92" t="str">
            <v>1层</v>
          </cell>
        </row>
        <row r="100">
          <cell r="B100" t="str">
            <v>商业类型</v>
          </cell>
          <cell r="C100" t="str">
            <v>住宅底商</v>
          </cell>
          <cell r="D100" t="str">
            <v>办公楼底商</v>
          </cell>
        </row>
        <row r="105">
          <cell r="B105" t="str">
            <v>建筑结构</v>
          </cell>
          <cell r="C105" t="str">
            <v>钢混</v>
          </cell>
        </row>
        <row r="107">
          <cell r="B107" t="str">
            <v>公共部分装修</v>
          </cell>
          <cell r="C107" t="str">
            <v>精装修</v>
          </cell>
        </row>
        <row r="112">
          <cell r="B112" t="str">
            <v>市政基础设施</v>
          </cell>
          <cell r="C112" t="str">
            <v>七通</v>
          </cell>
          <cell r="D112" t="str">
            <v>六通</v>
          </cell>
          <cell r="E112" t="str">
            <v>五通</v>
          </cell>
          <cell r="F112" t="str">
            <v>四通</v>
          </cell>
          <cell r="G112" t="str">
            <v>三通</v>
          </cell>
        </row>
        <row r="114">
          <cell r="B114" t="str">
            <v>业态</v>
          </cell>
        </row>
        <row r="116">
          <cell r="B116" t="str">
            <v>层高</v>
          </cell>
          <cell r="C116" t="str">
            <v>标准层高</v>
          </cell>
        </row>
        <row r="120">
          <cell r="B120" t="str">
            <v>进深比</v>
          </cell>
        </row>
        <row r="122">
          <cell r="B122" t="str">
            <v>内部装修</v>
          </cell>
          <cell r="C122" t="str">
            <v>精装修</v>
          </cell>
          <cell r="D122" t="str">
            <v>普通装修</v>
          </cell>
          <cell r="E122" t="str">
            <v>一般装修</v>
          </cell>
          <cell r="F122" t="str">
            <v>毛坯</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sheetData sheetId="3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6"/>
      <sheetData sheetId="37"/>
      <sheetData sheetId="38"/>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面积"/>
      <sheetName val="租约"/>
      <sheetName val="Sheet3"/>
    </sheetNames>
    <sheetDataSet>
      <sheetData sheetId="0" refreshError="1"/>
      <sheetData sheetId="1" refreshError="1"/>
      <sheetData sheetId="2">
        <row r="3">
          <cell r="C3" t="str">
            <v>平均有效租金</v>
          </cell>
          <cell r="S3" t="str">
            <v>平均有效租金</v>
          </cell>
          <cell r="T3" t="str">
            <v>空置率</v>
          </cell>
          <cell r="U3" t="str">
            <v>租金增长率</v>
          </cell>
          <cell r="V3" t="str">
            <v>新增供应</v>
          </cell>
          <cell r="W3" t="str">
            <v>存量（㎡）</v>
          </cell>
          <cell r="X3" t="str">
            <v>存量（万㎡）</v>
          </cell>
        </row>
        <row r="4">
          <cell r="R4">
            <v>2016.1</v>
          </cell>
          <cell r="S4">
            <v>339.8</v>
          </cell>
          <cell r="T4">
            <v>3.9E-2</v>
          </cell>
          <cell r="W4">
            <v>9240000</v>
          </cell>
          <cell r="X4">
            <v>924</v>
          </cell>
        </row>
        <row r="5">
          <cell r="R5">
            <v>2016.2</v>
          </cell>
          <cell r="S5">
            <v>337.8</v>
          </cell>
          <cell r="T5">
            <v>4.3999999999999997E-2</v>
          </cell>
          <cell r="U5">
            <v>-5.885815185403178E-3</v>
          </cell>
          <cell r="V5">
            <v>300000</v>
          </cell>
          <cell r="W5">
            <v>9540000</v>
          </cell>
          <cell r="X5">
            <v>954</v>
          </cell>
        </row>
        <row r="6">
          <cell r="R6">
            <v>2016.3</v>
          </cell>
          <cell r="S6">
            <v>337.8</v>
          </cell>
          <cell r="T6">
            <v>4.9000000000000002E-2</v>
          </cell>
          <cell r="U6">
            <v>0</v>
          </cell>
          <cell r="V6">
            <v>220000</v>
          </cell>
          <cell r="W6">
            <v>9760000</v>
          </cell>
          <cell r="X6">
            <v>976</v>
          </cell>
        </row>
        <row r="7">
          <cell r="R7">
            <v>2016.4</v>
          </cell>
          <cell r="S7">
            <v>336.9</v>
          </cell>
          <cell r="T7">
            <v>5.6000000000000001E-2</v>
          </cell>
          <cell r="U7">
            <v>-2.6642984014210599E-3</v>
          </cell>
          <cell r="V7">
            <v>160000</v>
          </cell>
          <cell r="W7">
            <v>9920000</v>
          </cell>
          <cell r="X7">
            <v>992</v>
          </cell>
        </row>
        <row r="8">
          <cell r="R8">
            <v>2017.1</v>
          </cell>
          <cell r="S8">
            <v>335.1</v>
          </cell>
          <cell r="T8">
            <v>6.0999999999999999E-2</v>
          </cell>
          <cell r="U8">
            <v>-5.3428317008012904E-3</v>
          </cell>
          <cell r="V8">
            <v>160000</v>
          </cell>
          <cell r="W8">
            <v>10080000</v>
          </cell>
          <cell r="X8">
            <v>1008</v>
          </cell>
        </row>
        <row r="9">
          <cell r="R9">
            <v>2017.2</v>
          </cell>
          <cell r="S9">
            <v>338.1</v>
          </cell>
          <cell r="T9">
            <v>6.5000000000000002E-2</v>
          </cell>
          <cell r="U9">
            <v>8.9525514771709933E-3</v>
          </cell>
          <cell r="V9">
            <v>120000</v>
          </cell>
          <cell r="W9">
            <v>10200000</v>
          </cell>
          <cell r="X9">
            <v>1020</v>
          </cell>
        </row>
        <row r="10">
          <cell r="R10">
            <v>2017.3</v>
          </cell>
          <cell r="S10">
            <v>338.2</v>
          </cell>
          <cell r="T10">
            <v>5.5E-2</v>
          </cell>
          <cell r="U10">
            <v>2.9577048210578492E-4</v>
          </cell>
          <cell r="V10">
            <v>100000</v>
          </cell>
          <cell r="W10">
            <v>10300000</v>
          </cell>
          <cell r="X10">
            <v>1030</v>
          </cell>
        </row>
        <row r="11">
          <cell r="R11">
            <v>2017.4</v>
          </cell>
          <cell r="S11">
            <v>340</v>
          </cell>
          <cell r="T11">
            <v>7.5999999999999998E-2</v>
          </cell>
          <cell r="U11">
            <v>5.3222945002957172E-3</v>
          </cell>
          <cell r="V11">
            <v>440000</v>
          </cell>
          <cell r="W11">
            <v>10740000</v>
          </cell>
          <cell r="X11">
            <v>1074</v>
          </cell>
        </row>
        <row r="12">
          <cell r="R12">
            <v>2018.1</v>
          </cell>
          <cell r="S12">
            <v>345.3</v>
          </cell>
          <cell r="T12">
            <v>6.8000000000000005E-2</v>
          </cell>
          <cell r="U12">
            <v>1.558823529411768E-2</v>
          </cell>
          <cell r="V12">
            <v>-90000</v>
          </cell>
          <cell r="W12">
            <v>10650000</v>
          </cell>
          <cell r="X12">
            <v>1065</v>
          </cell>
        </row>
        <row r="13">
          <cell r="R13">
            <v>2018.2</v>
          </cell>
          <cell r="S13">
            <v>355</v>
          </cell>
          <cell r="T13">
            <v>5.8000000000000003E-2</v>
          </cell>
          <cell r="U13">
            <v>2.8091514624963766E-2</v>
          </cell>
          <cell r="V13">
            <v>70000</v>
          </cell>
          <cell r="W13">
            <v>10720000</v>
          </cell>
          <cell r="X13">
            <v>1072</v>
          </cell>
        </row>
        <row r="14">
          <cell r="R14">
            <v>2018.3</v>
          </cell>
          <cell r="S14">
            <v>366.9</v>
          </cell>
          <cell r="T14">
            <v>6.5000000000000002E-2</v>
          </cell>
          <cell r="U14">
            <v>3.3521126760563319E-2</v>
          </cell>
          <cell r="V14">
            <v>145000</v>
          </cell>
          <cell r="W14">
            <v>10865000</v>
          </cell>
          <cell r="X14">
            <v>1086.5</v>
          </cell>
        </row>
        <row r="15">
          <cell r="R15">
            <v>2018.4</v>
          </cell>
          <cell r="S15">
            <v>369</v>
          </cell>
          <cell r="T15">
            <v>7.0000000000000007E-2</v>
          </cell>
          <cell r="U15">
            <v>5.7236304170074212E-3</v>
          </cell>
          <cell r="V15">
            <v>157000</v>
          </cell>
          <cell r="W15">
            <v>11022000</v>
          </cell>
          <cell r="X15">
            <v>1102.2</v>
          </cell>
        </row>
        <row r="16">
          <cell r="R16">
            <v>2019.1</v>
          </cell>
          <cell r="S16">
            <v>368</v>
          </cell>
          <cell r="T16">
            <v>6.9000000000000006E-2</v>
          </cell>
          <cell r="U16">
            <v>-2.7100271002710027E-3</v>
          </cell>
          <cell r="V16">
            <v>0</v>
          </cell>
          <cell r="W16">
            <v>11022000</v>
          </cell>
          <cell r="X16">
            <v>1102.2</v>
          </cell>
        </row>
        <row r="17">
          <cell r="R17">
            <v>2019.2</v>
          </cell>
          <cell r="S17">
            <v>368.3</v>
          </cell>
          <cell r="T17">
            <v>8.5999999999999993E-2</v>
          </cell>
          <cell r="U17">
            <v>8.1521739130437868E-4</v>
          </cell>
          <cell r="V17">
            <v>284000</v>
          </cell>
          <cell r="W17">
            <v>11306000</v>
          </cell>
          <cell r="X17">
            <v>1130.5999999999999</v>
          </cell>
        </row>
        <row r="18">
          <cell r="R18">
            <v>2019.3</v>
          </cell>
          <cell r="S18">
            <v>367.6</v>
          </cell>
          <cell r="T18">
            <v>9.1999999999999998E-2</v>
          </cell>
          <cell r="U18">
            <v>-1.9006244909041232E-3</v>
          </cell>
          <cell r="V18">
            <v>180000</v>
          </cell>
          <cell r="W18">
            <v>11486000</v>
          </cell>
          <cell r="X18">
            <v>1148.5999999999999</v>
          </cell>
        </row>
        <row r="19">
          <cell r="R19">
            <v>2019.4</v>
          </cell>
          <cell r="S19">
            <v>364.9</v>
          </cell>
          <cell r="T19">
            <v>0.127</v>
          </cell>
          <cell r="U19">
            <v>-7.344940152339623E-3</v>
          </cell>
          <cell r="V19">
            <v>933000</v>
          </cell>
          <cell r="W19">
            <v>12419000</v>
          </cell>
          <cell r="X19">
            <v>1241.9000000000001</v>
          </cell>
        </row>
        <row r="20">
          <cell r="R20">
            <v>2020.1</v>
          </cell>
          <cell r="S20">
            <v>363</v>
          </cell>
          <cell r="T20">
            <v>0.13200000000000001</v>
          </cell>
          <cell r="U20">
            <v>-5.2069060016442245E-3</v>
          </cell>
          <cell r="V20">
            <v>-41000</v>
          </cell>
          <cell r="W20">
            <v>12378000</v>
          </cell>
          <cell r="X20">
            <v>1237.8</v>
          </cell>
        </row>
        <row r="21">
          <cell r="R21">
            <v>2020.2</v>
          </cell>
          <cell r="S21">
            <v>360.5</v>
          </cell>
          <cell r="T21">
            <v>0.13600000000000001</v>
          </cell>
          <cell r="U21">
            <v>-6.8870523415977963E-3</v>
          </cell>
          <cell r="V21">
            <v>100000</v>
          </cell>
          <cell r="W21">
            <v>12478000</v>
          </cell>
          <cell r="X21">
            <v>1247.8</v>
          </cell>
        </row>
        <row r="22">
          <cell r="R22">
            <v>2020.3</v>
          </cell>
          <cell r="S22">
            <v>354.8</v>
          </cell>
          <cell r="T22">
            <v>0.15</v>
          </cell>
          <cell r="U22">
            <v>-1.5811373092926458E-2</v>
          </cell>
          <cell r="V22">
            <v>248000</v>
          </cell>
          <cell r="W22">
            <v>12726000</v>
          </cell>
          <cell r="X22">
            <v>1272.5999999999999</v>
          </cell>
        </row>
        <row r="23">
          <cell r="R23">
            <v>2020.4</v>
          </cell>
          <cell r="S23">
            <v>349.2</v>
          </cell>
          <cell r="T23">
            <v>0.158</v>
          </cell>
          <cell r="U23">
            <v>-1.578354002254798E-2</v>
          </cell>
          <cell r="V23">
            <v>164000</v>
          </cell>
          <cell r="W23">
            <v>12890000</v>
          </cell>
          <cell r="X23">
            <v>1289</v>
          </cell>
        </row>
        <row r="28">
          <cell r="K28" t="str">
            <v>平均有效租金</v>
          </cell>
          <cell r="L28" t="str">
            <v>空置率</v>
          </cell>
          <cell r="M28" t="str">
            <v>租金增长率</v>
          </cell>
          <cell r="N28" t="str">
            <v>新增供应</v>
          </cell>
          <cell r="O28" t="str">
            <v>库存（㎡）</v>
          </cell>
          <cell r="P28" t="str">
            <v>存量（万㎡）</v>
          </cell>
        </row>
        <row r="29">
          <cell r="J29">
            <v>2016.1</v>
          </cell>
          <cell r="K29">
            <v>325</v>
          </cell>
          <cell r="L29">
            <v>2E-3</v>
          </cell>
          <cell r="O29">
            <v>843800</v>
          </cell>
          <cell r="P29">
            <v>84.38</v>
          </cell>
        </row>
        <row r="30">
          <cell r="J30">
            <v>2016.2</v>
          </cell>
          <cell r="K30">
            <v>327</v>
          </cell>
          <cell r="L30">
            <v>5.0000000000000001E-3</v>
          </cell>
          <cell r="M30">
            <v>6.1538461538461538E-3</v>
          </cell>
          <cell r="N30">
            <v>0</v>
          </cell>
          <cell r="O30">
            <v>843800</v>
          </cell>
          <cell r="P30">
            <v>84.38</v>
          </cell>
        </row>
        <row r="31">
          <cell r="J31">
            <v>2016.3</v>
          </cell>
          <cell r="K31">
            <v>329</v>
          </cell>
          <cell r="L31">
            <v>4.0000000000000001E-3</v>
          </cell>
          <cell r="M31">
            <v>6.1162079510703364E-3</v>
          </cell>
          <cell r="N31">
            <v>0</v>
          </cell>
          <cell r="O31">
            <v>843800</v>
          </cell>
          <cell r="P31">
            <v>84.38</v>
          </cell>
        </row>
        <row r="32">
          <cell r="J32">
            <v>2016.4</v>
          </cell>
          <cell r="K32">
            <v>324</v>
          </cell>
          <cell r="L32">
            <v>4.0000000000000001E-3</v>
          </cell>
          <cell r="M32">
            <v>-1.5197568389057751E-2</v>
          </cell>
          <cell r="N32">
            <v>-71500</v>
          </cell>
          <cell r="O32">
            <v>772300</v>
          </cell>
          <cell r="P32">
            <v>77.23</v>
          </cell>
        </row>
        <row r="33">
          <cell r="J33">
            <v>2017.1</v>
          </cell>
          <cell r="K33">
            <v>325</v>
          </cell>
          <cell r="L33">
            <v>3.0000000000000001E-3</v>
          </cell>
          <cell r="M33">
            <v>3.0864197530864196E-3</v>
          </cell>
          <cell r="N33">
            <v>0</v>
          </cell>
          <cell r="O33">
            <v>772300</v>
          </cell>
          <cell r="P33">
            <v>77.23</v>
          </cell>
        </row>
        <row r="34">
          <cell r="J34">
            <v>2017.2</v>
          </cell>
          <cell r="K34">
            <v>324</v>
          </cell>
          <cell r="L34">
            <v>7.0000000000000001E-3</v>
          </cell>
          <cell r="M34">
            <v>-3.0769230769230769E-3</v>
          </cell>
          <cell r="N34">
            <v>0</v>
          </cell>
          <cell r="O34">
            <v>772300</v>
          </cell>
          <cell r="P34">
            <v>77.23</v>
          </cell>
        </row>
        <row r="35">
          <cell r="J35">
            <v>2017.3</v>
          </cell>
          <cell r="K35">
            <v>324</v>
          </cell>
          <cell r="L35">
            <v>0.01</v>
          </cell>
          <cell r="M35">
            <v>0</v>
          </cell>
          <cell r="N35">
            <v>0</v>
          </cell>
          <cell r="O35">
            <v>772300</v>
          </cell>
          <cell r="P35">
            <v>77.23</v>
          </cell>
        </row>
        <row r="36">
          <cell r="J36">
            <v>2017.4</v>
          </cell>
          <cell r="K36">
            <v>330</v>
          </cell>
          <cell r="L36">
            <v>8.9999999999999993E-3</v>
          </cell>
          <cell r="M36">
            <v>1.8518518518518517E-2</v>
          </cell>
          <cell r="N36">
            <v>0</v>
          </cell>
          <cell r="O36">
            <v>772300</v>
          </cell>
          <cell r="P36">
            <v>77.23</v>
          </cell>
        </row>
        <row r="37">
          <cell r="J37">
            <v>2018.1</v>
          </cell>
          <cell r="K37">
            <v>340</v>
          </cell>
          <cell r="L37">
            <v>5.0000000000000001E-3</v>
          </cell>
          <cell r="M37">
            <v>3.0303030303030304E-2</v>
          </cell>
          <cell r="N37">
            <v>0</v>
          </cell>
          <cell r="O37">
            <v>772300</v>
          </cell>
          <cell r="P37">
            <v>77.23</v>
          </cell>
        </row>
        <row r="38">
          <cell r="J38">
            <v>2018.2</v>
          </cell>
          <cell r="K38">
            <v>341</v>
          </cell>
          <cell r="L38">
            <v>5.0000000000000001E-3</v>
          </cell>
          <cell r="M38">
            <v>2.9411764705882353E-3</v>
          </cell>
          <cell r="N38">
            <v>0</v>
          </cell>
          <cell r="O38">
            <v>772300</v>
          </cell>
          <cell r="P38">
            <v>77.23</v>
          </cell>
        </row>
        <row r="39">
          <cell r="J39">
            <v>2018.3</v>
          </cell>
          <cell r="K39">
            <v>346</v>
          </cell>
          <cell r="L39">
            <v>1E-3</v>
          </cell>
          <cell r="M39">
            <v>1.466275659824047E-2</v>
          </cell>
          <cell r="N39">
            <v>0</v>
          </cell>
          <cell r="O39">
            <v>772300</v>
          </cell>
          <cell r="P39">
            <v>77.23</v>
          </cell>
        </row>
        <row r="40">
          <cell r="J40">
            <v>2018.4</v>
          </cell>
          <cell r="K40">
            <v>346</v>
          </cell>
          <cell r="L40">
            <v>3.0000000000000001E-3</v>
          </cell>
          <cell r="M40">
            <v>0</v>
          </cell>
          <cell r="N40">
            <v>0</v>
          </cell>
          <cell r="O40">
            <v>772300</v>
          </cell>
          <cell r="P40">
            <v>77.23</v>
          </cell>
        </row>
        <row r="41">
          <cell r="J41">
            <v>2019.1</v>
          </cell>
          <cell r="K41">
            <v>345</v>
          </cell>
          <cell r="L41">
            <v>3.0000000000000001E-3</v>
          </cell>
          <cell r="M41">
            <v>-2.8901734104046241E-3</v>
          </cell>
          <cell r="N41">
            <v>0</v>
          </cell>
          <cell r="O41">
            <v>772300</v>
          </cell>
          <cell r="P41">
            <v>77.23</v>
          </cell>
        </row>
        <row r="42">
          <cell r="J42">
            <v>2019.2</v>
          </cell>
          <cell r="K42">
            <v>342</v>
          </cell>
          <cell r="L42">
            <v>3.0000000000000001E-3</v>
          </cell>
          <cell r="M42">
            <v>-8.6956521739130436E-3</v>
          </cell>
          <cell r="N42">
            <v>0</v>
          </cell>
          <cell r="O42">
            <v>772300</v>
          </cell>
          <cell r="P42">
            <v>77.23</v>
          </cell>
        </row>
        <row r="43">
          <cell r="J43">
            <v>2019.3</v>
          </cell>
          <cell r="K43">
            <v>342</v>
          </cell>
          <cell r="L43">
            <v>3.0000000000000001E-3</v>
          </cell>
          <cell r="M43">
            <v>0</v>
          </cell>
          <cell r="N43">
            <v>0</v>
          </cell>
          <cell r="O43">
            <v>772300</v>
          </cell>
          <cell r="P43">
            <v>77.23</v>
          </cell>
        </row>
        <row r="44">
          <cell r="J44">
            <v>2019.4</v>
          </cell>
          <cell r="K44">
            <v>342</v>
          </cell>
          <cell r="L44">
            <v>3.0000000000000001E-3</v>
          </cell>
          <cell r="M44">
            <v>0</v>
          </cell>
          <cell r="N44">
            <v>0</v>
          </cell>
          <cell r="O44">
            <v>772300</v>
          </cell>
          <cell r="P44">
            <v>77.23</v>
          </cell>
        </row>
        <row r="45">
          <cell r="J45">
            <v>2020.1</v>
          </cell>
          <cell r="K45">
            <v>342</v>
          </cell>
          <cell r="L45">
            <v>5.0000000000000001E-3</v>
          </cell>
          <cell r="M45">
            <v>0</v>
          </cell>
          <cell r="N45">
            <v>0</v>
          </cell>
          <cell r="O45">
            <v>772300</v>
          </cell>
          <cell r="P45">
            <v>77.23</v>
          </cell>
        </row>
        <row r="46">
          <cell r="J46">
            <v>2020.2</v>
          </cell>
          <cell r="K46">
            <v>334</v>
          </cell>
          <cell r="L46">
            <v>7.0000000000000001E-3</v>
          </cell>
          <cell r="M46">
            <v>-2.3391812865497075E-2</v>
          </cell>
          <cell r="N46">
            <v>0</v>
          </cell>
          <cell r="O46">
            <v>772300</v>
          </cell>
          <cell r="P46">
            <v>77.23</v>
          </cell>
        </row>
        <row r="47">
          <cell r="J47">
            <v>2020.3</v>
          </cell>
          <cell r="K47">
            <v>333</v>
          </cell>
          <cell r="L47">
            <v>6.0000000000000001E-3</v>
          </cell>
          <cell r="M47">
            <v>-2.9940119760479044E-3</v>
          </cell>
          <cell r="N47">
            <v>0</v>
          </cell>
          <cell r="O47">
            <v>772300</v>
          </cell>
          <cell r="P47">
            <v>77.23</v>
          </cell>
        </row>
        <row r="48">
          <cell r="J48">
            <v>2020.4</v>
          </cell>
          <cell r="K48">
            <v>318</v>
          </cell>
          <cell r="L48">
            <v>0.11899999999999999</v>
          </cell>
          <cell r="M48">
            <v>-4.5045045045045043E-2</v>
          </cell>
          <cell r="N48">
            <v>124000</v>
          </cell>
          <cell r="O48">
            <v>896300</v>
          </cell>
          <cell r="P48">
            <v>89.63</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drawing" Target="../drawings/drawing2.xml"/></Relationships>
</file>

<file path=xl/worksheets/_rels/sheet47.xml.rels><?xml version="1.0" encoding="UTF-8" standalone="yes"?>
<Relationships xmlns="http://schemas.openxmlformats.org/package/2006/relationships"><Relationship Id="rId8" Type="http://schemas.openxmlformats.org/officeDocument/2006/relationships/hyperlink" Target="http://bj.cityhouse.cn/lmarketha/pa00022566dc977/" TargetMode="External"/><Relationship Id="rId3" Type="http://schemas.openxmlformats.org/officeDocument/2006/relationships/hyperlink" Target="http://bj.cityhouse.cn/lmarketha/pa00024376dc680/" TargetMode="External"/><Relationship Id="rId7" Type="http://schemas.openxmlformats.org/officeDocument/2006/relationships/hyperlink" Target="http://bj.cityhouse.cn/lmarketha/0163022498/" TargetMode="External"/><Relationship Id="rId2" Type="http://schemas.openxmlformats.org/officeDocument/2006/relationships/hyperlink" Target="http://bj.cityhouse.cn/lmarketha/pa00022420dc689/" TargetMode="External"/><Relationship Id="rId1" Type="http://schemas.openxmlformats.org/officeDocument/2006/relationships/hyperlink" Target="http://bj.cityhouse.cn/lmarketha/pa00025093dc043/" TargetMode="External"/><Relationship Id="rId6" Type="http://schemas.openxmlformats.org/officeDocument/2006/relationships/hyperlink" Target="http://bj.cityhouse.cn/lmarketha/sa0036900dc705/" TargetMode="External"/><Relationship Id="rId11" Type="http://schemas.openxmlformats.org/officeDocument/2006/relationships/drawing" Target="../drawings/drawing3.xml"/><Relationship Id="rId5" Type="http://schemas.openxmlformats.org/officeDocument/2006/relationships/hyperlink" Target="http://bj.cityhouse.cn/lmarketha/pa0123004cy866/" TargetMode="External"/><Relationship Id="rId10" Type="http://schemas.openxmlformats.org/officeDocument/2006/relationships/hyperlink" Target="http://bj.cityhouse.cn/lmarketha/pa00023555dc402/" TargetMode="External"/><Relationship Id="rId4" Type="http://schemas.openxmlformats.org/officeDocument/2006/relationships/hyperlink" Target="http://bj.cityhouse.cn/lmarketha/pa00024048dc020/" TargetMode="External"/><Relationship Id="rId9" Type="http://schemas.openxmlformats.org/officeDocument/2006/relationships/hyperlink" Target="http://bj.cityhouse.cn/lmarketha/pa00025908dc061/" TargetMode="Externa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北京市预评估</v>
      </c>
    </row>
    <row r="3" spans="1:2" s="1365" customFormat="1">
      <c r="A3" s="1363" t="s">
        <v>1188</v>
      </c>
      <c r="B3" s="1364">
        <f>'预评函-封皮'!B40</f>
        <v>0</v>
      </c>
    </row>
    <row r="4" spans="1:2" s="1365" customFormat="1">
      <c r="A4" s="1363" t="s">
        <v>1189</v>
      </c>
      <c r="B4" s="1364" t="str">
        <f ca="1">'预评函-封皮'!B46</f>
        <v>梁津（注册号：1119970066)、陈颖（注册号：0)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受贵公司委托，我公司对北京市进行了预评估。</v>
      </c>
    </row>
    <row r="7" spans="1:2" s="1365" customFormat="1">
      <c r="A7" s="1363" t="s">
        <v>1231</v>
      </c>
      <c r="B7" s="1364" t="str">
        <f>'预评函-1'!A7</f>
        <v>估价对象为北京市房地产，为所有。根据《国有土地使用证》[]，估价对象（分摊）出让国有建设用地使用权面积为5933.24平方米，建筑面积为47689.05平方米。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估价对象为北京市房地产,属开发建设的，该项目尚在开发建设中。根据《国有土地使用证》[]，估价对象（分摊）出让国有建设用地使用权面积为5933.24平方米，规划建筑面积为47689.05平方米。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为估价委托人了解估价对象房地产市场价值提供参考依据。</v>
      </c>
    </row>
    <row r="12" spans="1:2" s="1365" customFormat="1">
      <c r="A12" s="1363" t="s">
        <v>1193</v>
      </c>
      <c r="B12" s="1364" t="str">
        <f>'预评函-1'!A15</f>
        <v>2017年6月28日</v>
      </c>
    </row>
    <row r="13" spans="1:2" s="1365" customFormat="1">
      <c r="A13" s="1363" t="s">
        <v>1194</v>
      </c>
      <c r="B13" s="1364" t="str">
        <f>'预评函-1'!A18</f>
        <v>本次估价的“房地产价值”是指在正常市场情况下，在价值时点2017年6月28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本次评估采用的主估价方法为成本法和成本法。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179559</v>
      </c>
    </row>
    <row r="21" spans="1:2" s="1365" customFormat="1">
      <c r="A21" s="1363" t="s">
        <v>1202</v>
      </c>
      <c r="B21" s="1364">
        <f ca="1">'预评函-2'!D7</f>
        <v>37652</v>
      </c>
    </row>
    <row r="22" spans="1:2" s="1365" customFormat="1">
      <c r="A22" s="1363" t="s">
        <v>1203</v>
      </c>
      <c r="B22" s="1364" t="str">
        <f ca="1">'预评函-2'!D6</f>
        <v>壹拾柒亿玖仟伍佰伍拾玖万元整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179559</v>
      </c>
    </row>
    <row r="31" spans="1:2" s="1365" customFormat="1">
      <c r="A31" s="1363" t="s">
        <v>1241</v>
      </c>
      <c r="B31" s="1364">
        <f ca="1">'预评函-2'!D15</f>
        <v>37652</v>
      </c>
    </row>
    <row r="32" spans="1:2" s="1365" customFormat="1">
      <c r="A32" s="1363" t="s">
        <v>1208</v>
      </c>
      <c r="B32" s="1364" t="str">
        <f ca="1">'预评函-2'!D14</f>
        <v>壹拾柒亿玖仟伍佰伍拾玖万元整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47689.05</v>
      </c>
    </row>
    <row r="44" spans="1:2" s="1365" customFormat="1">
      <c r="A44" s="1363" t="s">
        <v>1240</v>
      </c>
      <c r="B44" s="1364" t="str">
        <f>'预评函-3'!C2</f>
        <v>(分摊)土地面积</v>
      </c>
    </row>
    <row r="45" spans="1:2" s="1365" customFormat="1">
      <c r="A45" s="1363" t="s">
        <v>1212</v>
      </c>
      <c r="B45" s="1364">
        <f>'预评函-3'!C4</f>
        <v>5933.24</v>
      </c>
    </row>
    <row r="46" spans="1:2" s="1365" customFormat="1">
      <c r="A46" s="1363" t="s">
        <v>1238</v>
      </c>
      <c r="B46" s="1364" t="str">
        <f>'预评函-3'!D2</f>
        <v>出让国有建设用地使用权价值</v>
      </c>
    </row>
    <row r="47" spans="1:2" s="1365" customFormat="1">
      <c r="A47" s="1363" t="s">
        <v>1213</v>
      </c>
      <c r="B47" s="1364" t="e">
        <f ca="1">'预评函-3'!D4</f>
        <v>#REF!</v>
      </c>
    </row>
    <row r="48" spans="1:2" s="1365" customFormat="1">
      <c r="A48" s="1363" t="s">
        <v>1214</v>
      </c>
      <c r="B48" s="1364" t="e">
        <f ca="1">'预评函-3'!E4</f>
        <v>#REF!</v>
      </c>
    </row>
    <row r="49" spans="1:2" s="1365" customFormat="1">
      <c r="A49" s="1363" t="s">
        <v>1215</v>
      </c>
      <c r="B49" s="1364" t="e">
        <f ca="1">'预评函-3'!D5</f>
        <v>#REF!</v>
      </c>
    </row>
    <row r="50" spans="1:2" s="1365" customFormat="1">
      <c r="A50" s="1363" t="s">
        <v>1239</v>
      </c>
      <c r="B50" s="1364" t="str">
        <f>'预评函-3'!F2</f>
        <v>在建建筑物价值</v>
      </c>
    </row>
    <row r="51" spans="1:2" s="1365" customFormat="1">
      <c r="A51" s="1363" t="s">
        <v>1216</v>
      </c>
      <c r="B51" s="1364" t="e">
        <f ca="1">'预评函-3'!F4</f>
        <v>#REF!</v>
      </c>
    </row>
    <row r="52" spans="1:2" s="1365" customFormat="1">
      <c r="A52" s="1363" t="s">
        <v>1217</v>
      </c>
      <c r="B52" s="1364" t="e">
        <f ca="1">'预评函-3'!G4</f>
        <v>#REF!</v>
      </c>
    </row>
    <row r="53" spans="1:2" s="1365" customFormat="1">
      <c r="A53" s="1363" t="s">
        <v>1245</v>
      </c>
      <c r="B53" s="1364" t="e">
        <f ca="1">'预评函-3'!F5</f>
        <v>#REF!</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2.本次评估设定估价对象房地产权属无争议，未被查封或者以其他形式限制其房地产权利，未设定抵押权等他项权利，不涉及第三方权利义务。</v>
      </c>
    </row>
    <row r="59" spans="1:2" s="1365" customFormat="1">
      <c r="A59" s="1363" t="s">
        <v>1219</v>
      </c>
      <c r="B59" s="1364" t="str">
        <f>'预评函-4'!A13</f>
        <v>——</v>
      </c>
    </row>
    <row r="60" spans="1:2" s="1365" customFormat="1">
      <c r="A60" s="1363" t="s">
        <v>1220</v>
      </c>
      <c r="B60" s="1364" t="str">
        <f>'预评函-4'!A14</f>
        <v>——</v>
      </c>
    </row>
    <row r="61" spans="1:2" s="1365" customFormat="1">
      <c r="A61" s="1363" t="s">
        <v>1221</v>
      </c>
      <c r="B61" s="1364" t="str">
        <f>'预评函-4'!A15</f>
        <v>——</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v>
      </c>
    </row>
    <row r="65" spans="1:2" s="1365" customFormat="1">
      <c r="A65" s="1363" t="s">
        <v>1224</v>
      </c>
      <c r="B65" s="136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梁津</v>
      </c>
    </row>
    <row r="71" spans="1:2">
      <c r="A71" s="1363" t="s">
        <v>1228</v>
      </c>
      <c r="B71" s="1364">
        <f ca="1">'预评函-4'!B4</f>
        <v>1119970066</v>
      </c>
    </row>
    <row r="72" spans="1:2">
      <c r="A72" s="1363" t="s">
        <v>1229</v>
      </c>
      <c r="B72" s="1372" t="str">
        <f>'预评函-4'!A5</f>
        <v>陈颖</v>
      </c>
    </row>
    <row r="73" spans="1:2" s="1359" customFormat="1" ht="15" thickBot="1">
      <c r="A73" s="1366" t="s">
        <v>1230</v>
      </c>
      <c r="B73" s="1367">
        <f ca="1">'预评函-4'!B5</f>
        <v>0</v>
      </c>
    </row>
    <row r="74" spans="1:2" ht="15" thickTop="1">
      <c r="A74" s="1356" t="s">
        <v>1266</v>
      </c>
      <c r="B74" s="1373"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C21" sqref="C21"/>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3033</v>
      </c>
      <c r="C17" s="1732"/>
    </row>
    <row r="18" spans="1:3">
      <c r="A18" s="1731" t="s">
        <v>1732</v>
      </c>
      <c r="B18" s="1731" t="s">
        <v>3101</v>
      </c>
      <c r="C18" s="1732"/>
    </row>
    <row r="19" spans="1:3">
      <c r="A19" s="1731" t="s">
        <v>1733</v>
      </c>
      <c r="B19" s="1731" t="s">
        <v>3103</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545"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6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5"/>
      <c r="B54" s="1739" t="s">
        <v>832</v>
      </c>
      <c r="C54" s="1736" t="s">
        <v>1248</v>
      </c>
    </row>
    <row r="55" spans="1:4">
      <c r="A55" s="3545"/>
      <c r="B55" s="1739" t="s">
        <v>833</v>
      </c>
      <c r="C55" s="1736" t="s">
        <v>1249</v>
      </c>
    </row>
    <row r="56" spans="1:4">
      <c r="A56" s="3545"/>
      <c r="B56" s="1739" t="s">
        <v>834</v>
      </c>
      <c r="C56" s="1736" t="s">
        <v>1253</v>
      </c>
    </row>
    <row r="57" spans="1:4">
      <c r="A57" s="3545"/>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topLeftCell="A11" zoomScale="90" zoomScaleNormal="100" zoomScaleSheetLayoutView="90" workbookViewId="0">
      <selection activeCell="D4" sqref="D4"/>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3" customWidth="1"/>
    <col min="12" max="13" width="10" style="2854"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2911</v>
      </c>
      <c r="B1" s="3546" t="str">
        <f>IF(B10="北京市","北京市",C10)&amp;F10&amp;IF(结果表!G1="在建","出让国有建设用地使用权及在建建筑物",IF(结果表!G1="土地","出让国有建设用地使用权",))&amp;B9&amp;"预评估"</f>
        <v>北京市预评估</v>
      </c>
      <c r="C1" s="3547"/>
      <c r="D1" s="3547"/>
      <c r="E1" s="3547"/>
      <c r="F1" s="3547"/>
      <c r="G1" s="3547"/>
      <c r="H1" s="3547"/>
      <c r="I1" s="3548"/>
      <c r="J1" s="2696"/>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北京市</v>
      </c>
      <c r="T1" s="1931"/>
      <c r="U1" s="1931"/>
      <c r="V1" s="1931"/>
      <c r="W1" s="1931"/>
      <c r="X1" s="1931"/>
      <c r="Y1" s="1931"/>
      <c r="Z1" s="1931"/>
      <c r="AA1" s="1931"/>
      <c r="AB1" s="1931"/>
    </row>
    <row r="2" spans="1:28">
      <c r="A2" s="2591" t="s">
        <v>2912</v>
      </c>
      <c r="B2" s="2595"/>
      <c r="C2" s="2596"/>
      <c r="D2" s="2897"/>
      <c r="E2" s="2887"/>
      <c r="F2" s="2887"/>
      <c r="G2" s="2888"/>
      <c r="H2" s="2888"/>
      <c r="I2" s="2888"/>
      <c r="J2" s="2696"/>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北京市房地产</v>
      </c>
      <c r="T2" s="1931"/>
      <c r="U2" s="1931"/>
      <c r="V2" s="1931"/>
      <c r="W2" s="1931"/>
      <c r="X2" s="1931"/>
      <c r="Y2" s="1931"/>
      <c r="Z2" s="1931"/>
      <c r="AA2" s="1931"/>
      <c r="AB2" s="1931"/>
    </row>
    <row r="3" spans="1:28">
      <c r="A3" s="308" t="s">
        <v>2913</v>
      </c>
      <c r="B3" s="2597"/>
      <c r="C3" s="2598" t="s">
        <v>2914</v>
      </c>
      <c r="D3" s="2597">
        <v>42914</v>
      </c>
      <c r="E3" s="2888"/>
      <c r="F3" s="2888"/>
      <c r="G3" s="2888"/>
      <c r="H3" s="2888"/>
      <c r="I3" s="2888"/>
      <c r="J3" s="2696"/>
      <c r="K3" s="2592"/>
      <c r="L3" s="2593"/>
      <c r="M3" s="2593"/>
      <c r="N3" s="2594"/>
      <c r="O3" s="1761"/>
      <c r="P3" s="2594"/>
      <c r="Q3" s="2594"/>
      <c r="R3" s="2594"/>
      <c r="S3" s="1868"/>
      <c r="T3" s="1931"/>
      <c r="U3" s="1931"/>
      <c r="V3" s="1931"/>
      <c r="W3" s="1931"/>
      <c r="X3" s="1931"/>
      <c r="Y3" s="1931"/>
      <c r="Z3" s="1931"/>
      <c r="AA3" s="1931"/>
      <c r="AB3" s="1931"/>
    </row>
    <row r="4" spans="1:28" ht="13.5" thickBot="1">
      <c r="A4" s="1250" t="s">
        <v>2915</v>
      </c>
      <c r="B4" s="2599" t="s">
        <v>3227</v>
      </c>
      <c r="C4" s="2600">
        <f ca="1">SUMIF(注册房地产估价师,B4,估价师及机构信息!B3:B24)</f>
        <v>1119970066</v>
      </c>
      <c r="D4" s="2599" t="s">
        <v>3228</v>
      </c>
      <c r="E4" s="2601">
        <f ca="1">SUMIF(注册房地产估价师,D4,估价师及机构信息!B3:B24)</f>
        <v>0</v>
      </c>
      <c r="F4" s="2599"/>
      <c r="G4" s="2601">
        <f>SUMIF(注册房地产估价师,F4,估价师及机构信息!B3:B24)</f>
        <v>0</v>
      </c>
      <c r="H4" s="2599"/>
      <c r="I4" s="2601">
        <f>SUMIF(注册房地产估价师,H4,估价师及机构信息!B3:B24)</f>
        <v>0</v>
      </c>
      <c r="J4" s="2665"/>
      <c r="K4" s="2602" t="str">
        <f ca="1">CONCATENATE(B4,"（注册号：",C4,")、",D4,"（注册号：",E4,")")</f>
        <v>梁津（注册号：1119970066)、陈颖（注册号：0)</v>
      </c>
      <c r="L4" s="2593"/>
      <c r="M4" s="2593"/>
      <c r="N4" s="2594"/>
      <c r="O4" s="1761"/>
      <c r="P4" s="2594"/>
      <c r="Q4" s="2594"/>
      <c r="R4" s="2594"/>
      <c r="S4" s="1868"/>
      <c r="T4" s="1931"/>
      <c r="U4" s="1931"/>
      <c r="V4" s="1931"/>
      <c r="W4" s="1931"/>
      <c r="X4" s="1931"/>
      <c r="Y4" s="1931"/>
      <c r="Z4" s="1931"/>
      <c r="AA4" s="1931"/>
      <c r="AB4" s="1931"/>
    </row>
    <row r="5" spans="1:28" ht="13.5" thickTop="1">
      <c r="A5" s="2603" t="s">
        <v>2916</v>
      </c>
      <c r="B5" s="2604"/>
      <c r="C5" s="2605"/>
      <c r="D5" s="2606"/>
      <c r="E5" s="2889"/>
      <c r="F5" s="2889"/>
      <c r="G5" s="2889"/>
      <c r="H5" s="2889"/>
      <c r="I5" s="2889"/>
      <c r="J5" s="2665"/>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7" t="s">
        <v>2917</v>
      </c>
      <c r="B6" s="2608"/>
      <c r="C6" s="2609"/>
      <c r="D6" s="2610"/>
      <c r="E6" s="2887"/>
      <c r="F6" s="2889"/>
      <c r="G6" s="2889"/>
      <c r="H6" s="2889"/>
      <c r="I6" s="2889"/>
      <c r="J6" s="2665"/>
      <c r="K6" s="2839" t="str">
        <f>IF(COUNTIF(B6,"*上海银行*"),"上海银行","")</f>
        <v/>
      </c>
      <c r="L6" s="2837"/>
      <c r="M6" s="2837"/>
      <c r="N6" s="2665"/>
      <c r="O6" s="2676"/>
      <c r="P6" s="2665"/>
      <c r="Q6" s="2665"/>
      <c r="R6" s="2665"/>
    </row>
    <row r="7" spans="1:28">
      <c r="A7" s="2607" t="s">
        <v>2918</v>
      </c>
      <c r="B7" s="2611"/>
      <c r="C7" s="2609"/>
      <c r="D7" s="2610"/>
      <c r="E7" s="2887"/>
      <c r="F7" s="2889"/>
      <c r="G7" s="2889"/>
      <c r="H7" s="2889"/>
      <c r="I7" s="2889"/>
      <c r="J7" s="2665"/>
      <c r="K7" s="2840"/>
      <c r="L7" s="2837"/>
      <c r="M7" s="2837"/>
      <c r="N7" s="2665"/>
      <c r="O7" s="2676"/>
      <c r="P7" s="2665"/>
      <c r="Q7" s="2665"/>
      <c r="R7" s="2665"/>
    </row>
    <row r="8" spans="1:28">
      <c r="A8" s="2612" t="s">
        <v>2919</v>
      </c>
      <c r="B8" s="2613"/>
      <c r="C8" s="2614"/>
      <c r="D8" s="3549" t="s">
        <v>2920</v>
      </c>
      <c r="E8" s="2615"/>
      <c r="F8" s="2616"/>
      <c r="G8" s="2888"/>
      <c r="H8" s="2888"/>
      <c r="I8" s="2888"/>
      <c r="J8" s="2665"/>
      <c r="K8" s="2838"/>
      <c r="L8" s="2837"/>
      <c r="M8" s="2837"/>
      <c r="N8" s="2665"/>
      <c r="O8" s="2676"/>
      <c r="P8" s="2665"/>
      <c r="Q8" s="2665"/>
      <c r="R8" s="2665"/>
    </row>
    <row r="9" spans="1:28" ht="13.5" thickBot="1">
      <c r="A9" s="2617" t="s">
        <v>2921</v>
      </c>
      <c r="B9" s="2618"/>
      <c r="C9" s="2619"/>
      <c r="D9" s="3550"/>
      <c r="E9" s="2618"/>
      <c r="F9" s="2620"/>
      <c r="G9" s="2890"/>
      <c r="H9" s="2890"/>
      <c r="I9" s="2890"/>
      <c r="J9" s="2665"/>
      <c r="K9" s="2840"/>
      <c r="L9" s="2837"/>
      <c r="M9" s="2837"/>
      <c r="N9" s="2665"/>
      <c r="O9" s="2676"/>
      <c r="P9" s="2665"/>
      <c r="Q9" s="2665"/>
      <c r="R9" s="2665"/>
    </row>
    <row r="10" spans="1:28" ht="13.5" thickTop="1">
      <c r="A10" s="2621" t="s">
        <v>2922</v>
      </c>
      <c r="B10" s="2622" t="s">
        <v>3060</v>
      </c>
      <c r="C10" s="2623"/>
      <c r="D10" s="2606"/>
      <c r="E10" s="2624" t="s">
        <v>2923</v>
      </c>
      <c r="F10" s="2891"/>
      <c r="G10" s="2892"/>
      <c r="H10" s="2893"/>
      <c r="I10" s="2894"/>
      <c r="J10" s="2665"/>
      <c r="K10" s="2840"/>
      <c r="L10" s="2837"/>
      <c r="M10" s="2837"/>
      <c r="N10" s="2665"/>
      <c r="O10" s="2676"/>
      <c r="P10" s="2665"/>
      <c r="Q10" s="2665"/>
      <c r="R10" s="2665"/>
    </row>
    <row r="11" spans="1:28">
      <c r="A11" s="2625" t="s">
        <v>2924</v>
      </c>
      <c r="B11" s="2626" t="s">
        <v>3059</v>
      </c>
      <c r="C11" s="2627"/>
      <c r="D11" s="2628"/>
      <c r="E11" s="2594"/>
      <c r="F11" s="2594"/>
      <c r="G11" s="2594"/>
      <c r="H11" s="2594"/>
      <c r="I11" s="2594"/>
      <c r="J11" s="2665"/>
      <c r="K11" s="2840"/>
      <c r="L11" s="2837"/>
      <c r="M11" s="2837"/>
      <c r="N11" s="2665"/>
      <c r="O11" s="2676"/>
      <c r="P11" s="2665"/>
      <c r="Q11" s="2665"/>
      <c r="R11" s="2665"/>
    </row>
    <row r="12" spans="1:28">
      <c r="A12" s="2629" t="s">
        <v>2925</v>
      </c>
      <c r="B12" s="2626" t="s">
        <v>3058</v>
      </c>
      <c r="C12" s="329" t="s">
        <v>2926</v>
      </c>
      <c r="D12" s="2630" t="s">
        <v>2927</v>
      </c>
      <c r="E12" s="2630" t="s">
        <v>2928</v>
      </c>
      <c r="F12" s="2630" t="s">
        <v>2929</v>
      </c>
      <c r="G12" s="2630" t="s">
        <v>2930</v>
      </c>
      <c r="H12" s="2630" t="s">
        <v>2931</v>
      </c>
      <c r="I12" s="2630" t="s">
        <v>2932</v>
      </c>
      <c r="J12" s="3134">
        <v>55718</v>
      </c>
      <c r="K12" s="2840"/>
      <c r="L12" s="2837"/>
      <c r="M12" s="2837"/>
      <c r="N12" s="2665"/>
      <c r="O12" s="2676"/>
      <c r="P12" s="2665"/>
      <c r="Q12" s="2665"/>
      <c r="R12" s="2665"/>
    </row>
    <row r="13" spans="1:28">
      <c r="A13" s="1241"/>
      <c r="B13" s="2631"/>
      <c r="C13" s="2632" t="s">
        <v>2933</v>
      </c>
      <c r="D13" s="965"/>
      <c r="E13" s="965">
        <v>52065</v>
      </c>
      <c r="F13" s="965">
        <v>55718</v>
      </c>
      <c r="G13" s="965">
        <v>55718</v>
      </c>
      <c r="H13" s="965"/>
      <c r="I13" s="965"/>
      <c r="J13" s="3134">
        <v>57026</v>
      </c>
      <c r="K13" s="2840"/>
      <c r="L13" s="2837"/>
      <c r="M13" s="2837"/>
      <c r="N13" s="2665"/>
      <c r="O13" s="2676"/>
      <c r="P13" s="2665"/>
      <c r="Q13" s="2665"/>
      <c r="R13" s="2665"/>
    </row>
    <row r="14" spans="1:28">
      <c r="A14" s="1241"/>
      <c r="B14" s="2631"/>
      <c r="C14" s="2632" t="s">
        <v>2934</v>
      </c>
      <c r="D14" s="2633"/>
      <c r="E14" s="2633">
        <v>40</v>
      </c>
      <c r="F14" s="2633">
        <v>50</v>
      </c>
      <c r="G14" s="2633">
        <v>50</v>
      </c>
      <c r="H14" s="2633"/>
      <c r="I14" s="2633"/>
      <c r="J14" s="2665"/>
      <c r="K14" s="2841"/>
      <c r="L14" s="2837"/>
      <c r="M14" s="2837"/>
      <c r="N14" s="2665"/>
      <c r="O14" s="2676"/>
      <c r="P14" s="2665"/>
      <c r="Q14" s="2665"/>
      <c r="R14" s="2665"/>
    </row>
    <row r="15" spans="1:28">
      <c r="A15" s="326"/>
      <c r="B15" s="2634"/>
      <c r="C15" s="2635" t="s">
        <v>2935</v>
      </c>
      <c r="D15" s="2636" t="str">
        <f>IF(B12="出让",IF(D13="","",ROUNDDOWN(MIN((D13-$D$3)/365,D14),2)),D14)</f>
        <v/>
      </c>
      <c r="E15" s="2636">
        <f>IF(B12="出让",IF(E13="","",ROUNDDOWN(MIN((E13-$D$3)/365,E14),2)),E14)</f>
        <v>25.07</v>
      </c>
      <c r="F15" s="2636">
        <f>IF(B12="出让",IF(F13="","",ROUNDDOWN(MIN((F13-$D$3)/365,F14),2)),F14)</f>
        <v>35.07</v>
      </c>
      <c r="G15" s="2636">
        <f>IF(B12="出让",IF(G13="","",ROUNDDOWN(MIN((G13-$D$3)/365,G14),2)),G14)</f>
        <v>35.07</v>
      </c>
      <c r="H15" s="2636" t="str">
        <f>IF(B12="出让",IF(H13="","",ROUNDDOWN(MIN((H13-$D$3)/365,H14),2)),H14)</f>
        <v/>
      </c>
      <c r="I15" s="2636" t="str">
        <f>IF(B12="出让",IF(I13="","",ROUNDDOWN(MIN((I13-$D$3)/365,I14),2)),I14)</f>
        <v/>
      </c>
      <c r="J15" s="2665"/>
      <c r="K15" s="2842"/>
      <c r="L15" s="2677"/>
      <c r="M15" s="2677"/>
      <c r="N15" s="2733"/>
      <c r="O15" s="2677"/>
      <c r="P15" s="2733"/>
      <c r="Q15" s="2665"/>
      <c r="R15" s="2665"/>
    </row>
    <row r="16" spans="1:28">
      <c r="A16" s="2624" t="s">
        <v>2936</v>
      </c>
      <c r="B16" s="3556"/>
      <c r="C16" s="3557"/>
      <c r="D16" s="3558"/>
      <c r="E16" s="2639" t="s">
        <v>2937</v>
      </c>
      <c r="F16" s="3559"/>
      <c r="G16" s="3560"/>
      <c r="H16" s="3560"/>
      <c r="I16" s="3561"/>
      <c r="J16" s="2665"/>
      <c r="K16" s="2842"/>
      <c r="L16" s="2677"/>
      <c r="M16" s="2677"/>
      <c r="N16" s="2733"/>
      <c r="O16" s="2677"/>
      <c r="P16" s="2733"/>
      <c r="Q16" s="2665"/>
      <c r="R16" s="2665"/>
    </row>
    <row r="17" spans="1:28">
      <c r="A17" s="319" t="s">
        <v>2938</v>
      </c>
      <c r="B17" s="308" t="s">
        <v>2939</v>
      </c>
      <c r="C17" s="11">
        <f>'数据-汇总表'!E3</f>
        <v>47689.05</v>
      </c>
      <c r="D17" s="2545" t="s">
        <v>2940</v>
      </c>
      <c r="E17" s="3562" t="s">
        <v>2941</v>
      </c>
      <c r="F17" s="3563"/>
      <c r="G17" s="3563"/>
      <c r="H17" s="3563"/>
      <c r="I17" s="3564"/>
      <c r="J17" s="2665"/>
      <c r="K17" s="2843"/>
      <c r="L17" s="2677"/>
      <c r="M17" s="2677"/>
      <c r="N17" s="2733"/>
      <c r="O17" s="2677"/>
      <c r="P17" s="2733"/>
      <c r="Q17" s="2665"/>
      <c r="R17" s="2665"/>
      <c r="S17" s="2665"/>
      <c r="T17" s="2665"/>
      <c r="U17" s="2665"/>
      <c r="V17" s="2665"/>
    </row>
    <row r="18" spans="1:28" ht="24.75" thickBot="1">
      <c r="A18" s="2640" t="s">
        <v>2942</v>
      </c>
      <c r="B18" s="1250" t="s">
        <v>2943</v>
      </c>
      <c r="C18" s="2641">
        <f>'数据-汇总表'!D3</f>
        <v>5933.24</v>
      </c>
      <c r="D18" s="1252" t="s">
        <v>2944</v>
      </c>
      <c r="E18" s="3565" t="s">
        <v>2945</v>
      </c>
      <c r="F18" s="3566"/>
      <c r="G18" s="3566"/>
      <c r="H18" s="3566"/>
      <c r="I18" s="3567"/>
      <c r="J18" s="2665"/>
      <c r="K18" s="2843"/>
      <c r="L18" s="2677"/>
      <c r="M18" s="2677"/>
      <c r="N18" s="2733"/>
      <c r="O18" s="2677"/>
      <c r="P18" s="2733"/>
      <c r="Q18" s="2665"/>
      <c r="R18" s="2665"/>
      <c r="S18" s="2665"/>
      <c r="T18" s="2665"/>
      <c r="U18" s="2665"/>
      <c r="V18" s="2665"/>
    </row>
    <row r="19" spans="1:28" ht="37.5" thickTop="1" thickBot="1">
      <c r="A19" s="333" t="s">
        <v>1741</v>
      </c>
      <c r="B19" s="313" t="s">
        <v>2946</v>
      </c>
      <c r="C19" s="1748"/>
      <c r="D19" s="1749" t="s">
        <v>2947</v>
      </c>
      <c r="E19" s="1750"/>
      <c r="F19" s="1751" t="str">
        <f>IF(AND(C19="是",E19="否"),"是否提供他项权证或相关说明","")</f>
        <v/>
      </c>
      <c r="G19" s="1752"/>
      <c r="H19" s="2889"/>
      <c r="I19" s="2889"/>
      <c r="J19" s="2665"/>
      <c r="K19" s="2840"/>
      <c r="L19" s="2837"/>
      <c r="M19" s="2837"/>
      <c r="N19" s="2733"/>
      <c r="O19" s="2677"/>
      <c r="P19" s="2733"/>
      <c r="Q19" s="2665"/>
      <c r="R19" s="2665"/>
      <c r="S19" s="2665"/>
      <c r="T19" s="2665"/>
      <c r="U19" s="2665"/>
      <c r="V19" s="2665"/>
    </row>
    <row r="20" spans="1:28">
      <c r="A20" s="2857" t="s">
        <v>2948</v>
      </c>
      <c r="B20" s="3552" t="s">
        <v>2949</v>
      </c>
      <c r="C20" s="3553"/>
      <c r="D20" s="3554" t="s">
        <v>2950</v>
      </c>
      <c r="E20" s="3555"/>
      <c r="F20" s="2872" t="s">
        <v>1742</v>
      </c>
      <c r="G20" s="2889"/>
      <c r="H20" s="2889"/>
      <c r="I20" s="2889"/>
      <c r="J20" s="2665"/>
      <c r="K20" s="3551" t="s">
        <v>2951</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8"/>
      <c r="O20" s="2637"/>
      <c r="P20" s="2638"/>
      <c r="Q20" s="2594"/>
      <c r="R20" s="2594"/>
      <c r="S20" s="2594"/>
      <c r="T20" s="2594"/>
      <c r="U20" s="2594"/>
      <c r="V20" s="2594"/>
      <c r="W20" s="1931"/>
      <c r="X20" s="1931"/>
      <c r="Y20" s="1931"/>
      <c r="Z20" s="1931"/>
      <c r="AA20" s="1931"/>
      <c r="AB20" s="1931"/>
    </row>
    <row r="21" spans="1:28" ht="24.75" thickBot="1">
      <c r="A21" s="2857"/>
      <c r="B21" s="2858" t="s">
        <v>2952</v>
      </c>
      <c r="C21" s="2859" t="s">
        <v>1743</v>
      </c>
      <c r="D21" s="1753" t="s">
        <v>2953</v>
      </c>
      <c r="E21" s="2860" t="s">
        <v>1743</v>
      </c>
      <c r="F21" s="2873"/>
      <c r="G21" s="2889"/>
      <c r="H21" s="2889"/>
      <c r="I21" s="2889"/>
      <c r="J21" s="2665"/>
      <c r="K21" s="3551"/>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8"/>
      <c r="O21" s="2637"/>
      <c r="P21" s="2638"/>
      <c r="Q21" s="2594"/>
      <c r="R21" s="2594"/>
      <c r="S21" s="2594"/>
      <c r="T21" s="2594"/>
      <c r="U21" s="2594"/>
      <c r="V21" s="2594"/>
      <c r="W21" s="1931"/>
      <c r="X21" s="1931"/>
      <c r="Y21" s="1931"/>
      <c r="Z21" s="1931"/>
      <c r="AA21" s="1931"/>
      <c r="AB21" s="1931"/>
    </row>
    <row r="22" spans="1:28" ht="24.75" thickBot="1">
      <c r="A22" s="2857"/>
      <c r="B22" s="2861" t="s">
        <v>2954</v>
      </c>
      <c r="C22" s="2859" t="s">
        <v>1744</v>
      </c>
      <c r="D22" s="2888"/>
      <c r="E22" s="2888"/>
      <c r="F22" s="2888"/>
      <c r="G22" s="2889"/>
      <c r="H22" s="2889"/>
      <c r="I22" s="2889"/>
      <c r="J22" s="2665"/>
      <c r="K22" s="3551"/>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8"/>
      <c r="O22" s="2637"/>
      <c r="P22" s="2638"/>
      <c r="Q22" s="2594"/>
      <c r="R22" s="2594"/>
      <c r="S22" s="2594"/>
      <c r="T22" s="2594"/>
      <c r="U22" s="2594"/>
      <c r="V22" s="2594"/>
      <c r="W22" s="1931"/>
      <c r="X22" s="1931"/>
      <c r="Y22" s="1931"/>
      <c r="Z22" s="1931"/>
      <c r="AA22" s="1931"/>
      <c r="AB22" s="1931"/>
    </row>
    <row r="23" spans="1:28">
      <c r="A23" s="2862" t="s">
        <v>2955</v>
      </c>
      <c r="B23" s="2726" t="s">
        <v>2956</v>
      </c>
      <c r="C23" s="2863"/>
      <c r="D23" s="2864" t="s">
        <v>2956</v>
      </c>
      <c r="E23" s="2865"/>
      <c r="F23" s="2888"/>
      <c r="G23" s="2889"/>
      <c r="H23" s="2889"/>
      <c r="I23" s="2889"/>
      <c r="J23" s="2665"/>
      <c r="K23" s="2844"/>
      <c r="L23" s="2700"/>
      <c r="M23" s="2837"/>
      <c r="N23" s="2733"/>
      <c r="O23" s="2677"/>
      <c r="P23" s="2733"/>
      <c r="Q23" s="2665"/>
      <c r="R23" s="2665"/>
      <c r="S23" s="2665"/>
      <c r="T23" s="2665"/>
      <c r="U23" s="2665"/>
      <c r="V23" s="2665"/>
    </row>
    <row r="24" spans="1:28">
      <c r="A24" s="2862"/>
      <c r="B24" s="2726" t="s">
        <v>1745</v>
      </c>
      <c r="C24" s="2866"/>
      <c r="D24" s="2862" t="s">
        <v>1745</v>
      </c>
      <c r="E24" s="2867"/>
      <c r="F24" s="2888"/>
      <c r="G24" s="2889"/>
      <c r="H24" s="2889"/>
      <c r="I24" s="2889"/>
      <c r="J24" s="2665"/>
      <c r="K24" s="2844"/>
      <c r="L24" s="2700"/>
      <c r="M24" s="2837"/>
      <c r="N24" s="2733"/>
      <c r="O24" s="2677"/>
      <c r="P24" s="2733"/>
      <c r="Q24" s="2665"/>
      <c r="R24" s="2665"/>
      <c r="S24" s="2665"/>
      <c r="T24" s="2665"/>
      <c r="U24" s="2665"/>
      <c r="V24" s="2665"/>
    </row>
    <row r="25" spans="1:28">
      <c r="A25" s="2862"/>
      <c r="B25" s="2726" t="s">
        <v>1746</v>
      </c>
      <c r="C25" s="2866"/>
      <c r="D25" s="2862" t="s">
        <v>1746</v>
      </c>
      <c r="E25" s="2867"/>
      <c r="F25" s="2888"/>
      <c r="G25" s="2889"/>
      <c r="H25" s="2889"/>
      <c r="I25" s="2889"/>
      <c r="J25" s="2665"/>
      <c r="K25" s="2840"/>
      <c r="L25" s="2837"/>
      <c r="M25" s="2837"/>
      <c r="N25" s="2733"/>
      <c r="O25" s="2677"/>
      <c r="P25" s="2733"/>
      <c r="Q25" s="2665"/>
      <c r="R25" s="2665"/>
      <c r="S25" s="2665"/>
      <c r="T25" s="2665"/>
      <c r="U25" s="2665"/>
      <c r="V25" s="2665"/>
    </row>
    <row r="26" spans="1:28" ht="13.5" thickBot="1">
      <c r="A26" s="2868"/>
      <c r="B26" s="2869" t="s">
        <v>1747</v>
      </c>
      <c r="C26" s="2870"/>
      <c r="D26" s="2868" t="s">
        <v>1747</v>
      </c>
      <c r="E26" s="2871"/>
      <c r="F26" s="2890"/>
      <c r="G26" s="2890"/>
      <c r="H26" s="2890"/>
      <c r="I26" s="2890"/>
      <c r="J26" s="2665"/>
      <c r="K26" s="2840"/>
      <c r="L26" s="2837"/>
      <c r="M26" s="2837"/>
      <c r="N26" s="2733"/>
      <c r="O26" s="2677"/>
      <c r="P26" s="2733"/>
      <c r="Q26" s="2665"/>
      <c r="R26" s="2665"/>
      <c r="S26" s="2665"/>
      <c r="T26" s="2665"/>
      <c r="U26" s="2665"/>
      <c r="V26" s="2665"/>
    </row>
    <row r="27" spans="1:28" ht="13.5" thickTop="1">
      <c r="A27" s="3569" t="s">
        <v>2957</v>
      </c>
      <c r="B27" s="326" t="s">
        <v>2958</v>
      </c>
      <c r="C27" s="2642"/>
      <c r="D27" s="2643"/>
      <c r="E27" s="2889"/>
      <c r="F27" s="2889"/>
      <c r="G27" s="2889"/>
      <c r="H27" s="2889"/>
      <c r="I27" s="2889"/>
      <c r="J27" s="2665"/>
      <c r="K27" s="2842"/>
      <c r="L27" s="2677"/>
      <c r="M27" s="2677"/>
      <c r="N27" s="2733"/>
      <c r="O27" s="2677"/>
      <c r="P27" s="2733"/>
      <c r="Q27" s="2665"/>
      <c r="R27" s="2665"/>
      <c r="S27" s="2665"/>
      <c r="T27" s="2665"/>
      <c r="U27" s="2665"/>
      <c r="V27" s="2665"/>
    </row>
    <row r="28" spans="1:28">
      <c r="A28" s="3569"/>
      <c r="B28" s="308" t="s">
        <v>2959</v>
      </c>
      <c r="C28" s="2644"/>
      <c r="D28" s="2645"/>
      <c r="E28" s="2889"/>
      <c r="F28" s="2889"/>
      <c r="G28" s="2889"/>
      <c r="H28" s="2889"/>
      <c r="I28" s="2889"/>
      <c r="J28" s="2665"/>
      <c r="K28" s="2840"/>
      <c r="L28" s="2837"/>
      <c r="M28" s="2837"/>
      <c r="N28" s="2665"/>
      <c r="O28" s="2676"/>
      <c r="P28" s="2665"/>
      <c r="Q28" s="2665"/>
      <c r="R28" s="2665"/>
      <c r="S28" s="2665"/>
      <c r="T28" s="2665"/>
      <c r="U28" s="2665"/>
      <c r="V28" s="2665"/>
    </row>
    <row r="29" spans="1:28">
      <c r="A29" s="3569"/>
      <c r="B29" s="308" t="s">
        <v>2960</v>
      </c>
      <c r="C29" s="2646"/>
      <c r="D29" s="2647"/>
      <c r="E29" s="2889"/>
      <c r="F29" s="2889"/>
      <c r="G29" s="2889"/>
      <c r="H29" s="2889"/>
      <c r="I29" s="2889"/>
      <c r="J29" s="2665"/>
      <c r="K29" s="2840"/>
      <c r="L29" s="2837"/>
      <c r="M29" s="2837"/>
      <c r="N29" s="2665"/>
      <c r="O29" s="2676"/>
      <c r="P29" s="2665"/>
      <c r="Q29" s="2665"/>
      <c r="R29" s="2665"/>
      <c r="S29" s="2665"/>
      <c r="T29" s="2665"/>
      <c r="U29" s="2665"/>
      <c r="V29" s="2665"/>
    </row>
    <row r="30" spans="1:28">
      <c r="A30" s="3570"/>
      <c r="B30" s="308" t="s">
        <v>2961</v>
      </c>
      <c r="C30" s="3571"/>
      <c r="D30" s="3572"/>
      <c r="E30" s="2889"/>
      <c r="F30" s="2889"/>
      <c r="G30" s="2889"/>
      <c r="H30" s="2889"/>
      <c r="I30" s="2889"/>
      <c r="J30" s="2665"/>
      <c r="K30" s="2840"/>
      <c r="L30" s="2837"/>
      <c r="M30" s="2837"/>
      <c r="N30" s="2665"/>
      <c r="O30" s="2676"/>
      <c r="P30" s="2665"/>
      <c r="Q30" s="2665"/>
      <c r="R30" s="2665"/>
      <c r="S30" s="2665"/>
      <c r="T30" s="2665"/>
      <c r="U30" s="2665"/>
      <c r="V30" s="2665"/>
    </row>
    <row r="31" spans="1:28">
      <c r="A31" s="3573" t="s">
        <v>2962</v>
      </c>
      <c r="B31" s="2648"/>
      <c r="C31" s="2546" t="str">
        <f>IF(B31="现房","成新及维护状况正常否",IF(B31="在建","工程状态是否正常",IF(B31="土地","是否闲置","-")))</f>
        <v>-</v>
      </c>
      <c r="D31" s="1557"/>
      <c r="E31" s="2649"/>
      <c r="F31" s="2889"/>
      <c r="G31" s="2889"/>
      <c r="H31" s="2889"/>
      <c r="I31" s="2889"/>
      <c r="J31" s="2665"/>
      <c r="K31" s="2839"/>
      <c r="L31" s="2837"/>
      <c r="M31" s="2837"/>
      <c r="N31" s="2665"/>
      <c r="O31" s="2676"/>
      <c r="P31" s="2665"/>
      <c r="Q31" s="2665"/>
      <c r="R31" s="2665"/>
      <c r="S31" s="2665"/>
      <c r="T31" s="2665"/>
      <c r="U31" s="2665"/>
      <c r="V31" s="2665"/>
    </row>
    <row r="32" spans="1:28">
      <c r="A32" s="3574"/>
      <c r="B32" s="2648"/>
      <c r="C32" s="2546" t="str">
        <f>IF(B32="现房","成新及维护状况是否正常",IF(B32="在建","工程状态是否正常",IF(B32="土地","是否闲置","-")))</f>
        <v>-</v>
      </c>
      <c r="D32" s="1557"/>
      <c r="E32" s="2649"/>
      <c r="F32" s="2889"/>
      <c r="G32" s="2889"/>
      <c r="H32" s="2889"/>
      <c r="I32" s="2889"/>
      <c r="J32" s="2665"/>
      <c r="K32" s="2840"/>
      <c r="L32" s="2837"/>
      <c r="M32" s="2837"/>
      <c r="N32" s="2665"/>
      <c r="O32" s="2676"/>
      <c r="P32" s="2665"/>
      <c r="Q32" s="2665"/>
      <c r="R32" s="2665"/>
      <c r="S32" s="2665"/>
      <c r="T32" s="2665"/>
      <c r="U32" s="2665"/>
      <c r="V32" s="2665"/>
    </row>
    <row r="33" spans="1:30">
      <c r="A33" s="3574"/>
      <c r="B33" s="2651"/>
      <c r="C33" s="1775" t="str">
        <f>IF(B33="现房","成新及维护状况是否正常",IF(B33="在建","工程状态是否正常",IF(B33="土地","是否闲置","-")))</f>
        <v>-</v>
      </c>
      <c r="D33" s="1549"/>
      <c r="E33" s="2652"/>
      <c r="F33" s="2889"/>
      <c r="G33" s="2889"/>
      <c r="H33" s="2889"/>
      <c r="I33" s="2889"/>
      <c r="J33" s="2665"/>
      <c r="K33" s="2840"/>
      <c r="L33" s="2837"/>
      <c r="M33" s="2837"/>
      <c r="N33" s="2665"/>
      <c r="O33" s="2676"/>
      <c r="P33" s="2665"/>
      <c r="Q33" s="2665"/>
      <c r="R33" s="2665"/>
      <c r="S33" s="2665"/>
      <c r="T33" s="2665"/>
      <c r="U33" s="2665"/>
      <c r="V33" s="2665"/>
    </row>
    <row r="34" spans="1:30">
      <c r="A34" s="308" t="s">
        <v>2963</v>
      </c>
      <c r="B34" s="2214"/>
      <c r="C34" s="2214"/>
      <c r="D34" s="2214"/>
      <c r="E34" s="2214"/>
      <c r="F34" s="2214"/>
      <c r="G34" s="2214"/>
      <c r="H34" s="2214"/>
      <c r="I34" s="2889"/>
      <c r="J34" s="2665"/>
      <c r="K34" s="2653">
        <f>COUNTIF(B34:H34,"——")</f>
        <v>0</v>
      </c>
      <c r="L34" s="329" t="s">
        <v>2964</v>
      </c>
      <c r="M34" s="329" t="s">
        <v>2965</v>
      </c>
      <c r="N34" s="329" t="s">
        <v>2966</v>
      </c>
      <c r="O34" s="329" t="s">
        <v>2967</v>
      </c>
      <c r="P34" s="329" t="s">
        <v>2968</v>
      </c>
      <c r="Q34" s="329" t="s">
        <v>2969</v>
      </c>
      <c r="R34" s="329" t="s">
        <v>2970</v>
      </c>
      <c r="S34" s="3568" t="s">
        <v>2971</v>
      </c>
      <c r="T34" s="2654" t="str">
        <f>NUMBERSTRING(7-K34,1)&amp;"通"</f>
        <v>七通</v>
      </c>
      <c r="U34" s="2665"/>
      <c r="V34" s="2665"/>
    </row>
    <row r="35" spans="1:30">
      <c r="A35" s="2655"/>
      <c r="B35" s="3575" t="s">
        <v>2972</v>
      </c>
      <c r="C35" s="3575"/>
      <c r="D35" s="3575"/>
      <c r="E35" s="3575"/>
      <c r="F35" s="673">
        <f>C10</f>
        <v>0</v>
      </c>
      <c r="G35" s="2889"/>
      <c r="H35" s="2889"/>
      <c r="I35" s="2889"/>
      <c r="J35" s="266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568"/>
      <c r="T35" s="335" t="str">
        <f>IF(T34="一通",L35,IF(T34="二通",M35,IF(T34="三通",N35,IF(T34="四通",O35,IF(T34="五通",P35,IF(T34="六通",Q35,R35))))))</f>
        <v>、、、、、、</v>
      </c>
      <c r="U35" s="2665"/>
      <c r="V35" s="2665"/>
    </row>
    <row r="36" spans="1:30">
      <c r="A36" s="2656"/>
      <c r="B36" s="673" t="s">
        <v>2928</v>
      </c>
      <c r="C36" s="673" t="s">
        <v>2929</v>
      </c>
      <c r="D36" s="673" t="s">
        <v>2927</v>
      </c>
      <c r="E36" s="673" t="s">
        <v>2932</v>
      </c>
      <c r="F36" s="2895"/>
      <c r="G36" s="2889"/>
      <c r="H36" s="2889"/>
      <c r="I36" s="2889"/>
      <c r="J36" s="2665"/>
      <c r="K36" s="2840"/>
      <c r="L36" s="2837"/>
      <c r="M36" s="2837"/>
      <c r="N36" s="2665"/>
      <c r="O36" s="2676"/>
      <c r="P36" s="2665"/>
      <c r="Q36" s="2665"/>
      <c r="R36" s="2665"/>
      <c r="S36" s="2665"/>
      <c r="T36" s="2665"/>
      <c r="U36" s="2665"/>
      <c r="V36" s="2665"/>
    </row>
    <row r="37" spans="1:30">
      <c r="A37" s="2855" t="s">
        <v>2973</v>
      </c>
      <c r="B37" s="2657" t="s">
        <v>212</v>
      </c>
      <c r="C37" s="2657" t="s">
        <v>212</v>
      </c>
      <c r="D37" s="2657"/>
      <c r="E37" s="2657"/>
      <c r="F37" s="2895"/>
      <c r="G37" s="2889"/>
      <c r="H37" s="2889"/>
      <c r="I37" s="2889"/>
      <c r="J37" s="2665"/>
      <c r="K37" s="2840"/>
      <c r="L37" s="2837"/>
      <c r="M37" s="2837"/>
      <c r="N37" s="2665"/>
      <c r="O37" s="2676"/>
      <c r="P37" s="2665"/>
      <c r="Q37" s="2665"/>
      <c r="R37" s="2665"/>
      <c r="S37" s="2665"/>
      <c r="T37" s="2665"/>
      <c r="U37" s="2665"/>
      <c r="V37" s="2665"/>
    </row>
    <row r="38" spans="1:30" ht="13.5" thickBot="1">
      <c r="A38" s="2856" t="s">
        <v>2974</v>
      </c>
      <c r="B38" s="2658" t="s">
        <v>201</v>
      </c>
      <c r="C38" s="2658" t="s">
        <v>201</v>
      </c>
      <c r="D38" s="2658"/>
      <c r="E38" s="2658"/>
      <c r="F38" s="2896"/>
      <c r="G38" s="2890"/>
      <c r="H38" s="2890"/>
      <c r="I38" s="2890"/>
      <c r="J38" s="2665"/>
      <c r="K38" s="2840"/>
      <c r="L38" s="2837"/>
      <c r="M38" s="2837"/>
      <c r="N38" s="2665"/>
      <c r="O38" s="2676"/>
      <c r="P38" s="2665"/>
      <c r="Q38" s="2665"/>
      <c r="R38" s="2665"/>
      <c r="S38" s="2665"/>
      <c r="T38" s="2665"/>
      <c r="U38" s="2665"/>
      <c r="V38" s="2665"/>
    </row>
    <row r="39" spans="1:30" s="2661" customFormat="1" ht="14.25" thickTop="1" thickBot="1">
      <c r="A39" s="2659" t="s">
        <v>2975</v>
      </c>
      <c r="B39" s="2660"/>
      <c r="C39" s="2660"/>
      <c r="D39" s="2660"/>
      <c r="E39" s="2660"/>
      <c r="F39" s="2660"/>
      <c r="G39" s="2660"/>
      <c r="H39" s="2660"/>
      <c r="I39" s="2660"/>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4"/>
      <c r="B40" s="2594"/>
      <c r="C40" s="2594"/>
      <c r="D40" s="2594"/>
      <c r="E40" s="2594"/>
      <c r="F40" s="2594"/>
      <c r="G40" s="2594"/>
      <c r="H40" s="2594"/>
      <c r="I40" s="1763"/>
      <c r="J40" s="2733"/>
      <c r="K40" s="2839"/>
      <c r="L40" s="2677"/>
      <c r="M40" s="2677"/>
      <c r="N40" s="2733"/>
      <c r="O40" s="2677"/>
      <c r="P40" s="2665"/>
      <c r="Q40" s="2665"/>
      <c r="R40" s="2665"/>
      <c r="S40" s="2665"/>
      <c r="T40" s="2665"/>
      <c r="U40" s="2665"/>
      <c r="V40" s="2665"/>
    </row>
    <row r="41" spans="1:30">
      <c r="A41" s="2662" t="s">
        <v>2976</v>
      </c>
      <c r="B41" s="1943"/>
      <c r="C41" s="1557"/>
      <c r="D41" s="2594"/>
      <c r="E41" s="2594"/>
      <c r="F41" s="2594"/>
      <c r="G41" s="2594"/>
      <c r="H41" s="2594"/>
      <c r="I41" s="1761"/>
      <c r="J41" s="2665"/>
      <c r="K41" s="2840"/>
      <c r="L41" s="2837"/>
      <c r="M41" s="2837"/>
      <c r="N41" s="2665"/>
      <c r="O41" s="2676"/>
      <c r="P41" s="2665"/>
      <c r="Q41" s="2665"/>
      <c r="R41" s="2665"/>
      <c r="S41" s="2665"/>
      <c r="T41" s="2665"/>
      <c r="U41" s="2665"/>
      <c r="V41" s="2665"/>
    </row>
    <row r="42" spans="1:30" ht="25.5">
      <c r="A42" s="329" t="s">
        <v>2977</v>
      </c>
      <c r="B42" s="11" t="s">
        <v>2978</v>
      </c>
      <c r="C42" s="11" t="s">
        <v>2979</v>
      </c>
      <c r="D42" s="11" t="s">
        <v>2980</v>
      </c>
      <c r="E42" s="11" t="s">
        <v>2981</v>
      </c>
      <c r="F42" s="11" t="s">
        <v>2982</v>
      </c>
      <c r="G42" s="11" t="s">
        <v>2983</v>
      </c>
      <c r="H42" s="11" t="s">
        <v>2984</v>
      </c>
      <c r="I42" s="11" t="s">
        <v>2985</v>
      </c>
      <c r="J42" s="2851" t="s">
        <v>2986</v>
      </c>
      <c r="K42" s="2852" t="s">
        <v>2987</v>
      </c>
      <c r="L42" s="2852" t="s">
        <v>2988</v>
      </c>
      <c r="M42" s="2852" t="s">
        <v>2989</v>
      </c>
      <c r="N42" s="2845" t="s">
        <v>2990</v>
      </c>
      <c r="O42" s="2845" t="s">
        <v>2991</v>
      </c>
      <c r="P42" s="2845" t="s">
        <v>2992</v>
      </c>
      <c r="Q42" s="2846" t="s">
        <v>2993</v>
      </c>
      <c r="R42" s="2846" t="s">
        <v>2994</v>
      </c>
      <c r="S42" s="2665"/>
      <c r="T42" s="2665"/>
      <c r="U42" s="2665"/>
      <c r="V42" s="2665"/>
    </row>
    <row r="43" spans="1:30" s="1929" customFormat="1">
      <c r="A43" s="1755"/>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29" customFormat="1">
      <c r="A44" s="1755"/>
      <c r="B44" s="1755"/>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29" customFormat="1">
      <c r="A45" s="1755"/>
      <c r="B45" s="1755"/>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29" customFormat="1">
      <c r="A46" s="1755"/>
      <c r="B46" s="1755"/>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29" customFormat="1">
      <c r="A47" s="1755"/>
      <c r="B47" s="1755"/>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29" customFormat="1">
      <c r="A48" s="1755"/>
      <c r="B48" s="1755"/>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29" customFormat="1">
      <c r="A49" s="1755"/>
      <c r="B49" s="1755"/>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29" customFormat="1">
      <c r="A50" s="1755"/>
      <c r="B50" s="1755"/>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29" customFormat="1">
      <c r="A51" s="1755"/>
      <c r="B51" s="1755"/>
      <c r="C51" s="1182"/>
      <c r="D51" s="1182"/>
      <c r="E51" s="1182"/>
      <c r="F51" s="1182"/>
      <c r="G51" s="1182"/>
      <c r="H51" s="1182"/>
      <c r="I51" s="1182"/>
      <c r="J51" s="2663"/>
      <c r="K51" s="2664"/>
      <c r="L51" s="2664"/>
      <c r="M51" s="1182"/>
      <c r="N51" s="1182"/>
      <c r="O51" s="1182"/>
      <c r="P51" s="1182"/>
      <c r="Q51" s="1182"/>
      <c r="R51" s="1182"/>
    </row>
    <row r="52" spans="1:22" s="1929" customFormat="1">
      <c r="A52" s="1755"/>
      <c r="B52" s="1755"/>
      <c r="C52" s="1755"/>
      <c r="D52" s="1755"/>
      <c r="E52" s="1755"/>
      <c r="F52" s="1182"/>
      <c r="G52" s="1755"/>
      <c r="H52" s="1755"/>
      <c r="I52" s="1755"/>
      <c r="J52" s="2666"/>
      <c r="K52" s="2664"/>
      <c r="L52" s="2664"/>
      <c r="M52" s="2664"/>
      <c r="N52" s="1755"/>
      <c r="O52" s="1755"/>
      <c r="P52" s="1755"/>
      <c r="Q52" s="1755"/>
      <c r="R52" s="1755"/>
    </row>
    <row r="53" spans="1:22" s="1929" customFormat="1">
      <c r="A53" s="1755"/>
      <c r="B53" s="1755"/>
      <c r="C53" s="1755"/>
      <c r="D53" s="1755"/>
      <c r="E53" s="1755"/>
      <c r="F53" s="1182"/>
      <c r="G53" s="1755"/>
      <c r="H53" s="1755"/>
      <c r="I53" s="1755"/>
      <c r="J53" s="2666"/>
      <c r="K53" s="2664"/>
      <c r="L53" s="2664"/>
      <c r="M53" s="2664"/>
      <c r="N53" s="1755"/>
      <c r="O53" s="1755"/>
      <c r="P53" s="1755"/>
      <c r="Q53" s="1755"/>
      <c r="R53" s="1755"/>
    </row>
    <row r="54" spans="1:22" s="1929" customFormat="1">
      <c r="A54" s="1755"/>
      <c r="B54" s="1755"/>
      <c r="C54" s="1755"/>
      <c r="D54" s="1755"/>
      <c r="E54" s="1755"/>
      <c r="F54" s="1182"/>
      <c r="G54" s="1755"/>
      <c r="H54" s="1755"/>
      <c r="I54" s="1755"/>
      <c r="J54" s="2666"/>
      <c r="K54" s="2664"/>
      <c r="L54" s="2664"/>
      <c r="M54" s="2664"/>
      <c r="N54" s="1755"/>
      <c r="O54" s="1755"/>
      <c r="P54" s="1755"/>
      <c r="Q54" s="1755"/>
      <c r="R54" s="1755"/>
    </row>
    <row r="55" spans="1:22" s="1929" customFormat="1">
      <c r="A55" s="1755"/>
      <c r="B55" s="1755"/>
      <c r="C55" s="1755"/>
      <c r="D55" s="1755"/>
      <c r="E55" s="1755"/>
      <c r="F55" s="1182"/>
      <c r="G55" s="1755"/>
      <c r="H55" s="1755"/>
      <c r="I55" s="1755"/>
      <c r="J55" s="2666"/>
      <c r="K55" s="2664"/>
      <c r="L55" s="2664"/>
      <c r="M55" s="2664"/>
      <c r="N55" s="1755"/>
      <c r="O55" s="1755"/>
      <c r="P55" s="1755"/>
      <c r="Q55" s="1755"/>
      <c r="R55" s="1755"/>
    </row>
    <row r="56" spans="1:22" s="1929" customFormat="1">
      <c r="A56" s="1755"/>
      <c r="B56" s="1755"/>
      <c r="C56" s="1755"/>
      <c r="D56" s="1755"/>
      <c r="E56" s="1755"/>
      <c r="F56" s="1182"/>
      <c r="G56" s="1755"/>
      <c r="H56" s="1755"/>
      <c r="I56" s="1755"/>
      <c r="J56" s="2666"/>
      <c r="K56" s="2664"/>
      <c r="L56" s="2664"/>
      <c r="M56" s="2664"/>
      <c r="N56" s="1755"/>
      <c r="O56" s="1755"/>
      <c r="P56" s="1755"/>
      <c r="Q56" s="1755"/>
      <c r="R56" s="175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F30" sqref="F30"/>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v>5933.24</v>
      </c>
      <c r="B3" s="14">
        <f>IF(C3="否",G5-AT5,G5)</f>
        <v>47689.05</v>
      </c>
      <c r="C3" s="1765" t="s">
        <v>1756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1757</v>
      </c>
      <c r="B5" s="1531"/>
      <c r="C5" s="1531"/>
      <c r="D5" s="1533"/>
      <c r="E5" s="16" t="s">
        <v>1</v>
      </c>
      <c r="F5" s="16">
        <f>SUM(F13:F587)</f>
        <v>0</v>
      </c>
      <c r="G5" s="16">
        <f>SUM(G13:G587)</f>
        <v>47689.05</v>
      </c>
      <c r="H5" s="16">
        <f t="shared" ref="H5:AT5" si="0">SUM(H13:H656)</f>
        <v>47689.05</v>
      </c>
      <c r="I5" s="16">
        <f t="shared" si="0"/>
        <v>19687.320000000003</v>
      </c>
      <c r="J5" s="16">
        <f t="shared" si="0"/>
        <v>0</v>
      </c>
      <c r="K5" s="16">
        <f t="shared" si="0"/>
        <v>5444.8200000000006</v>
      </c>
      <c r="L5" s="16">
        <f t="shared" si="0"/>
        <v>0</v>
      </c>
      <c r="M5" s="16">
        <f t="shared" si="0"/>
        <v>12625.789999999999</v>
      </c>
      <c r="N5" s="16">
        <f t="shared" si="0"/>
        <v>0</v>
      </c>
      <c r="O5" s="16">
        <f t="shared" si="0"/>
        <v>9931.119999999999</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1757</v>
      </c>
      <c r="AW5" s="1531"/>
      <c r="AX5" s="1531"/>
      <c r="AY5" s="17" t="s">
        <v>3</v>
      </c>
      <c r="AZ5" s="18">
        <f t="shared" ref="AZ5:BT5" si="1">SUM(AZ13:AZ656)</f>
        <v>47689.05</v>
      </c>
      <c r="BA5" s="18">
        <f t="shared" si="1"/>
        <v>47689.05</v>
      </c>
      <c r="BB5" s="18">
        <f t="shared" si="1"/>
        <v>19687.320000000003</v>
      </c>
      <c r="BC5" s="18">
        <f t="shared" si="1"/>
        <v>5444.8200000000006</v>
      </c>
      <c r="BD5" s="18">
        <f t="shared" si="1"/>
        <v>12625.789999999999</v>
      </c>
      <c r="BE5" s="18">
        <f t="shared" si="1"/>
        <v>9931.119999999999</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1758</v>
      </c>
      <c r="B6" s="1771"/>
      <c r="C6" s="1771"/>
      <c r="D6" s="1772"/>
      <c r="E6" s="16">
        <f>H6+AC6+AT6</f>
        <v>5933.24</v>
      </c>
      <c r="F6" s="16" t="s">
        <v>1</v>
      </c>
      <c r="G6" s="16" t="s">
        <v>2</v>
      </c>
      <c r="H6" s="20">
        <f>SUMIF(I$12:AB$12,"总值",I6:AB6)</f>
        <v>5933.24</v>
      </c>
      <c r="I6" s="16">
        <f t="shared" ref="I6:AB6" si="2">ROUND($A$3*I5/$B$3,2)</f>
        <v>2449.4</v>
      </c>
      <c r="J6" s="16">
        <f t="shared" si="2"/>
        <v>0</v>
      </c>
      <c r="K6" s="16">
        <f t="shared" si="2"/>
        <v>677.42</v>
      </c>
      <c r="L6" s="16">
        <f t="shared" si="2"/>
        <v>0</v>
      </c>
      <c r="M6" s="16">
        <f t="shared" si="2"/>
        <v>1570.84</v>
      </c>
      <c r="N6" s="16">
        <f t="shared" si="2"/>
        <v>0</v>
      </c>
      <c r="O6" s="16">
        <f t="shared" si="2"/>
        <v>1235.58</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1758</v>
      </c>
      <c r="AW6" s="1771"/>
      <c r="AX6" s="1771"/>
      <c r="AY6" s="21">
        <f>IF(AY3&gt;0,AY3,ROUND($A$3*AZ5/$B$3,2))</f>
        <v>5933.24</v>
      </c>
      <c r="AZ6" s="16" t="s">
        <v>3</v>
      </c>
      <c r="BA6" s="16">
        <f>ROUND($AY$6*BA5/$AZ$5,2)</f>
        <v>5933.24</v>
      </c>
      <c r="BB6" s="16">
        <f>ROUND($AY$6*BB5/$AZ$5,2)</f>
        <v>2449.4</v>
      </c>
      <c r="BC6" s="16">
        <f t="shared" ref="BC6:BH6" si="4">ROUND($AY$6*BC5/$AZ$5,2)</f>
        <v>677.42</v>
      </c>
      <c r="BD6" s="16">
        <f t="shared" si="4"/>
        <v>1570.84</v>
      </c>
      <c r="BE6" s="16">
        <f t="shared" si="4"/>
        <v>1235.58</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1759</v>
      </c>
      <c r="B7" s="1754" t="s">
        <v>1760</v>
      </c>
      <c r="C7" s="1754" t="s">
        <v>1761</v>
      </c>
      <c r="D7" s="1754" t="s">
        <v>1762</v>
      </c>
      <c r="E7" s="1754" t="s">
        <v>1763</v>
      </c>
      <c r="F7" s="1754" t="s">
        <v>1764</v>
      </c>
      <c r="G7" s="1775" t="s">
        <v>1765</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1766</v>
      </c>
      <c r="AV7" s="23" t="s">
        <v>1767</v>
      </c>
      <c r="AW7" s="1763" t="s">
        <v>1768</v>
      </c>
      <c r="AX7" s="23" t="s">
        <v>1761</v>
      </c>
      <c r="AY7" s="1531" t="s">
        <v>1769</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1770</v>
      </c>
      <c r="H8" s="1781" t="s">
        <v>1771</v>
      </c>
      <c r="I8" s="1782"/>
      <c r="J8" s="1544"/>
      <c r="K8" s="1544"/>
      <c r="L8" s="1544"/>
      <c r="M8" s="1544"/>
      <c r="N8" s="1544"/>
      <c r="O8" s="1544"/>
      <c r="P8" s="1544"/>
      <c r="Q8" s="1544"/>
      <c r="R8" s="1544"/>
      <c r="S8" s="1544"/>
      <c r="T8" s="1544"/>
      <c r="U8" s="1544"/>
      <c r="V8" s="1783"/>
      <c r="W8" s="1544"/>
      <c r="X8" s="1544"/>
      <c r="Y8" s="1544"/>
      <c r="Z8" s="1544"/>
      <c r="AA8" s="1783"/>
      <c r="AB8" s="1784"/>
      <c r="AC8" s="918" t="s">
        <v>1772</v>
      </c>
      <c r="AD8" s="1785"/>
      <c r="AE8" s="1777"/>
      <c r="AF8" s="1544"/>
      <c r="AG8" s="1544"/>
      <c r="AH8" s="1544"/>
      <c r="AI8" s="1544"/>
      <c r="AJ8" s="1544"/>
      <c r="AK8" s="1544"/>
      <c r="AL8" s="1544"/>
      <c r="AM8" s="1544"/>
      <c r="AN8" s="1544"/>
      <c r="AO8" s="1544"/>
      <c r="AP8" s="1544"/>
      <c r="AQ8" s="1544"/>
      <c r="AR8" s="1544"/>
      <c r="AS8" s="1544"/>
      <c r="AT8" s="1202" t="s">
        <v>1773</v>
      </c>
      <c r="AU8" s="1779" t="s">
        <v>1774</v>
      </c>
      <c r="AV8" s="1202"/>
      <c r="AW8" s="1762"/>
      <c r="AX8" s="1202"/>
      <c r="AY8" s="1763" t="s">
        <v>1775</v>
      </c>
      <c r="AZ8" s="1543" t="s">
        <v>1776</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1777</v>
      </c>
      <c r="I9" s="1788" t="s">
        <v>3062</v>
      </c>
      <c r="J9" s="918"/>
      <c r="K9" s="1788" t="s">
        <v>3063</v>
      </c>
      <c r="L9" s="918"/>
      <c r="M9" s="1788" t="s">
        <v>3062</v>
      </c>
      <c r="N9" s="918"/>
      <c r="O9" s="1788" t="s">
        <v>3063</v>
      </c>
      <c r="P9" s="918"/>
      <c r="Q9" s="1788"/>
      <c r="R9" s="918"/>
      <c r="S9" s="1788"/>
      <c r="T9" s="918"/>
      <c r="U9" s="1788"/>
      <c r="V9" s="918"/>
      <c r="W9" s="1788"/>
      <c r="X9" s="1789"/>
      <c r="Y9" s="1788"/>
      <c r="Z9" s="918"/>
      <c r="AA9" s="1788"/>
      <c r="AB9" s="918"/>
      <c r="AC9" s="1780"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0"/>
      <c r="AT9" s="1779"/>
      <c r="AU9" s="1779" t="s">
        <v>1780</v>
      </c>
      <c r="AV9" s="1202"/>
      <c r="AW9" s="1762"/>
      <c r="AX9" s="1202"/>
      <c r="AY9" s="28"/>
      <c r="AZ9" s="28" t="s">
        <v>1770</v>
      </c>
      <c r="BA9" s="1791" t="s">
        <v>1781</v>
      </c>
      <c r="BB9" s="1792"/>
      <c r="BC9" s="1248"/>
      <c r="BD9" s="1248"/>
      <c r="BE9" s="1248"/>
      <c r="BF9" s="1248"/>
      <c r="BG9" s="1248"/>
      <c r="BH9" s="1248"/>
      <c r="BI9" s="1248"/>
      <c r="BJ9" s="1248"/>
      <c r="BK9" s="1793"/>
      <c r="BL9" s="15" t="s">
        <v>1782</v>
      </c>
      <c r="BM9" s="1544"/>
      <c r="BN9" s="1782"/>
      <c r="BO9" s="1544"/>
      <c r="BP9" s="1544"/>
      <c r="BQ9" s="1544"/>
      <c r="BR9" s="1544"/>
      <c r="BS9" s="1544"/>
      <c r="BT9" s="26"/>
    </row>
    <row r="10" spans="1:72" s="1786" customFormat="1" ht="12.75">
      <c r="A10" s="1779"/>
      <c r="B10" s="1779"/>
      <c r="C10" s="1779"/>
      <c r="D10" s="1779"/>
      <c r="E10" s="1779"/>
      <c r="F10" s="1779"/>
      <c r="G10" s="1202"/>
      <c r="H10" s="28"/>
      <c r="I10" s="1788" t="s">
        <v>27</v>
      </c>
      <c r="J10" s="918"/>
      <c r="K10" s="1794" t="s">
        <v>3065</v>
      </c>
      <c r="L10" s="918"/>
      <c r="M10" s="1794" t="s">
        <v>1343</v>
      </c>
      <c r="N10" s="918"/>
      <c r="O10" s="1794" t="s">
        <v>27</v>
      </c>
      <c r="P10" s="918"/>
      <c r="Q10" s="1794"/>
      <c r="R10" s="918"/>
      <c r="S10" s="1794"/>
      <c r="T10" s="918"/>
      <c r="U10" s="1794"/>
      <c r="V10" s="918"/>
      <c r="W10" s="1794"/>
      <c r="X10" s="918"/>
      <c r="Y10" s="1794"/>
      <c r="Z10" s="918"/>
      <c r="AA10" s="1794"/>
      <c r="AB10" s="918"/>
      <c r="AC10" s="1202"/>
      <c r="AD10" s="15" t="s">
        <v>1783</v>
      </c>
      <c r="AE10" s="1795"/>
      <c r="AF10" s="15" t="s">
        <v>1783</v>
      </c>
      <c r="AG10" s="1795"/>
      <c r="AH10" s="15" t="s">
        <v>1784</v>
      </c>
      <c r="AI10" s="1795"/>
      <c r="AJ10" s="15" t="s">
        <v>1784</v>
      </c>
      <c r="AK10" s="1795"/>
      <c r="AL10" s="15" t="s">
        <v>1785</v>
      </c>
      <c r="AM10" s="1208"/>
      <c r="AN10" s="15" t="s">
        <v>1785</v>
      </c>
      <c r="AO10" s="1208"/>
      <c r="AP10" s="15" t="s">
        <v>1786</v>
      </c>
      <c r="AQ10" s="1208"/>
      <c r="AR10" s="15" t="s">
        <v>1786</v>
      </c>
      <c r="AS10" s="1208"/>
      <c r="AT10" s="1779"/>
      <c r="AU10" s="1779"/>
      <c r="AV10" s="1202"/>
      <c r="AW10" s="1762"/>
      <c r="AX10" s="1202"/>
      <c r="AY10" s="28"/>
      <c r="AZ10" s="28"/>
      <c r="BA10" s="1796" t="s">
        <v>1777</v>
      </c>
      <c r="BB10" s="1797" t="str">
        <f>I9</f>
        <v>地上</v>
      </c>
      <c r="BC10" s="29" t="str">
        <f>K9</f>
        <v>地下</v>
      </c>
      <c r="BD10" s="29" t="str">
        <f>M9</f>
        <v>地上</v>
      </c>
      <c r="BE10" s="29" t="str">
        <f>O9</f>
        <v>地下</v>
      </c>
      <c r="BF10" s="29">
        <f>Q9</f>
        <v>0</v>
      </c>
      <c r="BG10" s="29">
        <f>S9</f>
        <v>0</v>
      </c>
      <c r="BH10" s="29">
        <f>U9</f>
        <v>0</v>
      </c>
      <c r="BI10" s="29">
        <f>W9</f>
        <v>0</v>
      </c>
      <c r="BJ10" s="29">
        <f>Y9</f>
        <v>0</v>
      </c>
      <c r="BK10" s="29">
        <f>AA9</f>
        <v>0</v>
      </c>
      <c r="BL10" s="25" t="s">
        <v>1777</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t="s">
        <v>3064</v>
      </c>
      <c r="J11" s="1800"/>
      <c r="K11" s="1799" t="s">
        <v>3065</v>
      </c>
      <c r="L11" s="1800"/>
      <c r="M11" s="1799" t="s">
        <v>3066</v>
      </c>
      <c r="N11" s="1800"/>
      <c r="O11" s="1799" t="s">
        <v>3064</v>
      </c>
      <c r="P11" s="1800"/>
      <c r="Q11" s="1799"/>
      <c r="R11" s="1800"/>
      <c r="S11" s="1799"/>
      <c r="T11" s="1800"/>
      <c r="U11" s="1799"/>
      <c r="V11" s="1800"/>
      <c r="W11" s="1799"/>
      <c r="X11" s="1800"/>
      <c r="Y11" s="1799"/>
      <c r="Z11" s="1800"/>
      <c r="AA11" s="1799"/>
      <c r="AB11" s="1800"/>
      <c r="AC11" s="1202"/>
      <c r="AD11" s="1801" t="s">
        <v>1787</v>
      </c>
      <c r="AE11" s="1545"/>
      <c r="AF11" s="1801" t="s">
        <v>1787</v>
      </c>
      <c r="AG11" s="1545"/>
      <c r="AH11" s="1801" t="s">
        <v>1788</v>
      </c>
      <c r="AI11" s="1802"/>
      <c r="AJ11" s="1801" t="s">
        <v>1788</v>
      </c>
      <c r="AK11" s="1545"/>
      <c r="AL11" s="1543"/>
      <c r="AM11" s="1545"/>
      <c r="AN11" s="1543"/>
      <c r="AO11" s="1545"/>
      <c r="AP11" s="1543"/>
      <c r="AQ11" s="1545"/>
      <c r="AR11" s="1543"/>
      <c r="AS11" s="1545"/>
      <c r="AT11" s="1762"/>
      <c r="AU11" s="1779"/>
      <c r="AV11" s="1202"/>
      <c r="AW11" s="1762"/>
      <c r="AX11" s="1202"/>
      <c r="AY11" s="28"/>
      <c r="AZ11" s="28"/>
      <c r="BA11" s="28"/>
      <c r="BB11" s="1784" t="str">
        <f>I10</f>
        <v>办公</v>
      </c>
      <c r="BC11" s="1784" t="str">
        <f>K10</f>
        <v>车库</v>
      </c>
      <c r="BD11" s="1784" t="str">
        <f>M10</f>
        <v>商业</v>
      </c>
      <c r="BE11" s="1784" t="str">
        <f>O10</f>
        <v>办公</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0" t="s">
        <v>1790</v>
      </c>
      <c r="W12" s="11" t="s">
        <v>1789</v>
      </c>
      <c r="X12" s="11" t="s">
        <v>1790</v>
      </c>
      <c r="Y12" s="11" t="s">
        <v>1789</v>
      </c>
      <c r="Z12" s="11" t="s">
        <v>1790</v>
      </c>
      <c r="AA12" s="11" t="s">
        <v>1789</v>
      </c>
      <c r="AB12" s="11" t="s">
        <v>1790</v>
      </c>
      <c r="AC12" s="1806"/>
      <c r="AD12" s="153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4" t="s">
        <v>1790</v>
      </c>
      <c r="AT12" s="1807"/>
      <c r="AU12" s="1804"/>
      <c r="AV12" s="31"/>
      <c r="AW12" s="1763"/>
      <c r="AX12" s="31"/>
      <c r="AY12" s="1808"/>
      <c r="AZ12" s="28"/>
      <c r="BA12" s="1796"/>
      <c r="BB12" s="24" t="str">
        <f>I11</f>
        <v>办公楼</v>
      </c>
      <c r="BC12" s="1809" t="str">
        <f>K11</f>
        <v>车库</v>
      </c>
      <c r="BD12" s="1809" t="str">
        <f>M11</f>
        <v>底商</v>
      </c>
      <c r="BE12" s="1784" t="str">
        <f>O11</f>
        <v>办公楼</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2664" t="s">
        <v>3067</v>
      </c>
      <c r="D13" s="1810" t="s">
        <v>3061</v>
      </c>
      <c r="E13" s="16">
        <f>IF($C$3="是",ROUND($A$3*G13/$B$3,2),ROUND($A$3*(G13-AT13)/$B$3,2))</f>
        <v>378.62</v>
      </c>
      <c r="F13" s="32"/>
      <c r="G13" s="33">
        <f>H13+AC13+AT13</f>
        <v>3043.19</v>
      </c>
      <c r="H13" s="20">
        <f>SUMIF(I$12:AB$12,"总值",I13:AB13)</f>
        <v>3043.19</v>
      </c>
      <c r="I13" s="1811"/>
      <c r="J13" s="1811"/>
      <c r="K13" s="1811"/>
      <c r="L13" s="1811"/>
      <c r="M13" s="1811">
        <v>3043.19</v>
      </c>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t="str">
        <f t="shared" si="6"/>
        <v>5</v>
      </c>
      <c r="AY13" s="1533">
        <f>ROUND($AY$6*AZ13/$AZ$5,2)</f>
        <v>378.62</v>
      </c>
      <c r="AZ13" s="16">
        <f>BA13+BL13</f>
        <v>3043.19</v>
      </c>
      <c r="BA13" s="16">
        <f>SUM(BB13:BK13)</f>
        <v>3043.19</v>
      </c>
      <c r="BB13" s="16">
        <f>IF($D13="是",I13-J13,0)</f>
        <v>0</v>
      </c>
      <c r="BC13" s="16">
        <f>IF($D13="是",K13-L13,0)</f>
        <v>0</v>
      </c>
      <c r="BD13" s="16">
        <f>IF($D13="是",M13-N13,0)</f>
        <v>3043.19</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c r="C14" s="2664" t="s">
        <v>3068</v>
      </c>
      <c r="D14" s="1810" t="s">
        <v>3061</v>
      </c>
      <c r="E14" s="16">
        <f>IF($C$3="是",ROUND($A$3*G14/$B$3,2),ROUND($A$3*(G14-AT14)/$B$3,2))</f>
        <v>38.04</v>
      </c>
      <c r="F14" s="32"/>
      <c r="G14" s="33">
        <f>H14+AC14+AT14</f>
        <v>305.77999999999997</v>
      </c>
      <c r="H14" s="20">
        <f>SUMIF(I$12:AB$12,"总值",I14:AB14)</f>
        <v>305.77999999999997</v>
      </c>
      <c r="I14" s="1811"/>
      <c r="J14" s="1811"/>
      <c r="K14" s="1811">
        <v>305.77999999999997</v>
      </c>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t="str">
        <f t="shared" si="6"/>
        <v>-1</v>
      </c>
      <c r="AY14" s="1533">
        <f>ROUND($AY$6*AZ14/$AZ$5,2)</f>
        <v>38.04</v>
      </c>
      <c r="AZ14" s="16">
        <f>BA14+BL14</f>
        <v>305.77999999999997</v>
      </c>
      <c r="BA14" s="16">
        <f>SUM(BB14:BK14)</f>
        <v>305.77999999999997</v>
      </c>
      <c r="BB14" s="16">
        <f>IF($D14="是",I14-J14,0)</f>
        <v>0</v>
      </c>
      <c r="BC14" s="16">
        <f>IF($D14="是",K14-L14,0)</f>
        <v>305.77999999999997</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2664" t="s">
        <v>3069</v>
      </c>
      <c r="D15" s="1810" t="s">
        <v>3061</v>
      </c>
      <c r="E15" s="16">
        <f>IF($C$3="是",ROUND($A$3*G15/$B$3,2),ROUND($A$3*(G15-AT15)/$B$3,2))</f>
        <v>261.49</v>
      </c>
      <c r="F15" s="32"/>
      <c r="G15" s="33">
        <f>H15+AC15+AT15</f>
        <v>2101.7399999999998</v>
      </c>
      <c r="H15" s="20">
        <f>SUMIF(I$12:AB$12,"总值",I15:AB15)</f>
        <v>2101.7399999999998</v>
      </c>
      <c r="I15" s="1811"/>
      <c r="J15" s="1811"/>
      <c r="K15" s="1811"/>
      <c r="L15" s="1811"/>
      <c r="M15" s="1811">
        <v>2101.7399999999998</v>
      </c>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t="str">
        <f t="shared" si="6"/>
        <v>2</v>
      </c>
      <c r="AY15" s="1533">
        <f>ROUND($AY$6*AZ15/$AZ$5,2)</f>
        <v>261.49</v>
      </c>
      <c r="AZ15" s="16">
        <f>BA15+BL15</f>
        <v>2101.7399999999998</v>
      </c>
      <c r="BA15" s="16">
        <f>SUM(BB15:BK15)</f>
        <v>2101.7399999999998</v>
      </c>
      <c r="BB15" s="16">
        <f>IF($D15="是",I15-J15,0)</f>
        <v>0</v>
      </c>
      <c r="BC15" s="16">
        <f>IF($D15="是",K15-L15,0)</f>
        <v>0</v>
      </c>
      <c r="BD15" s="16">
        <f>IF($D15="是",M15-N15,0)</f>
        <v>2101.7399999999998</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2664" t="s">
        <v>3068</v>
      </c>
      <c r="D16" s="1810" t="s">
        <v>3061</v>
      </c>
      <c r="E16" s="16">
        <f>IF($C$3="是",ROUND($A$3*G16/$B$3,2),ROUND($A$3*(G16-AT16)/$B$3,2))</f>
        <v>23.11</v>
      </c>
      <c r="F16" s="32"/>
      <c r="G16" s="33">
        <f>H16+AC16+AT16</f>
        <v>185.77</v>
      </c>
      <c r="H16" s="20">
        <f>SUMIF(I$12:AB$12,"总值",I16:AB16)</f>
        <v>185.77</v>
      </c>
      <c r="I16" s="1811"/>
      <c r="J16" s="1811"/>
      <c r="K16" s="1811">
        <v>185.77</v>
      </c>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t="str">
        <f t="shared" si="6"/>
        <v>-1</v>
      </c>
      <c r="AY16" s="1533">
        <f>ROUND($AY$6*AZ16/$AZ$5,2)</f>
        <v>23.11</v>
      </c>
      <c r="AZ16" s="16">
        <f>BA16+BL16</f>
        <v>185.77</v>
      </c>
      <c r="BA16" s="16">
        <f>SUM(BB16:BK16)</f>
        <v>185.77</v>
      </c>
      <c r="BB16" s="16">
        <f>IF($D16="是",I16-J16,0)</f>
        <v>0</v>
      </c>
      <c r="BC16" s="16">
        <f>IF($D16="是",K16-L16,0)</f>
        <v>185.77</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2664" t="s">
        <v>3070</v>
      </c>
      <c r="D17" s="1810" t="s">
        <v>3061</v>
      </c>
      <c r="E17" s="16">
        <f>IF($C$3="是",ROUND($A$3*G17/$B$3,2),ROUND($A$3*(G17-AT17)/$B$3,2))</f>
        <v>616.26</v>
      </c>
      <c r="F17" s="32"/>
      <c r="G17" s="33">
        <f>H17+AC17+AT17</f>
        <v>4953.2700000000004</v>
      </c>
      <c r="H17" s="20">
        <f>SUMIF(I$12:AB$12,"总值",I17:AB17)</f>
        <v>4953.2700000000004</v>
      </c>
      <c r="I17" s="1811"/>
      <c r="J17" s="1811"/>
      <c r="K17" s="1811">
        <v>4953.2700000000004</v>
      </c>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t="str">
        <f t="shared" si="6"/>
        <v>-3</v>
      </c>
      <c r="AY17" s="1533">
        <f>ROUND($AY$6*AZ17/$AZ$5,2)</f>
        <v>616.26</v>
      </c>
      <c r="AZ17" s="16">
        <f>BA17+BL17</f>
        <v>4953.2700000000004</v>
      </c>
      <c r="BA17" s="16">
        <f>SUM(BB17:BK17)</f>
        <v>4953.2700000000004</v>
      </c>
      <c r="BB17" s="16">
        <f>IF($D17="是",I17-J17,0)</f>
        <v>0</v>
      </c>
      <c r="BC17" s="16">
        <f>IF($D17="是",K17-L17,0)</f>
        <v>4953.2700000000004</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070" t="s">
        <v>3071</v>
      </c>
      <c r="D18" s="1810" t="s">
        <v>3061</v>
      </c>
      <c r="E18" s="35">
        <f t="shared" ref="E18:E112" si="7">IF($C$3="是",ROUND($A$3*G18/$B$3,2),ROUND($A$3*(G18-AT18)/$B$3,2))</f>
        <v>916.91</v>
      </c>
      <c r="F18" s="36"/>
      <c r="G18" s="37">
        <f t="shared" ref="G18:G109" si="8">H18+AC18+AT18</f>
        <v>7369.8</v>
      </c>
      <c r="H18" s="38">
        <f t="shared" ref="H18:H109" si="9">SUMIF(I$12:AB$12,"总值",I18:AB18)</f>
        <v>7369.8</v>
      </c>
      <c r="I18" s="39"/>
      <c r="J18" s="39"/>
      <c r="K18" s="39"/>
      <c r="L18" s="39"/>
      <c r="M18" s="39">
        <v>7369.8</v>
      </c>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t="str">
        <f t="shared" ref="AX18:AX112" si="13">C18</f>
        <v>3-4</v>
      </c>
      <c r="AY18" s="42">
        <f t="shared" ref="AY18:AY109" si="14">ROUND($AY$6*AZ18/$AZ$5,2)</f>
        <v>916.91</v>
      </c>
      <c r="AZ18" s="35">
        <f t="shared" ref="AZ18:AZ109" si="15">BA18+BL18</f>
        <v>7369.8</v>
      </c>
      <c r="BA18" s="35">
        <f t="shared" ref="BA18:BA109" si="16">SUM(BB18:BK18)</f>
        <v>7369.8</v>
      </c>
      <c r="BB18" s="35">
        <f t="shared" ref="BB18:BB109" si="17">IF($D18="是",I18-J18,0)</f>
        <v>0</v>
      </c>
      <c r="BC18" s="35">
        <f t="shared" ref="BC18:BC109" si="18">IF($D18="是",K18-L18,0)</f>
        <v>0</v>
      </c>
      <c r="BD18" s="35">
        <f t="shared" ref="BD18:BD109" si="19">IF($D18="是",M18-N18,0)</f>
        <v>7369.8</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070" t="s">
        <v>3072</v>
      </c>
      <c r="D19" s="1810" t="s">
        <v>3061</v>
      </c>
      <c r="E19" s="35">
        <f t="shared" si="7"/>
        <v>13.82</v>
      </c>
      <c r="F19" s="36"/>
      <c r="G19" s="37">
        <f t="shared" si="8"/>
        <v>111.06</v>
      </c>
      <c r="H19" s="38">
        <f t="shared" si="9"/>
        <v>111.06</v>
      </c>
      <c r="I19" s="39"/>
      <c r="J19" s="39"/>
      <c r="K19" s="39"/>
      <c r="L19" s="39"/>
      <c r="M19" s="39">
        <v>111.06</v>
      </c>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t="str">
        <f t="shared" si="13"/>
        <v>1</v>
      </c>
      <c r="AY19" s="42">
        <f t="shared" si="14"/>
        <v>13.82</v>
      </c>
      <c r="AZ19" s="35">
        <f t="shared" si="15"/>
        <v>111.06</v>
      </c>
      <c r="BA19" s="35">
        <f t="shared" si="16"/>
        <v>111.06</v>
      </c>
      <c r="BB19" s="35">
        <f t="shared" si="17"/>
        <v>0</v>
      </c>
      <c r="BC19" s="35">
        <f t="shared" si="18"/>
        <v>0</v>
      </c>
      <c r="BD19" s="35">
        <f t="shared" si="19"/>
        <v>111.06</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070" t="s">
        <v>3073</v>
      </c>
      <c r="D20" s="1810" t="s">
        <v>3061</v>
      </c>
      <c r="E20" s="35">
        <f t="shared" si="7"/>
        <v>821.13</v>
      </c>
      <c r="F20" s="36"/>
      <c r="G20" s="37">
        <f t="shared" si="8"/>
        <v>6599.88</v>
      </c>
      <c r="H20" s="38">
        <f t="shared" si="9"/>
        <v>6599.88</v>
      </c>
      <c r="I20" s="39">
        <v>6599.88</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t="str">
        <f t="shared" si="13"/>
        <v>8-9</v>
      </c>
      <c r="AY20" s="42">
        <f t="shared" si="14"/>
        <v>821.13</v>
      </c>
      <c r="AZ20" s="35">
        <f t="shared" si="15"/>
        <v>6599.88</v>
      </c>
      <c r="BA20" s="35">
        <f t="shared" si="16"/>
        <v>6599.88</v>
      </c>
      <c r="BB20" s="35">
        <f t="shared" si="17"/>
        <v>6599.88</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070" t="s">
        <v>3074</v>
      </c>
      <c r="D21" s="1810" t="s">
        <v>3061</v>
      </c>
      <c r="E21" s="35">
        <f t="shared" si="7"/>
        <v>458.46</v>
      </c>
      <c r="F21" s="36"/>
      <c r="G21" s="37">
        <f t="shared" si="8"/>
        <v>3684.9</v>
      </c>
      <c r="H21" s="38">
        <f t="shared" si="9"/>
        <v>3684.9</v>
      </c>
      <c r="I21" s="39">
        <v>3684.9</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t="str">
        <f t="shared" si="13"/>
        <v>6</v>
      </c>
      <c r="AY21" s="42">
        <f t="shared" si="14"/>
        <v>458.46</v>
      </c>
      <c r="AZ21" s="35">
        <f t="shared" si="15"/>
        <v>3684.9</v>
      </c>
      <c r="BA21" s="35">
        <f t="shared" si="16"/>
        <v>3684.9</v>
      </c>
      <c r="BB21" s="35">
        <f t="shared" si="17"/>
        <v>3684.9</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070" t="s">
        <v>3075</v>
      </c>
      <c r="D22" s="1810" t="s">
        <v>3061</v>
      </c>
      <c r="E22" s="35">
        <f t="shared" si="7"/>
        <v>79.84</v>
      </c>
      <c r="F22" s="36"/>
      <c r="G22" s="37">
        <f t="shared" si="8"/>
        <v>641.71</v>
      </c>
      <c r="H22" s="38">
        <f t="shared" si="9"/>
        <v>641.71</v>
      </c>
      <c r="I22" s="39">
        <v>641.71</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t="str">
        <f t="shared" si="13"/>
        <v>5</v>
      </c>
      <c r="AY22" s="42">
        <f t="shared" si="14"/>
        <v>79.84</v>
      </c>
      <c r="AZ22" s="35">
        <f t="shared" si="15"/>
        <v>641.71</v>
      </c>
      <c r="BA22" s="35">
        <f t="shared" si="16"/>
        <v>641.71</v>
      </c>
      <c r="BB22" s="35">
        <f t="shared" si="17"/>
        <v>641.71</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070" t="s">
        <v>3076</v>
      </c>
      <c r="D23" s="1810" t="s">
        <v>3061</v>
      </c>
      <c r="E23" s="35">
        <f t="shared" si="7"/>
        <v>172.12</v>
      </c>
      <c r="F23" s="36"/>
      <c r="G23" s="37">
        <f t="shared" si="8"/>
        <v>1383.41</v>
      </c>
      <c r="H23" s="38">
        <f t="shared" si="9"/>
        <v>1383.41</v>
      </c>
      <c r="I23" s="39">
        <v>1383.41</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t="str">
        <f t="shared" si="13"/>
        <v>2</v>
      </c>
      <c r="AY23" s="42">
        <f t="shared" si="14"/>
        <v>172.12</v>
      </c>
      <c r="AZ23" s="35">
        <f t="shared" si="15"/>
        <v>1383.41</v>
      </c>
      <c r="BA23" s="35">
        <f t="shared" si="16"/>
        <v>1383.41</v>
      </c>
      <c r="BB23" s="35">
        <f t="shared" si="17"/>
        <v>1383.41</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070" t="s">
        <v>3077</v>
      </c>
      <c r="D24" s="1810" t="s">
        <v>3061</v>
      </c>
      <c r="E24" s="35">
        <f t="shared" si="7"/>
        <v>416.19</v>
      </c>
      <c r="F24" s="36"/>
      <c r="G24" s="37">
        <f t="shared" si="8"/>
        <v>3345.2</v>
      </c>
      <c r="H24" s="38">
        <f t="shared" si="9"/>
        <v>3345.2</v>
      </c>
      <c r="I24" s="39">
        <v>3345.2</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t="str">
        <f t="shared" si="13"/>
        <v>1</v>
      </c>
      <c r="AY24" s="42">
        <f t="shared" si="14"/>
        <v>416.19</v>
      </c>
      <c r="AZ24" s="35">
        <f t="shared" si="15"/>
        <v>3345.2</v>
      </c>
      <c r="BA24" s="35">
        <f t="shared" si="16"/>
        <v>3345.2</v>
      </c>
      <c r="BB24" s="35">
        <f t="shared" si="17"/>
        <v>3345.2</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070" t="s">
        <v>3078</v>
      </c>
      <c r="D25" s="1810" t="s">
        <v>3061</v>
      </c>
      <c r="E25" s="35">
        <f t="shared" si="7"/>
        <v>476.11</v>
      </c>
      <c r="F25" s="36"/>
      <c r="G25" s="37">
        <f t="shared" si="8"/>
        <v>3826.8</v>
      </c>
      <c r="H25" s="38">
        <f t="shared" si="9"/>
        <v>3826.8</v>
      </c>
      <c r="I25" s="39"/>
      <c r="J25" s="39"/>
      <c r="K25" s="39"/>
      <c r="L25" s="39"/>
      <c r="M25" s="39"/>
      <c r="N25" s="39"/>
      <c r="O25" s="39">
        <v>3826.8</v>
      </c>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t="str">
        <f t="shared" si="13"/>
        <v>-1</v>
      </c>
      <c r="AY25" s="42">
        <f t="shared" si="14"/>
        <v>476.11</v>
      </c>
      <c r="AZ25" s="35">
        <f t="shared" si="15"/>
        <v>3826.8</v>
      </c>
      <c r="BA25" s="35">
        <f t="shared" si="16"/>
        <v>3826.8</v>
      </c>
      <c r="BB25" s="35">
        <f t="shared" si="17"/>
        <v>0</v>
      </c>
      <c r="BC25" s="35">
        <f t="shared" si="18"/>
        <v>0</v>
      </c>
      <c r="BD25" s="35">
        <f t="shared" si="19"/>
        <v>0</v>
      </c>
      <c r="BE25" s="35">
        <f t="shared" si="20"/>
        <v>3826.8</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070" t="s">
        <v>3079</v>
      </c>
      <c r="D26" s="1810" t="s">
        <v>3061</v>
      </c>
      <c r="E26" s="35">
        <f t="shared" si="7"/>
        <v>759.47</v>
      </c>
      <c r="F26" s="36"/>
      <c r="G26" s="37">
        <f t="shared" si="8"/>
        <v>6104.32</v>
      </c>
      <c r="H26" s="38">
        <f t="shared" si="9"/>
        <v>6104.32</v>
      </c>
      <c r="I26" s="39"/>
      <c r="J26" s="39"/>
      <c r="K26" s="39"/>
      <c r="L26" s="39"/>
      <c r="M26" s="39"/>
      <c r="N26" s="39"/>
      <c r="O26" s="39">
        <v>6104.32</v>
      </c>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t="str">
        <f t="shared" si="13"/>
        <v>-2</v>
      </c>
      <c r="AY26" s="42">
        <f t="shared" si="14"/>
        <v>759.47</v>
      </c>
      <c r="AZ26" s="35">
        <f t="shared" si="15"/>
        <v>6104.32</v>
      </c>
      <c r="BA26" s="35">
        <f t="shared" si="16"/>
        <v>6104.32</v>
      </c>
      <c r="BB26" s="35">
        <f t="shared" si="17"/>
        <v>0</v>
      </c>
      <c r="BC26" s="35">
        <f t="shared" si="18"/>
        <v>0</v>
      </c>
      <c r="BD26" s="35">
        <f t="shared" si="19"/>
        <v>0</v>
      </c>
      <c r="BE26" s="35">
        <f t="shared" si="20"/>
        <v>6104.32</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070" t="s">
        <v>3080</v>
      </c>
      <c r="D27" s="1810" t="s">
        <v>3061</v>
      </c>
      <c r="E27" s="35">
        <f t="shared" si="7"/>
        <v>454.03</v>
      </c>
      <c r="F27" s="36"/>
      <c r="G27" s="37">
        <f t="shared" si="8"/>
        <v>3649.32</v>
      </c>
      <c r="H27" s="38">
        <f t="shared" si="9"/>
        <v>3649.32</v>
      </c>
      <c r="I27" s="39">
        <v>3649.32</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t="str">
        <f t="shared" si="13"/>
        <v>7</v>
      </c>
      <c r="AY27" s="42">
        <f t="shared" si="14"/>
        <v>454.03</v>
      </c>
      <c r="AZ27" s="35">
        <f t="shared" si="15"/>
        <v>3649.32</v>
      </c>
      <c r="BA27" s="35">
        <f t="shared" si="16"/>
        <v>3649.32</v>
      </c>
      <c r="BB27" s="35">
        <f t="shared" si="17"/>
        <v>3649.32</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v>1</v>
      </c>
      <c r="D28" s="1810" t="s">
        <v>3061</v>
      </c>
      <c r="E28" s="35">
        <f t="shared" si="7"/>
        <v>47.64</v>
      </c>
      <c r="F28" s="36"/>
      <c r="G28" s="37">
        <f t="shared" si="8"/>
        <v>382.9</v>
      </c>
      <c r="H28" s="38">
        <f t="shared" si="9"/>
        <v>382.9</v>
      </c>
      <c r="I28" s="39">
        <v>382.9</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1</v>
      </c>
      <c r="AY28" s="42">
        <f t="shared" si="14"/>
        <v>47.64</v>
      </c>
      <c r="AZ28" s="35">
        <f t="shared" si="15"/>
        <v>382.9</v>
      </c>
      <c r="BA28" s="35">
        <f t="shared" si="16"/>
        <v>382.9</v>
      </c>
      <c r="BB28" s="35">
        <f t="shared" si="17"/>
        <v>382.9</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4"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576" t="s">
        <v>0</v>
      </c>
      <c r="B1" s="3576" t="s">
        <v>4</v>
      </c>
      <c r="C1" s="3576" t="s">
        <v>5</v>
      </c>
      <c r="D1" s="3577" t="s">
        <v>53</v>
      </c>
      <c r="E1" s="3577" t="s">
        <v>54</v>
      </c>
      <c r="F1" s="3577"/>
      <c r="G1" s="3577"/>
      <c r="H1" s="3577"/>
      <c r="I1" s="3577"/>
      <c r="J1" s="3577"/>
      <c r="K1" s="3577"/>
      <c r="L1" s="3577"/>
      <c r="M1" s="3577"/>
    </row>
    <row r="2" spans="1:13" ht="27" customHeight="1">
      <c r="A2" s="3576"/>
      <c r="B2" s="3576"/>
      <c r="C2" s="3576"/>
      <c r="D2" s="3577"/>
      <c r="E2" s="3577" t="s">
        <v>37</v>
      </c>
      <c r="F2" s="3577" t="s">
        <v>38</v>
      </c>
      <c r="G2" s="3577"/>
      <c r="H2" s="3577"/>
      <c r="I2" s="3577"/>
      <c r="J2" s="3577" t="s">
        <v>39</v>
      </c>
      <c r="K2" s="3577"/>
      <c r="L2" s="3577"/>
      <c r="M2" s="3577"/>
    </row>
    <row r="3" spans="1:13" ht="28.5">
      <c r="A3" s="3576"/>
      <c r="B3" s="3576"/>
      <c r="C3" s="3576"/>
      <c r="D3" s="3577"/>
      <c r="E3" s="357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577" t="s">
        <v>55</v>
      </c>
      <c r="B9" s="3577"/>
      <c r="C9" s="357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G26" sqref="G26"/>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4"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1816</v>
      </c>
      <c r="B1" s="1301"/>
      <c r="C1" s="1301"/>
      <c r="D1" s="1301"/>
      <c r="E1" s="1301"/>
      <c r="F1" s="1301"/>
      <c r="G1" s="1301"/>
      <c r="H1" s="1301"/>
      <c r="I1" s="1301"/>
      <c r="J1" s="1301"/>
      <c r="K1" s="1301"/>
      <c r="L1" s="1301"/>
      <c r="M1" s="1301"/>
      <c r="N1" s="1301"/>
      <c r="O1" s="1301"/>
      <c r="P1" s="1301"/>
    </row>
    <row r="2" spans="1:16" ht="15">
      <c r="A2" s="3587" t="s">
        <v>1817</v>
      </c>
      <c r="B2" s="3587"/>
      <c r="C2" s="3587"/>
      <c r="D2" s="904" t="s">
        <v>1793</v>
      </c>
      <c r="E2" s="1824" t="s">
        <v>1794</v>
      </c>
      <c r="F2" s="2884"/>
      <c r="G2" s="2875"/>
      <c r="H2" s="2876"/>
      <c r="I2" s="2548" t="s">
        <v>1818</v>
      </c>
      <c r="J2" s="2884"/>
      <c r="K2" s="2884"/>
      <c r="L2" s="2884"/>
      <c r="M2" s="2884"/>
      <c r="N2" s="2886"/>
      <c r="O2" s="2884"/>
      <c r="P2" s="2884"/>
    </row>
    <row r="3" spans="1:16" ht="15.75" thickBot="1">
      <c r="A3" s="3588" t="s">
        <v>1791</v>
      </c>
      <c r="B3" s="3588"/>
      <c r="C3" s="3588"/>
      <c r="D3" s="46">
        <f>'数据-基础表'!AY6</f>
        <v>5933.24</v>
      </c>
      <c r="E3" s="46">
        <f>'数据-基础表'!AZ5</f>
        <v>47689.05</v>
      </c>
      <c r="F3" s="2884"/>
      <c r="G3" s="1307"/>
      <c r="H3" s="1157" t="s">
        <v>1792</v>
      </c>
      <c r="I3" s="964">
        <f>ROUND('数据-基础表'!B3/'数据-基础表'!A3,2)</f>
        <v>8.0399999999999991</v>
      </c>
      <c r="J3" s="2884"/>
      <c r="K3" s="2884"/>
      <c r="L3" s="2884"/>
      <c r="M3" s="2884"/>
      <c r="N3" s="2886"/>
      <c r="O3" s="2884"/>
      <c r="P3" s="2884"/>
    </row>
    <row r="4" spans="1:16" ht="15">
      <c r="A4" s="3589"/>
      <c r="B4" s="3590"/>
      <c r="C4" s="3591"/>
      <c r="D4" s="1826" t="s">
        <v>1793</v>
      </c>
      <c r="E4" s="1827" t="s">
        <v>1794</v>
      </c>
      <c r="F4" s="2884"/>
      <c r="G4" s="2877" t="s">
        <v>1819</v>
      </c>
      <c r="H4" s="1157" t="s">
        <v>1799</v>
      </c>
      <c r="I4" s="964">
        <f>ROUND(SUMIF('数据-基础表'!I9:AS9,"地上",'数据-基础表'!I5:AS5)/'数据-基础表'!A3,2)</f>
        <v>5.45</v>
      </c>
      <c r="J4" s="2884"/>
      <c r="K4" s="2884"/>
      <c r="L4" s="2884"/>
      <c r="M4" s="2884"/>
      <c r="N4" s="2886"/>
      <c r="O4" s="2884"/>
      <c r="P4" s="2884"/>
    </row>
    <row r="5" spans="1:16">
      <c r="A5" s="47" t="s">
        <v>1795</v>
      </c>
      <c r="B5" s="3592" t="s">
        <v>1796</v>
      </c>
      <c r="C5" s="3592"/>
      <c r="D5" s="48">
        <f>ROUND($D$3*E5/$E$3,2)</f>
        <v>0</v>
      </c>
      <c r="E5" s="49">
        <f>SUMIF('数据-基础表'!$11:$11,"住宅",'数据-基础表'!$5:$5)</f>
        <v>0</v>
      </c>
      <c r="F5" s="2884"/>
      <c r="G5" s="1307"/>
      <c r="H5" s="1157" t="s">
        <v>1792</v>
      </c>
      <c r="I5" s="964">
        <f>ROUND(E31/D31,2)</f>
        <v>8.0399999999999991</v>
      </c>
      <c r="J5" s="2884"/>
      <c r="K5" s="2884"/>
      <c r="L5" s="2884"/>
      <c r="M5" s="2884"/>
      <c r="N5" s="2884"/>
      <c r="O5" s="2884"/>
      <c r="P5" s="2884"/>
    </row>
    <row r="6" spans="1:16" ht="15" thickBot="1">
      <c r="A6" s="1829"/>
      <c r="B6" s="3592" t="s">
        <v>1797</v>
      </c>
      <c r="C6" s="3592"/>
      <c r="D6" s="48">
        <f>ROUND($D$3*E6/$E$3,2)</f>
        <v>5933.24</v>
      </c>
      <c r="E6" s="49">
        <f>E3-E5</f>
        <v>47689.05</v>
      </c>
      <c r="F6" s="2884"/>
      <c r="G6" s="2878" t="s">
        <v>1798</v>
      </c>
      <c r="H6" s="1308" t="s">
        <v>1799</v>
      </c>
      <c r="I6" s="2879">
        <f>ROUND(F31/D31,2)</f>
        <v>5.45</v>
      </c>
      <c r="J6" s="2884"/>
      <c r="K6" s="2884"/>
      <c r="L6" s="2884"/>
      <c r="M6" s="2884"/>
      <c r="N6" s="2884"/>
      <c r="O6" s="2884"/>
      <c r="P6" s="2884"/>
    </row>
    <row r="7" spans="1:16" ht="15.75" thickBot="1">
      <c r="A7" s="3584"/>
      <c r="B7" s="3585"/>
      <c r="C7" s="3586"/>
      <c r="D7" s="1826" t="s">
        <v>1793</v>
      </c>
      <c r="E7" s="1830" t="s">
        <v>1800</v>
      </c>
      <c r="F7" s="2884"/>
      <c r="G7" s="2880" t="s">
        <v>1801</v>
      </c>
      <c r="H7" s="2881"/>
      <c r="I7" s="2882"/>
      <c r="J7" s="2884"/>
      <c r="K7" s="2884"/>
      <c r="L7" s="2884"/>
      <c r="M7" s="2884"/>
      <c r="N7" s="2884"/>
      <c r="O7" s="2884"/>
      <c r="P7" s="2884"/>
    </row>
    <row r="8" spans="1:16">
      <c r="A8" s="47" t="s">
        <v>1802</v>
      </c>
      <c r="B8" s="50" t="s">
        <v>1803</v>
      </c>
      <c r="C8" s="48" t="s">
        <v>1804</v>
      </c>
      <c r="D8" s="48">
        <f t="shared" ref="D8:D15" si="0">ROUND($D$3*E8/$E$3,2)</f>
        <v>4020.24</v>
      </c>
      <c r="E8" s="51">
        <f>SUMIF('数据-基础表'!BB10:BK10,"地上",'数据-基础表'!BB5:BK5)</f>
        <v>32313.11</v>
      </c>
      <c r="F8" s="2884"/>
      <c r="G8" s="2885"/>
      <c r="H8" s="2885"/>
      <c r="I8" s="2884"/>
      <c r="J8" s="2884"/>
      <c r="K8" s="2884"/>
      <c r="L8" s="2884"/>
      <c r="M8" s="2884"/>
      <c r="N8" s="2884"/>
      <c r="O8" s="2884"/>
      <c r="P8" s="2884"/>
    </row>
    <row r="9" spans="1:16">
      <c r="A9" s="1831"/>
      <c r="B9" s="1832"/>
      <c r="C9" s="48" t="s">
        <v>1805</v>
      </c>
      <c r="D9" s="48">
        <f t="shared" si="0"/>
        <v>0</v>
      </c>
      <c r="E9" s="52">
        <v>0</v>
      </c>
      <c r="F9" s="2884"/>
      <c r="G9" s="2885"/>
      <c r="H9" s="2885"/>
      <c r="I9" s="2884"/>
      <c r="J9" s="2884"/>
      <c r="K9" s="2884"/>
      <c r="L9" s="2884"/>
      <c r="M9" s="2884"/>
      <c r="N9" s="2884"/>
      <c r="O9" s="2884"/>
      <c r="P9" s="2884"/>
    </row>
    <row r="10" spans="1:16">
      <c r="A10" s="1831"/>
      <c r="B10" s="1832"/>
      <c r="C10" s="48" t="s">
        <v>1814</v>
      </c>
      <c r="D10" s="48">
        <f t="shared" si="0"/>
        <v>0</v>
      </c>
      <c r="E10" s="51">
        <f>SUMPRODUCT(('数据-基础表'!BB10:BK10="地下")*('数据-基础表'!BB11:BK11="商业")*('数据-基础表'!BB5:BK5))</f>
        <v>0</v>
      </c>
      <c r="F10" s="2884"/>
      <c r="G10" s="2885"/>
      <c r="H10" s="2885"/>
      <c r="I10" s="2884"/>
      <c r="J10" s="2884"/>
      <c r="K10" s="2884"/>
      <c r="L10" s="2884"/>
      <c r="M10" s="2884"/>
      <c r="N10" s="2884"/>
      <c r="O10" s="2884"/>
      <c r="P10" s="2884"/>
    </row>
    <row r="11" spans="1:16">
      <c r="A11" s="1831"/>
      <c r="B11" s="1832"/>
      <c r="C11" s="48" t="s">
        <v>1806</v>
      </c>
      <c r="D11" s="48">
        <f t="shared" si="0"/>
        <v>1235.58</v>
      </c>
      <c r="E11" s="51">
        <f>SUMPRODUCT(('数据-基础表'!BB10:BK10="地下")*('数据-基础表'!BB11:BK11="办公")*('数据-基础表'!BB5:BK5))+'数据-基础表'!BP5</f>
        <v>9931.119999999999</v>
      </c>
      <c r="F11" s="2884"/>
      <c r="G11" s="2885"/>
      <c r="H11" s="2885"/>
      <c r="I11" s="2884"/>
      <c r="J11" s="2884"/>
      <c r="K11" s="2884"/>
      <c r="L11" s="2884"/>
      <c r="M11" s="2884"/>
      <c r="N11" s="2884"/>
      <c r="O11" s="2884"/>
      <c r="P11" s="2884"/>
    </row>
    <row r="12" spans="1:16">
      <c r="A12" s="1831"/>
      <c r="B12" s="1832"/>
      <c r="C12" s="48" t="s">
        <v>1807</v>
      </c>
      <c r="D12" s="48">
        <f t="shared" si="0"/>
        <v>0</v>
      </c>
      <c r="E12" s="51">
        <f>SUMPRODUCT(('数据-基础表'!BB10:BK10="地下")*('数据-基础表'!BB11:BK11="仓储")*('数据-基础表'!BB5:BK5))</f>
        <v>0</v>
      </c>
      <c r="F12" s="2884"/>
      <c r="G12" s="2885"/>
      <c r="H12" s="2885"/>
      <c r="I12" s="2884"/>
      <c r="J12" s="2884"/>
      <c r="K12" s="2884"/>
      <c r="L12" s="2884"/>
      <c r="M12" s="2884"/>
      <c r="N12" s="2884"/>
      <c r="O12" s="2884"/>
      <c r="P12" s="2884"/>
    </row>
    <row r="13" spans="1:16">
      <c r="A13" s="1831"/>
      <c r="B13" s="1832"/>
      <c r="C13" s="48" t="s">
        <v>1808</v>
      </c>
      <c r="D13" s="48">
        <f t="shared" si="0"/>
        <v>677.42</v>
      </c>
      <c r="E13" s="51">
        <f>SUMPRODUCT(('数据-基础表'!BB10:BK10="地下")*('数据-基础表'!BB11:BK11="车库")*('数据-基础表'!BB5:BK5))</f>
        <v>5444.8200000000006</v>
      </c>
      <c r="F13" s="2884"/>
      <c r="G13" s="2885"/>
      <c r="H13" s="2885"/>
      <c r="I13" s="2884"/>
      <c r="J13" s="2884"/>
      <c r="K13" s="2884"/>
      <c r="L13" s="2884"/>
      <c r="M13" s="2884"/>
      <c r="N13" s="2884"/>
      <c r="O13" s="2884"/>
      <c r="P13" s="2884"/>
    </row>
    <row r="14" spans="1:16">
      <c r="A14" s="1831"/>
      <c r="B14" s="1832"/>
      <c r="C14" s="48" t="s">
        <v>1820</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31"/>
      <c r="B15" s="1832"/>
      <c r="C15" s="48" t="s">
        <v>1815</v>
      </c>
      <c r="D15" s="48">
        <f t="shared" si="0"/>
        <v>0</v>
      </c>
      <c r="E15" s="51">
        <f>SUMPRODUCT(('数据-基础表'!BB10:BK10="地下")*('数据-基础表'!BB11:BK11="车库—办公")*('数据-基础表'!BB5:BK5))</f>
        <v>0</v>
      </c>
      <c r="F15" s="2884"/>
      <c r="G15" s="2885"/>
      <c r="H15" s="2885"/>
      <c r="I15" s="2884"/>
      <c r="J15" s="2884"/>
      <c r="K15" s="2884"/>
      <c r="L15" s="2884"/>
      <c r="M15" s="2884"/>
      <c r="N15" s="2884"/>
      <c r="O15" s="2884"/>
      <c r="P15" s="2884"/>
    </row>
    <row r="16" spans="1:16" ht="15.75" thickBot="1">
      <c r="A16" s="1829"/>
      <c r="B16" s="1832"/>
      <c r="C16" s="50" t="s">
        <v>1809</v>
      </c>
      <c r="D16" s="50">
        <f>SUM(D8:D15)</f>
        <v>5933.24</v>
      </c>
      <c r="E16" s="53">
        <f>SUM(E8:E15)</f>
        <v>47689.049999999996</v>
      </c>
      <c r="F16" s="2884"/>
      <c r="G16" s="2885"/>
      <c r="H16" s="1833" t="s">
        <v>1821</v>
      </c>
      <c r="I16" s="1834"/>
      <c r="J16" s="1301"/>
      <c r="K16" s="3581" t="s">
        <v>1821</v>
      </c>
      <c r="L16" s="3582"/>
      <c r="M16" s="3582"/>
      <c r="N16" s="3582"/>
      <c r="O16" s="3582"/>
      <c r="P16" s="3583"/>
    </row>
    <row r="17" spans="1:19" ht="15">
      <c r="A17" s="1835" t="s">
        <v>1822</v>
      </c>
      <c r="B17" s="1836" t="s">
        <v>1823</v>
      </c>
      <c r="C17" s="1837" t="s">
        <v>1824</v>
      </c>
      <c r="D17" s="1838" t="s">
        <v>1812</v>
      </c>
      <c r="E17" s="1839" t="s">
        <v>1813</v>
      </c>
      <c r="F17" s="1840"/>
      <c r="G17" s="1841"/>
      <c r="H17" s="1842" t="s">
        <v>1825</v>
      </c>
      <c r="I17" s="1843" t="s">
        <v>1810</v>
      </c>
      <c r="J17" s="1301"/>
      <c r="K17" s="3578" t="s">
        <v>1826</v>
      </c>
      <c r="L17" s="3579"/>
      <c r="M17" s="3580"/>
      <c r="N17" s="3578" t="s">
        <v>1827</v>
      </c>
      <c r="O17" s="3579"/>
      <c r="P17" s="3580"/>
      <c r="R17" s="1825" t="s">
        <v>1828</v>
      </c>
      <c r="S17" s="60"/>
    </row>
    <row r="18" spans="1:19" ht="15">
      <c r="A18" s="1831"/>
      <c r="B18" s="1844"/>
      <c r="C18" s="1845"/>
      <c r="D18" s="1846"/>
      <c r="E18" s="1847" t="s">
        <v>1829</v>
      </c>
      <c r="F18" s="1848" t="s">
        <v>1830</v>
      </c>
      <c r="G18" s="1849" t="s">
        <v>1831</v>
      </c>
      <c r="H18" s="1172" t="s">
        <v>1832</v>
      </c>
      <c r="I18" s="1850" t="s">
        <v>1833</v>
      </c>
      <c r="J18" s="1301"/>
      <c r="K18" s="1172" t="s">
        <v>1834</v>
      </c>
      <c r="L18" s="1851" t="s">
        <v>1835</v>
      </c>
      <c r="M18" s="964" t="s">
        <v>1836</v>
      </c>
      <c r="N18" s="1172" t="s">
        <v>1834</v>
      </c>
      <c r="O18" s="1851" t="s">
        <v>1835</v>
      </c>
      <c r="P18" s="964" t="s">
        <v>1836</v>
      </c>
      <c r="R18" s="1157" t="s">
        <v>1837</v>
      </c>
      <c r="S18" s="1157" t="s">
        <v>1838</v>
      </c>
    </row>
    <row r="19" spans="1:19">
      <c r="A19" s="1852"/>
      <c r="B19" s="50" t="s">
        <v>1811</v>
      </c>
      <c r="C19" s="3071" t="s">
        <v>3083</v>
      </c>
      <c r="D19" s="48">
        <f>ROUND($D$3*E19/$E$3,2)</f>
        <v>2449.4</v>
      </c>
      <c r="E19" s="56">
        <f t="shared" ref="E19:E26" si="1">SUM(F19:G19)</f>
        <v>19687.320000000003</v>
      </c>
      <c r="F19" s="3024">
        <f>'数据-基础表'!I5</f>
        <v>19687.320000000003</v>
      </c>
      <c r="G19" s="3025"/>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4"/>
      <c r="O19" s="1855"/>
      <c r="P19" s="1312">
        <f>N19+O19</f>
        <v>0</v>
      </c>
      <c r="R19" s="1157">
        <f t="shared" ref="R19:S26" si="5">D19+H19</f>
        <v>2449.4</v>
      </c>
      <c r="S19" s="1158">
        <f t="shared" si="5"/>
        <v>19687.320000000003</v>
      </c>
    </row>
    <row r="20" spans="1:19">
      <c r="A20" s="1856"/>
      <c r="B20" s="50" t="s">
        <v>1839</v>
      </c>
      <c r="C20" s="1853" t="s">
        <v>3084</v>
      </c>
      <c r="D20" s="48">
        <f t="shared" ref="D20:D26" si="6">ROUND($D$3*E20/$E$3,2)</f>
        <v>13.82</v>
      </c>
      <c r="E20" s="56">
        <f t="shared" si="1"/>
        <v>111.06</v>
      </c>
      <c r="F20" s="3024">
        <f>'数据-基础表'!M19</f>
        <v>111.06</v>
      </c>
      <c r="G20" s="3025"/>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13.82</v>
      </c>
      <c r="S20" s="1158">
        <f t="shared" si="5"/>
        <v>111.06</v>
      </c>
    </row>
    <row r="21" spans="1:19">
      <c r="A21" s="1856"/>
      <c r="B21" s="50" t="s">
        <v>1839</v>
      </c>
      <c r="C21" s="1853" t="s">
        <v>3085</v>
      </c>
      <c r="D21" s="48">
        <f t="shared" si="6"/>
        <v>261.49</v>
      </c>
      <c r="E21" s="56">
        <f t="shared" si="1"/>
        <v>2101.7399999999998</v>
      </c>
      <c r="F21" s="3024">
        <f>'数据-基础表'!M15</f>
        <v>2101.7399999999998</v>
      </c>
      <c r="G21" s="3025"/>
      <c r="H21" s="679">
        <f t="shared" si="7"/>
        <v>0</v>
      </c>
      <c r="I21" s="51">
        <f t="shared" si="2"/>
        <v>0</v>
      </c>
      <c r="J21" s="1301"/>
      <c r="K21" s="1300">
        <f t="shared" si="3"/>
        <v>0</v>
      </c>
      <c r="L21" s="1157">
        <f t="shared" si="4"/>
        <v>0</v>
      </c>
      <c r="M21" s="1312">
        <f t="shared" si="8"/>
        <v>0</v>
      </c>
      <c r="N21" s="1854"/>
      <c r="O21" s="1855"/>
      <c r="P21" s="1312">
        <f t="shared" si="9"/>
        <v>0</v>
      </c>
      <c r="R21" s="1157">
        <f t="shared" si="5"/>
        <v>261.49</v>
      </c>
      <c r="S21" s="1158">
        <f t="shared" si="5"/>
        <v>2101.7399999999998</v>
      </c>
    </row>
    <row r="22" spans="1:19">
      <c r="A22" s="1856"/>
      <c r="B22" s="50" t="s">
        <v>1839</v>
      </c>
      <c r="C22" s="58" t="s">
        <v>3086</v>
      </c>
      <c r="D22" s="48">
        <f t="shared" si="6"/>
        <v>916.91</v>
      </c>
      <c r="E22" s="56">
        <f t="shared" si="1"/>
        <v>7369.8</v>
      </c>
      <c r="F22" s="3026">
        <f>'数据-基础表'!M18</f>
        <v>7369.8</v>
      </c>
      <c r="G22" s="3027"/>
      <c r="H22" s="679">
        <f t="shared" si="7"/>
        <v>0</v>
      </c>
      <c r="I22" s="51">
        <f t="shared" si="2"/>
        <v>0</v>
      </c>
      <c r="J22" s="1301"/>
      <c r="K22" s="1300">
        <f t="shared" si="3"/>
        <v>0</v>
      </c>
      <c r="L22" s="1157">
        <f t="shared" si="4"/>
        <v>0</v>
      </c>
      <c r="M22" s="1312">
        <f t="shared" si="8"/>
        <v>0</v>
      </c>
      <c r="N22" s="1854"/>
      <c r="O22" s="1855"/>
      <c r="P22" s="1312">
        <f t="shared" si="9"/>
        <v>0</v>
      </c>
      <c r="R22" s="1157">
        <f t="shared" si="5"/>
        <v>916.91</v>
      </c>
      <c r="S22" s="1158">
        <f t="shared" si="5"/>
        <v>7369.8</v>
      </c>
    </row>
    <row r="23" spans="1:19">
      <c r="A23" s="1856"/>
      <c r="B23" s="50" t="s">
        <v>1839</v>
      </c>
      <c r="C23" s="58" t="s">
        <v>3087</v>
      </c>
      <c r="D23" s="48">
        <f>ROUND($D$3*E23/$E$3,2)</f>
        <v>378.62</v>
      </c>
      <c r="E23" s="56">
        <f>SUM(F23:G23)</f>
        <v>3043.19</v>
      </c>
      <c r="F23" s="3026">
        <f>'数据-基础表'!M13</f>
        <v>3043.19</v>
      </c>
      <c r="G23" s="3027"/>
      <c r="H23" s="679">
        <f>ROUND($D$3*I23/$E$3,2)</f>
        <v>0</v>
      </c>
      <c r="I23" s="51">
        <f t="shared" si="2"/>
        <v>0</v>
      </c>
      <c r="J23" s="1301"/>
      <c r="K23" s="1300">
        <f t="shared" si="3"/>
        <v>0</v>
      </c>
      <c r="L23" s="1157">
        <f t="shared" si="4"/>
        <v>0</v>
      </c>
      <c r="M23" s="1312">
        <f t="shared" si="8"/>
        <v>0</v>
      </c>
      <c r="N23" s="1854"/>
      <c r="O23" s="1855"/>
      <c r="P23" s="1312">
        <f t="shared" si="9"/>
        <v>0</v>
      </c>
      <c r="R23" s="1157">
        <f t="shared" si="5"/>
        <v>378.62</v>
      </c>
      <c r="S23" s="1158">
        <f t="shared" si="5"/>
        <v>3043.19</v>
      </c>
    </row>
    <row r="24" spans="1:19">
      <c r="A24" s="1856"/>
      <c r="B24" s="50" t="s">
        <v>1839</v>
      </c>
      <c r="C24" s="3072" t="s">
        <v>3088</v>
      </c>
      <c r="D24" s="48">
        <f>ROUND($D$3*E24/$E$3,2)</f>
        <v>677.42</v>
      </c>
      <c r="E24" s="56">
        <f>SUM(F24:G24)</f>
        <v>5444.8200000000006</v>
      </c>
      <c r="F24" s="3026"/>
      <c r="G24" s="3027">
        <f>'数据-基础表'!K5</f>
        <v>5444.8200000000006</v>
      </c>
      <c r="H24" s="679">
        <f>ROUND($D$3*I24/$E$3,2)</f>
        <v>0</v>
      </c>
      <c r="I24" s="51">
        <f t="shared" si="2"/>
        <v>0</v>
      </c>
      <c r="J24" s="1301"/>
      <c r="K24" s="1300">
        <f t="shared" si="3"/>
        <v>0</v>
      </c>
      <c r="L24" s="1157">
        <f t="shared" si="4"/>
        <v>0</v>
      </c>
      <c r="M24" s="1312">
        <f t="shared" si="8"/>
        <v>0</v>
      </c>
      <c r="N24" s="1854"/>
      <c r="O24" s="1855"/>
      <c r="P24" s="1312">
        <f t="shared" si="9"/>
        <v>0</v>
      </c>
      <c r="R24" s="1157">
        <f t="shared" si="5"/>
        <v>677.42</v>
      </c>
      <c r="S24" s="1158">
        <f t="shared" si="5"/>
        <v>5444.8200000000006</v>
      </c>
    </row>
    <row r="25" spans="1:19">
      <c r="A25" s="1856"/>
      <c r="B25" s="50" t="s">
        <v>1839</v>
      </c>
      <c r="C25" s="3072" t="s">
        <v>3089</v>
      </c>
      <c r="D25" s="48">
        <f t="shared" si="6"/>
        <v>1235.58</v>
      </c>
      <c r="E25" s="56">
        <f t="shared" si="1"/>
        <v>9931.119999999999</v>
      </c>
      <c r="F25" s="3026"/>
      <c r="G25" s="3027">
        <f>'数据-基础表'!O5</f>
        <v>9931.119999999999</v>
      </c>
      <c r="H25" s="47">
        <f t="shared" si="7"/>
        <v>0</v>
      </c>
      <c r="I25" s="51">
        <f t="shared" si="2"/>
        <v>0</v>
      </c>
      <c r="J25" s="1301"/>
      <c r="K25" s="1300">
        <f t="shared" si="3"/>
        <v>0</v>
      </c>
      <c r="L25" s="1157">
        <f t="shared" si="4"/>
        <v>0</v>
      </c>
      <c r="M25" s="1312">
        <f t="shared" si="8"/>
        <v>0</v>
      </c>
      <c r="N25" s="1854"/>
      <c r="O25" s="1855"/>
      <c r="P25" s="1312">
        <f t="shared" si="9"/>
        <v>0</v>
      </c>
      <c r="R25" s="1157">
        <f t="shared" si="5"/>
        <v>1235.58</v>
      </c>
      <c r="S25" s="1158">
        <f t="shared" si="5"/>
        <v>9931.119999999999</v>
      </c>
    </row>
    <row r="26" spans="1:19">
      <c r="A26" s="1856"/>
      <c r="B26" s="50" t="s">
        <v>1839</v>
      </c>
      <c r="C26" s="59"/>
      <c r="D26" s="48">
        <f t="shared" si="6"/>
        <v>0</v>
      </c>
      <c r="E26" s="56">
        <f t="shared" si="1"/>
        <v>0</v>
      </c>
      <c r="F26" s="3026"/>
      <c r="G26" s="3027"/>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1840</v>
      </c>
      <c r="D27" s="1302">
        <f>SUM(D19:D26)</f>
        <v>5933.24</v>
      </c>
      <c r="E27" s="1303">
        <f>IF(SUM(E19:E26)='数据-基础表'!BA5,SUM(E19:E26),IF(F27="地上面积有误","面积有误","地下面积有误"))</f>
        <v>47689.05</v>
      </c>
      <c r="F27" s="1302">
        <f>IF(SUM(F19:F26)=E8,SUM(F19:F26),"地上面积有误")</f>
        <v>32313.11</v>
      </c>
      <c r="G27" s="1304">
        <f>SUM(G19:G26)</f>
        <v>15375.939999999999</v>
      </c>
      <c r="H27" s="1305">
        <f>SUM(H19:H26)</f>
        <v>0</v>
      </c>
      <c r="I27" s="1306">
        <f>SUM(I19:I26)</f>
        <v>0</v>
      </c>
      <c r="J27" s="1301"/>
      <c r="K27" s="1309">
        <f t="shared" ref="K27:P27" si="10">SUM(K19:K26)</f>
        <v>0</v>
      </c>
      <c r="L27" s="1310">
        <f t="shared" si="10"/>
        <v>0</v>
      </c>
      <c r="M27" s="1313">
        <f t="shared" si="10"/>
        <v>0</v>
      </c>
      <c r="N27" s="1309">
        <f t="shared" si="10"/>
        <v>0</v>
      </c>
      <c r="O27" s="1310">
        <f t="shared" si="10"/>
        <v>0</v>
      </c>
      <c r="P27" s="1311">
        <f t="shared" si="10"/>
        <v>0</v>
      </c>
      <c r="R27" s="1159">
        <f>IF(SUM(R19:R26)=$D$3,SUM(R19:R26),SUM(R19:R26)&amp;"误差"&amp;ROUND(SUM(R19:R26)-$D$3,2))</f>
        <v>5933.24</v>
      </c>
      <c r="S27" s="1157">
        <f>IF(SUM(S19:S26)=$E$3,SUM(S19:S26),SUM(S19:S26)&amp;"误差"&amp;ROUND(SUM(S19:S26)-E3,2))</f>
        <v>47689.05</v>
      </c>
    </row>
    <row r="28" spans="1:19">
      <c r="A28" s="1856"/>
      <c r="B28" s="50" t="s">
        <v>1841</v>
      </c>
      <c r="C28" s="1169" t="s">
        <v>1842</v>
      </c>
      <c r="D28" s="48">
        <f>ROUND($D$3*E28/$E$3,2)</f>
        <v>0</v>
      </c>
      <c r="E28" s="56">
        <f>SUM(F28:G28)</f>
        <v>0</v>
      </c>
      <c r="F28" s="60">
        <f>'数据-基础表'!BQ5+'数据-基础表'!BS5</f>
        <v>0</v>
      </c>
      <c r="G28" s="61">
        <f>'数据-基础表'!BR5+'数据-基础表'!BT5</f>
        <v>0</v>
      </c>
      <c r="H28" s="2884"/>
      <c r="I28" s="2884"/>
      <c r="J28" s="2884"/>
      <c r="K28" s="2884"/>
      <c r="L28" s="2884"/>
      <c r="M28" s="2884"/>
      <c r="N28" s="2884"/>
      <c r="O28" s="2884"/>
      <c r="P28" s="2884"/>
    </row>
    <row r="29" spans="1:19">
      <c r="A29" s="1856"/>
      <c r="B29" s="50" t="s">
        <v>1841</v>
      </c>
      <c r="C29" s="1860" t="s">
        <v>1843</v>
      </c>
      <c r="D29" s="48">
        <f>ROUND($D$3*E29/$E$3,2)</f>
        <v>0</v>
      </c>
      <c r="E29" s="56">
        <f>SUM(F29:G29)</f>
        <v>0</v>
      </c>
      <c r="F29" s="62">
        <f>'数据-基础表'!BM5+'数据-基础表'!BO5</f>
        <v>0</v>
      </c>
      <c r="G29" s="63">
        <f>'数据-基础表'!BN5+'数据-基础表'!BP5</f>
        <v>0</v>
      </c>
      <c r="H29" s="2884"/>
      <c r="I29" s="2884"/>
      <c r="J29" s="2884"/>
      <c r="K29" s="2884"/>
      <c r="L29" s="2884"/>
      <c r="M29" s="2884"/>
      <c r="N29" s="2884"/>
      <c r="O29" s="2884"/>
      <c r="P29" s="2884"/>
    </row>
    <row r="30" spans="1:19" ht="15">
      <c r="A30" s="1856"/>
      <c r="B30" s="50"/>
      <c r="C30" s="1861" t="s">
        <v>1840</v>
      </c>
      <c r="D30" s="1302">
        <f>SUM(D28:D29)</f>
        <v>0</v>
      </c>
      <c r="E30" s="1302">
        <f>SUM(E28:E29)</f>
        <v>0</v>
      </c>
      <c r="F30" s="1302">
        <f>SUM(F28:F29)</f>
        <v>0</v>
      </c>
      <c r="G30" s="1304">
        <f>SUM(G28:G29)</f>
        <v>0</v>
      </c>
      <c r="H30" s="2884"/>
      <c r="I30" s="2884"/>
      <c r="J30" s="2884"/>
      <c r="K30" s="2884"/>
      <c r="L30" s="2884"/>
      <c r="M30" s="2884"/>
      <c r="N30" s="2884"/>
      <c r="O30" s="2884"/>
      <c r="P30" s="2884"/>
    </row>
    <row r="31" spans="1:19" ht="15.75" thickBot="1">
      <c r="A31" s="1862"/>
      <c r="B31" s="1863"/>
      <c r="C31" s="944" t="s">
        <v>1844</v>
      </c>
      <c r="D31" s="685">
        <f>D27+D30</f>
        <v>5933.24</v>
      </c>
      <c r="E31" s="685">
        <f>E27+E30</f>
        <v>47689.05</v>
      </c>
      <c r="F31" s="686">
        <f>F27+F30</f>
        <v>32313.11</v>
      </c>
      <c r="G31" s="687">
        <f>G27+G30</f>
        <v>15375.939999999999</v>
      </c>
      <c r="H31" s="2884"/>
      <c r="I31" s="2884"/>
      <c r="J31" s="2884"/>
      <c r="K31" s="2884"/>
      <c r="L31" s="2884"/>
      <c r="M31" s="2884"/>
      <c r="N31" s="2884"/>
      <c r="O31" s="2884"/>
      <c r="P31" s="2884"/>
    </row>
    <row r="32" spans="1:19">
      <c r="A32" s="1828"/>
      <c r="B32" s="1828" t="s">
        <v>1845</v>
      </c>
      <c r="C32" s="1828"/>
      <c r="D32" s="1828"/>
      <c r="E32" s="1184">
        <f>SUMIF(C19:C26,"*住宅*",E19:E26)</f>
        <v>0</v>
      </c>
      <c r="F32" s="1828"/>
      <c r="G32" s="1828"/>
      <c r="H32" s="2884"/>
      <c r="I32" s="2884"/>
      <c r="J32" s="2884"/>
      <c r="K32" s="2884"/>
      <c r="L32" s="2884"/>
      <c r="M32" s="2884"/>
      <c r="N32" s="2884"/>
      <c r="O32" s="2884"/>
      <c r="P32" s="2884"/>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43" priority="1" stopIfTrue="1" operator="containsText" text="面积有误">
      <formula>NOT(ISERROR(SEARCH("面积有误",E27)))</formula>
    </cfRule>
    <cfRule type="cellIs" dxfId="242" priority="3" stopIfTrue="1" operator="equal">
      <formula>"地下面积有误"</formula>
    </cfRule>
  </conditionalFormatting>
  <conditionalFormatting sqref="F27">
    <cfRule type="cellIs" dxfId="241"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G6" activePane="bottomRight" state="frozen"/>
      <selection activeCell="C50" sqref="C50"/>
      <selection pane="topRight" activeCell="C50" sqref="C50"/>
      <selection pane="bottomLeft" activeCell="C50" sqref="C50"/>
      <selection pane="bottomRight" activeCell="L21" sqref="L21"/>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1846</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98"/>
      <c r="AO1" s="2898"/>
      <c r="AP1" s="2898"/>
      <c r="AQ1" s="2898"/>
      <c r="AR1" s="2898"/>
    </row>
    <row r="2" spans="1:67" s="1744" customFormat="1" ht="15.75" thickBot="1">
      <c r="A2" s="1869" t="s">
        <v>1847</v>
      </c>
      <c r="B2" s="1176">
        <f>项目基本情况!D3</f>
        <v>42914</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0"/>
      <c r="AO2" s="2900"/>
      <c r="AP2" s="2900"/>
      <c r="AQ2" s="2900"/>
      <c r="AR2" s="2900"/>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0"/>
      <c r="AO3" s="2900"/>
      <c r="AP3" s="2900"/>
      <c r="AQ3" s="2900"/>
      <c r="AR3" s="2900"/>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1848</v>
      </c>
      <c r="B4" s="1874"/>
      <c r="C4" s="1875"/>
      <c r="D4" s="1876"/>
      <c r="E4" s="1875" t="s">
        <v>1849</v>
      </c>
      <c r="F4" s="1875"/>
      <c r="G4" s="1875"/>
      <c r="H4" s="1875"/>
      <c r="I4" s="1875"/>
      <c r="J4" s="1877"/>
      <c r="K4" s="1878"/>
      <c r="L4" s="1879"/>
      <c r="M4" s="1875"/>
      <c r="N4" s="1875" t="s">
        <v>1850</v>
      </c>
      <c r="O4" s="1875"/>
      <c r="P4" s="1875"/>
      <c r="Q4" s="1875"/>
      <c r="R4" s="1875"/>
      <c r="S4" s="1877"/>
      <c r="T4" s="2883" t="str">
        <f>'数据-汇总表'!I17</f>
        <v>按面积比例</v>
      </c>
      <c r="U4" s="1874" t="s">
        <v>1851</v>
      </c>
      <c r="V4" s="1875"/>
      <c r="W4" s="1875"/>
      <c r="X4" s="1875"/>
      <c r="Y4" s="1877"/>
      <c r="Z4" s="1837" t="s">
        <v>1852</v>
      </c>
      <c r="AA4" s="1837"/>
      <c r="AB4" s="1837"/>
      <c r="AC4" s="1837"/>
      <c r="AD4" s="1837"/>
      <c r="AE4" s="1835" t="s">
        <v>1853</v>
      </c>
      <c r="AF4" s="1837"/>
      <c r="AG4" s="1880"/>
      <c r="AH4" s="1874"/>
      <c r="AI4" s="1875"/>
      <c r="AJ4" s="1875"/>
      <c r="AK4" s="1875"/>
      <c r="AL4" s="1875"/>
      <c r="AM4" s="1877"/>
      <c r="AN4" s="2900"/>
      <c r="AO4" s="2900"/>
      <c r="AP4" s="2900"/>
      <c r="AQ4" s="2900"/>
      <c r="AR4" s="2900"/>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1854</v>
      </c>
      <c r="B5" s="1882" t="s">
        <v>1855</v>
      </c>
      <c r="C5" s="1883" t="s">
        <v>1856</v>
      </c>
      <c r="D5" s="1884" t="s">
        <v>1857</v>
      </c>
      <c r="E5" s="1178" t="s">
        <v>1858</v>
      </c>
      <c r="F5" s="1885" t="s">
        <v>1859</v>
      </c>
      <c r="G5" s="1178" t="s">
        <v>1860</v>
      </c>
      <c r="H5" s="1178" t="s">
        <v>1861</v>
      </c>
      <c r="I5" s="1178" t="s">
        <v>1862</v>
      </c>
      <c r="J5" s="1886" t="s">
        <v>1863</v>
      </c>
      <c r="K5" s="1887" t="s">
        <v>1864</v>
      </c>
      <c r="L5" s="1888" t="s">
        <v>1865</v>
      </c>
      <c r="M5" s="1889" t="s">
        <v>1866</v>
      </c>
      <c r="N5" s="1890" t="s">
        <v>3081</v>
      </c>
      <c r="O5" s="1888" t="s">
        <v>1867</v>
      </c>
      <c r="P5" s="1891" t="s">
        <v>1868</v>
      </c>
      <c r="Q5" s="65" t="s">
        <v>1869</v>
      </c>
      <c r="R5" s="1892" t="s">
        <v>1870</v>
      </c>
      <c r="S5" s="1893" t="s">
        <v>1871</v>
      </c>
      <c r="T5" s="1894" t="s">
        <v>1872</v>
      </c>
      <c r="U5" s="1177" t="s">
        <v>1873</v>
      </c>
      <c r="V5" s="1178" t="s">
        <v>1874</v>
      </c>
      <c r="W5" s="1178" t="s">
        <v>1875</v>
      </c>
      <c r="X5" s="67"/>
      <c r="Y5" s="66" t="s">
        <v>1876</v>
      </c>
      <c r="Z5" s="1895" t="s">
        <v>1873</v>
      </c>
      <c r="AA5" s="1178" t="s">
        <v>1874</v>
      </c>
      <c r="AB5" s="1178" t="s">
        <v>1875</v>
      </c>
      <c r="AC5" s="67"/>
      <c r="AD5" s="67" t="s">
        <v>1876</v>
      </c>
      <c r="AE5" s="1177" t="s">
        <v>1877</v>
      </c>
      <c r="AF5" s="1178" t="s">
        <v>1878</v>
      </c>
      <c r="AG5" s="66" t="s">
        <v>1879</v>
      </c>
      <c r="AH5" s="1177" t="s">
        <v>1880</v>
      </c>
      <c r="AI5" s="1895" t="s">
        <v>1881</v>
      </c>
      <c r="AJ5" s="1895" t="s">
        <v>1882</v>
      </c>
      <c r="AK5" s="1178" t="s">
        <v>1883</v>
      </c>
      <c r="AL5" s="1178" t="s">
        <v>1884</v>
      </c>
      <c r="AM5" s="66" t="s">
        <v>1885</v>
      </c>
      <c r="AN5" s="1896" t="s">
        <v>1886</v>
      </c>
      <c r="AO5" s="1747" t="s">
        <v>1887</v>
      </c>
      <c r="AP5" s="1159" t="s">
        <v>1888</v>
      </c>
      <c r="AQ5" s="1897" t="s">
        <v>1889</v>
      </c>
      <c r="AR5" s="1897" t="s">
        <v>1890</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地上办公</v>
      </c>
      <c r="B6" s="1899" t="str">
        <f>IF(A6=0,"","经营性")</f>
        <v>经营性</v>
      </c>
      <c r="C6" s="1900" t="s">
        <v>1343</v>
      </c>
      <c r="D6" s="967">
        <f>SUMIF(项目基本情况!D$12:I$12,C6,项目基本情况!D$14:I$14)</f>
        <v>40</v>
      </c>
      <c r="E6" s="966">
        <f>IF(B6="","",SUMIF(项目基本情况!D$12:I$12,C6,项目基本情况!D$13:I$13))</f>
        <v>52065</v>
      </c>
      <c r="F6" s="68">
        <f>SUMIF(项目基本情况!D$12:I$12,C6,项目基本情况!D$15:I$15)</f>
        <v>25.07</v>
      </c>
      <c r="G6" s="69">
        <f t="shared" ref="G6:G13" si="0">IF(ISERROR(ROUND(POWER(1+H6,D6-F6)*(POWER(1+H6,F6)-1)/(POWER(1+H6,D6)-1),3)),0,ROUND(POWER(1+H6,D6-F6)*(POWER(1+H6,F6)-1)/(POWER(1+H6,D6)-1),3))</f>
        <v>0.80700000000000005</v>
      </c>
      <c r="H6" s="741">
        <v>4.4999999999999998E-2</v>
      </c>
      <c r="I6" s="741">
        <v>0.05</v>
      </c>
      <c r="J6" s="70">
        <v>7.4999999999999997E-2</v>
      </c>
      <c r="K6" s="1161">
        <f>SUMIF('数据-汇总表'!C$19:C$33,A6,'数据-汇总表'!E$19:E$33)</f>
        <v>19687.320000000003</v>
      </c>
      <c r="L6" s="742">
        <v>4000</v>
      </c>
      <c r="M6" s="71">
        <f t="shared" ref="M6:M14" si="1">ROUND(K6*L6/10000,0)</f>
        <v>7875</v>
      </c>
      <c r="N6" s="740">
        <v>0.8</v>
      </c>
      <c r="O6" s="71" t="str">
        <f>IF($N$5="成新度","——",ROUND(M6*N6,0))</f>
        <v>——</v>
      </c>
      <c r="P6" s="72" t="str">
        <f>IF($N$5="成新度","——",M6-O6)</f>
        <v>——</v>
      </c>
      <c r="Q6" s="743">
        <v>0.2</v>
      </c>
      <c r="R6" s="73">
        <f ca="1">SUMIF('数据-汇总表'!C$19:C$33,A6,'数据-汇总表'!R$19:R$27)</f>
        <v>2449.4</v>
      </c>
      <c r="S6" s="54">
        <f>IF('数据-汇总表'!$I$17="按面积比例",SUMIF('数据-汇总表'!C$19:C$33,A6,'数据-汇总表'!K$19:K$33),SUMIF('数据-汇总表'!C$19:C$33,A6,'数据-汇总表'!N$19:N$33))</f>
        <v>0</v>
      </c>
      <c r="T6" s="1334">
        <f>ROUND($L$14*S6/10000,0)</f>
        <v>0</v>
      </c>
      <c r="U6" s="74"/>
      <c r="V6" s="75">
        <v>0.03</v>
      </c>
      <c r="W6" s="75"/>
      <c r="X6" s="1171"/>
      <c r="Y6" s="76"/>
      <c r="Z6" s="77"/>
      <c r="AA6" s="70"/>
      <c r="AB6" s="70"/>
      <c r="AC6" s="1171"/>
      <c r="AD6" s="78"/>
      <c r="AE6" s="1172">
        <f ca="1">IF(AN6="",0,SUMIF(INDIRECT("'"&amp;AN6&amp;"'"&amp;"!E:E"),$AE$5,INDIRECT("'"&amp;AN6&amp;"'"&amp;"!F:F")))</f>
        <v>0</v>
      </c>
      <c r="AF6" s="1532"/>
      <c r="AG6" s="143">
        <f>IF(AF6="",0,AE6-AF6)</f>
        <v>0</v>
      </c>
      <c r="AH6" s="79"/>
      <c r="AI6" s="81"/>
      <c r="AJ6" s="82"/>
      <c r="AK6" s="83"/>
      <c r="AL6" s="84"/>
      <c r="AM6" s="85"/>
      <c r="AN6" s="1901"/>
      <c r="AO6" s="55" t="e">
        <f ca="1">SUMIF(INDIRECT("'"&amp;AN6&amp;"'"&amp;"!A:A"),"总价",INDIRECT("'"&amp;AN6&amp;"'"&amp;"!B:B"))</f>
        <v>#REF!</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t="str">
        <f>'数据-汇总表'!C20</f>
        <v>1层商业</v>
      </c>
      <c r="B7" s="1899" t="str">
        <f t="shared" ref="B7:B13" si="2">IF(A7=0,"","经营性")</f>
        <v>经营性</v>
      </c>
      <c r="C7" s="1900" t="s">
        <v>27</v>
      </c>
      <c r="D7" s="967">
        <f>SUMIF(项目基本情况!D$12:I$12,C7,项目基本情况!D$14:I$14)</f>
        <v>50</v>
      </c>
      <c r="E7" s="966">
        <f>IF(B7="","",SUMIF(项目基本情况!D$12:I$12,C7,项目基本情况!D$13:I$13))</f>
        <v>55718</v>
      </c>
      <c r="F7" s="68">
        <f>SUMIF(项目基本情况!D$12:I$12,C7,项目基本情况!D$15:I$15)</f>
        <v>35.07</v>
      </c>
      <c r="G7" s="69">
        <f t="shared" si="0"/>
        <v>0.88400000000000001</v>
      </c>
      <c r="H7" s="741">
        <v>4.4999999999999998E-2</v>
      </c>
      <c r="I7" s="741">
        <v>0.05</v>
      </c>
      <c r="J7" s="70">
        <v>7.4999999999999997E-2</v>
      </c>
      <c r="K7" s="1161">
        <f>SUMIF('数据-汇总表'!C$19:C$33,A7,'数据-汇总表'!E$19:E$33)</f>
        <v>111.06</v>
      </c>
      <c r="L7" s="742">
        <v>4000</v>
      </c>
      <c r="M7" s="71">
        <f t="shared" si="1"/>
        <v>44</v>
      </c>
      <c r="N7" s="740">
        <f>N6</f>
        <v>0.8</v>
      </c>
      <c r="O7" s="71" t="str">
        <f t="shared" ref="O7:O14" si="3">IF($N$5="成新度","——",ROUND(M7*N7,0))</f>
        <v>——</v>
      </c>
      <c r="P7" s="72" t="str">
        <f t="shared" ref="P7:P14" si="4">IF($N$5="成新度","——",M7-O7)</f>
        <v>——</v>
      </c>
      <c r="Q7" s="743">
        <v>0.15</v>
      </c>
      <c r="R7" s="73">
        <f ca="1">SUMIF('数据-汇总表'!C$19:C$33,A7,'数据-汇总表'!R$19:R$27)</f>
        <v>13.82</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t="str">
        <f>'数据-汇总表'!C21</f>
        <v>2层商业</v>
      </c>
      <c r="B8" s="1899" t="str">
        <f t="shared" si="2"/>
        <v>经营性</v>
      </c>
      <c r="C8" s="1900" t="s">
        <v>3065</v>
      </c>
      <c r="D8" s="967">
        <f>SUMIF(项目基本情况!D$12:I$12,C8,项目基本情况!D$14:I$14)</f>
        <v>50</v>
      </c>
      <c r="E8" s="966">
        <f>IF(B8="","",SUMIF(项目基本情况!D$12:I$12,C8,项目基本情况!D$13:I$13))</f>
        <v>55718</v>
      </c>
      <c r="F8" s="68">
        <f>SUMIF(项目基本情况!D$12:I$12,C8,项目基本情况!D$15:I$15)</f>
        <v>35.07</v>
      </c>
      <c r="G8" s="69">
        <f t="shared" si="0"/>
        <v>0.88400000000000001</v>
      </c>
      <c r="H8" s="741">
        <v>4.4999999999999998E-2</v>
      </c>
      <c r="I8" s="741">
        <v>0.05</v>
      </c>
      <c r="J8" s="70">
        <v>7.4999999999999997E-2</v>
      </c>
      <c r="K8" s="1161">
        <f>SUMIF('数据-汇总表'!C$19:C$33,A8,'数据-汇总表'!E$19:E$33)</f>
        <v>2101.7399999999998</v>
      </c>
      <c r="L8" s="742">
        <v>3000</v>
      </c>
      <c r="M8" s="71">
        <f>ROUND(K8*L8/10000,0)</f>
        <v>631</v>
      </c>
      <c r="N8" s="740">
        <f>N6</f>
        <v>0.8</v>
      </c>
      <c r="O8" s="71" t="str">
        <f t="shared" si="3"/>
        <v>——</v>
      </c>
      <c r="P8" s="72" t="str">
        <f t="shared" si="4"/>
        <v>——</v>
      </c>
      <c r="Q8" s="743">
        <v>0.1</v>
      </c>
      <c r="R8" s="73">
        <f ca="1">SUMIF('数据-汇总表'!C$19:C$33,A8,'数据-汇总表'!R$19:R$27)</f>
        <v>261.49</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t="str">
        <f>'数据-汇总表'!C22</f>
        <v>3-4层商业</v>
      </c>
      <c r="B9" s="1899" t="str">
        <f t="shared" si="2"/>
        <v>经营性</v>
      </c>
      <c r="C9" s="1900"/>
      <c r="D9" s="967">
        <f>SUMIF(项目基本情况!D$12:I$12,C9,项目基本情况!D$14:I$14)</f>
        <v>0</v>
      </c>
      <c r="E9" s="966">
        <f>IF(B9="","",SUMIF(项目基本情况!D$12:I$12,C9,项目基本情况!D$13:I$13))</f>
        <v>0</v>
      </c>
      <c r="F9" s="68">
        <f>SUMIF(项目基本情况!D$12:I$12,C9,项目基本情况!D$15:I$15)</f>
        <v>0</v>
      </c>
      <c r="G9" s="69">
        <f t="shared" si="0"/>
        <v>0</v>
      </c>
      <c r="H9" s="70"/>
      <c r="I9" s="70"/>
      <c r="J9" s="70"/>
      <c r="K9" s="1161">
        <f>SUMIF('数据-汇总表'!C$19:C$33,A9,'数据-汇总表'!E$19:E$33)</f>
        <v>7369.8</v>
      </c>
      <c r="L9" s="742"/>
      <c r="M9" s="71">
        <f t="shared" si="1"/>
        <v>0</v>
      </c>
      <c r="N9" s="740"/>
      <c r="O9" s="71" t="str">
        <f t="shared" si="3"/>
        <v>——</v>
      </c>
      <c r="P9" s="72" t="str">
        <f t="shared" si="4"/>
        <v>——</v>
      </c>
      <c r="Q9" s="86"/>
      <c r="R9" s="73">
        <f ca="1">SUMIF('数据-汇总表'!C$19:C$33,A9,'数据-汇总表'!R$19:R$27)</f>
        <v>916.91</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t="str">
        <f>'数据-汇总表'!C23</f>
        <v>5层商业</v>
      </c>
      <c r="B10" s="1899" t="str">
        <f t="shared" si="2"/>
        <v>经营性</v>
      </c>
      <c r="C10" s="1900"/>
      <c r="D10" s="967">
        <f>SUMIF(项目基本情况!D$12:I$12,C10,项目基本情况!D$14:I$14)</f>
        <v>0</v>
      </c>
      <c r="E10" s="966">
        <f>IF(B10="","",SUMIF(项目基本情况!D$12:I$12,C10,项目基本情况!D$13:I$13))</f>
        <v>0</v>
      </c>
      <c r="F10" s="68">
        <f>SUMIF(项目基本情况!D$12:I$12,C10,项目基本情况!D$15:I$15)</f>
        <v>0</v>
      </c>
      <c r="G10" s="69">
        <f t="shared" si="0"/>
        <v>0</v>
      </c>
      <c r="H10" s="70"/>
      <c r="I10" s="70"/>
      <c r="J10" s="70"/>
      <c r="K10" s="1161">
        <f>SUMIF('数据-汇总表'!C$19:C$33,A10,'数据-汇总表'!E$19:E$33)</f>
        <v>3043.19</v>
      </c>
      <c r="L10" s="742"/>
      <c r="M10" s="71">
        <f t="shared" si="1"/>
        <v>0</v>
      </c>
      <c r="N10" s="740"/>
      <c r="O10" s="71" t="str">
        <f t="shared" si="3"/>
        <v>——</v>
      </c>
      <c r="P10" s="72" t="str">
        <f t="shared" si="4"/>
        <v>——</v>
      </c>
      <c r="Q10" s="86"/>
      <c r="R10" s="73">
        <f ca="1">SUMIF('数据-汇总表'!C$19:C$33,A10,'数据-汇总表'!R$19:R$27)</f>
        <v>378.62</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t="str">
        <f>'数据-汇总表'!C24</f>
        <v>地下车库</v>
      </c>
      <c r="B11" s="1899" t="str">
        <f t="shared" si="2"/>
        <v>经营性</v>
      </c>
      <c r="C11" s="1900"/>
      <c r="D11" s="967">
        <f>SUMIF(项目基本情况!D$12:I$12,C11,项目基本情况!D$14:I$14)</f>
        <v>0</v>
      </c>
      <c r="E11" s="966">
        <f>IF(B11="","",SUMIF(项目基本情况!D$12:I$12,C11,项目基本情况!D$13:I$13))</f>
        <v>0</v>
      </c>
      <c r="F11" s="68">
        <f>SUMIF(项目基本情况!D$12:I$12,C11,项目基本情况!D$15:I$15)</f>
        <v>0</v>
      </c>
      <c r="G11" s="69">
        <f t="shared" si="0"/>
        <v>0</v>
      </c>
      <c r="H11" s="70"/>
      <c r="I11" s="70"/>
      <c r="J11" s="70"/>
      <c r="K11" s="1161">
        <f>SUMIF('数据-汇总表'!C$19:C$33,A11,'数据-汇总表'!E$19:E$33)</f>
        <v>5444.8200000000006</v>
      </c>
      <c r="L11" s="87"/>
      <c r="M11" s="71">
        <f t="shared" si="1"/>
        <v>0</v>
      </c>
      <c r="N11" s="88"/>
      <c r="O11" s="71" t="str">
        <f t="shared" si="3"/>
        <v>——</v>
      </c>
      <c r="P11" s="72" t="str">
        <f t="shared" si="4"/>
        <v>——</v>
      </c>
      <c r="Q11" s="86"/>
      <c r="R11" s="73">
        <f ca="1">SUMIF('数据-汇总表'!C$19:C$33,A11,'数据-汇总表'!R$19:R$27)</f>
        <v>677.42</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t="str">
        <f>'数据-汇总表'!C25</f>
        <v>地下办公</v>
      </c>
      <c r="B12" s="1899" t="str">
        <f t="shared" si="2"/>
        <v>经营性</v>
      </c>
      <c r="C12" s="1900"/>
      <c r="D12" s="967">
        <f>SUMIF(项目基本情况!D$12:I$12,C12,项目基本情况!D$14:I$14)</f>
        <v>0</v>
      </c>
      <c r="E12" s="966">
        <f>IF(B12="","",SUMIF(项目基本情况!D$12:I$12,C12,项目基本情况!D$13:I$13))</f>
        <v>0</v>
      </c>
      <c r="F12" s="68">
        <f>SUMIF(项目基本情况!D$12:I$12,C12,项目基本情况!D$15:I$15)</f>
        <v>0</v>
      </c>
      <c r="G12" s="69">
        <f t="shared" si="0"/>
        <v>0</v>
      </c>
      <c r="H12" s="70"/>
      <c r="I12" s="70"/>
      <c r="J12" s="70"/>
      <c r="K12" s="1161">
        <f>SUMIF('数据-汇总表'!C$19:C$33,A12,'数据-汇总表'!E$19:E$33)</f>
        <v>9931.119999999999</v>
      </c>
      <c r="L12" s="87"/>
      <c r="M12" s="71">
        <f>ROUND(K12*L12/10000,0)</f>
        <v>0</v>
      </c>
      <c r="N12" s="88"/>
      <c r="O12" s="71" t="str">
        <f t="shared" si="3"/>
        <v>——</v>
      </c>
      <c r="P12" s="72" t="str">
        <f t="shared" si="4"/>
        <v>——</v>
      </c>
      <c r="Q12" s="86"/>
      <c r="R12" s="73">
        <f ca="1">SUMIF('数据-汇总表'!C$19:C$33,A12,'数据-汇总表'!R$19:R$27)</f>
        <v>1235.58</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2"/>
        <v/>
      </c>
      <c r="C13" s="1900"/>
      <c r="D13" s="967">
        <f>SUMIF(项目基本情况!D$12:I$12,C13,项目基本情况!D$14:I$14)</f>
        <v>0</v>
      </c>
      <c r="E13" s="966" t="str">
        <f>IF(B13="","",SUMIF(项目基本情况!D$12:I$12,C13,项目基本情况!D$13:I$13))</f>
        <v/>
      </c>
      <c r="F13" s="68">
        <f>SUMIF(项目基本情况!D$12:I$12,C13,项目基本情况!D$15:I$15)</f>
        <v>0</v>
      </c>
      <c r="G13" s="69">
        <f t="shared" si="0"/>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1891</v>
      </c>
      <c r="B14" s="1899" t="s">
        <v>1892</v>
      </c>
      <c r="C14" s="1904" t="s">
        <v>1891</v>
      </c>
      <c r="D14" s="967"/>
      <c r="E14" s="966"/>
      <c r="F14" s="68"/>
      <c r="G14" s="69"/>
      <c r="H14" s="1160"/>
      <c r="I14" s="1160"/>
      <c r="J14" s="1160"/>
      <c r="K14" s="1161">
        <f>SUMIF('数据-汇总表'!C$19:C$33,A14,'数据-汇总表'!E$19:E$33)</f>
        <v>0</v>
      </c>
      <c r="L14" s="87"/>
      <c r="M14" s="71">
        <f t="shared" si="1"/>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898"/>
      <c r="AO14" s="2900"/>
      <c r="AP14" s="2900"/>
      <c r="AQ14" s="2900"/>
      <c r="AR14" s="2900"/>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1893</v>
      </c>
      <c r="B15" s="1899" t="s">
        <v>1892</v>
      </c>
      <c r="C15" s="1904"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898"/>
      <c r="AO15" s="2900"/>
      <c r="AP15" s="2900"/>
      <c r="AQ15" s="2900"/>
      <c r="AR15" s="2900"/>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1895</v>
      </c>
      <c r="B16" s="93"/>
      <c r="C16" s="942"/>
      <c r="D16" s="1906"/>
      <c r="E16" s="93"/>
      <c r="F16" s="93"/>
      <c r="G16" s="94">
        <f>ROUND(SUMPRODUCT(G6:G13,K6:K13)/SUMPRODUCT((G6:G13&gt;0)*(K6:K13)),3)</f>
        <v>0.81499999999999995</v>
      </c>
      <c r="H16" s="95">
        <f>ROUND(SUMPRODUCT(H6:H13,K6:K13)/SUMPRODUCT((H6:H13&gt;0)*(K6:K13)),3)</f>
        <v>4.4999999999999998E-2</v>
      </c>
      <c r="I16" s="96"/>
      <c r="J16" s="96"/>
      <c r="K16" s="97">
        <f>SUM(K6:K15)</f>
        <v>47689.05</v>
      </c>
      <c r="L16" s="98">
        <f>ROUND(M16*10000/SUM(K6:K14),0)</f>
        <v>1793</v>
      </c>
      <c r="M16" s="98">
        <f>SUM(M6:M14)</f>
        <v>8550</v>
      </c>
      <c r="N16" s="99">
        <f>ROUND(SUMPRODUCT(M6:M14,N6:N14)/M16,3)</f>
        <v>0.8</v>
      </c>
      <c r="O16" s="98">
        <f>SUM(O6:O14)</f>
        <v>0</v>
      </c>
      <c r="P16" s="98">
        <f>SUM(P6:P14)</f>
        <v>0</v>
      </c>
      <c r="Q16" s="100">
        <f>ROUND(SUMPRODUCT(Q6:Q13,K6:K13)/SUMPRODUCT((Q6:Q13&gt;0)*(K6:K13)),2)</f>
        <v>0.19</v>
      </c>
      <c r="R16" s="1165">
        <f ca="1">SUM(R6:R13)</f>
        <v>5933.24</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8"/>
      <c r="AO16" s="2900"/>
      <c r="AP16" s="2900"/>
      <c r="AQ16" s="2900"/>
      <c r="AR16" s="2900"/>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09"/>
      <c r="C17" s="2898"/>
      <c r="D17" s="2902"/>
      <c r="E17" s="2902"/>
      <c r="F17" s="2898"/>
      <c r="G17" s="2898"/>
      <c r="H17" s="2898"/>
      <c r="I17" s="2898"/>
      <c r="J17" s="2898"/>
      <c r="K17" s="2899"/>
      <c r="L17" s="2899"/>
      <c r="M17" s="2898"/>
      <c r="N17" s="2898"/>
      <c r="O17" s="2898"/>
      <c r="P17" s="2898"/>
      <c r="Q17" s="2898"/>
      <c r="R17" s="2898"/>
      <c r="S17" s="2898"/>
      <c r="T17" s="2898"/>
      <c r="U17" s="2898"/>
      <c r="V17" s="2898"/>
      <c r="W17" s="2898"/>
      <c r="X17" s="2898"/>
      <c r="Y17" s="2898"/>
      <c r="Z17" s="2898"/>
      <c r="AA17" s="2898"/>
      <c r="AB17" s="2898"/>
      <c r="AC17" s="2898"/>
      <c r="AD17" s="2898"/>
      <c r="AE17" s="2898"/>
      <c r="AF17" s="2898"/>
      <c r="AG17" s="2898"/>
      <c r="AH17" s="2898"/>
      <c r="AI17" s="2898"/>
      <c r="AJ17" s="2898"/>
      <c r="AK17" s="2898"/>
      <c r="AL17" s="2898"/>
      <c r="AM17" s="2898"/>
      <c r="AN17" s="2898"/>
      <c r="AO17" s="2898"/>
      <c r="AP17" s="2898"/>
      <c r="AQ17" s="2898"/>
      <c r="AR17" s="2898"/>
    </row>
    <row r="18" spans="1:67" ht="15" thickBot="1">
      <c r="A18" s="64" t="s">
        <v>1896</v>
      </c>
      <c r="B18" s="2912"/>
      <c r="C18" s="2900"/>
      <c r="D18" s="2903"/>
      <c r="E18" s="2900"/>
      <c r="F18" s="2900"/>
      <c r="G18" s="2900"/>
      <c r="H18" s="2900"/>
      <c r="I18" s="2900"/>
      <c r="J18" s="2900"/>
      <c r="K18" s="2899"/>
      <c r="L18" s="2899"/>
      <c r="M18" s="2898"/>
      <c r="N18" s="2898"/>
      <c r="O18" s="2898"/>
      <c r="P18" s="2898"/>
      <c r="Q18" s="2898"/>
      <c r="R18" s="2898"/>
      <c r="S18" s="2898"/>
      <c r="T18" s="2898"/>
      <c r="U18" s="2898"/>
      <c r="V18" s="2898"/>
      <c r="W18" s="2898"/>
      <c r="X18" s="2898"/>
      <c r="Y18" s="2898"/>
      <c r="Z18" s="2898"/>
      <c r="AA18" s="2898"/>
      <c r="AB18" s="2898"/>
      <c r="AC18" s="2898"/>
      <c r="AD18" s="2898"/>
      <c r="AE18" s="2898"/>
      <c r="AF18" s="2898"/>
      <c r="AG18" s="2898"/>
      <c r="AH18" s="2898"/>
      <c r="AI18" s="2898"/>
      <c r="AJ18" s="2898"/>
      <c r="AK18" s="2898"/>
      <c r="AL18" s="2898"/>
      <c r="AM18" s="2898"/>
      <c r="AN18" s="2898"/>
      <c r="AO18" s="2898"/>
      <c r="AP18" s="2898"/>
      <c r="AQ18" s="2898"/>
      <c r="AR18" s="2898"/>
    </row>
    <row r="19" spans="1:67" ht="14.25">
      <c r="A19" s="1908" t="s">
        <v>1897</v>
      </c>
      <c r="B19" s="108">
        <v>0</v>
      </c>
      <c r="C19" s="3028" t="s">
        <v>3045</v>
      </c>
      <c r="D19" s="2903"/>
      <c r="E19" s="2900"/>
      <c r="F19" s="2900"/>
      <c r="G19" s="2900"/>
      <c r="H19" s="2900"/>
      <c r="I19" s="2900"/>
      <c r="J19" s="2900"/>
      <c r="K19" s="2899"/>
      <c r="L19" s="2899"/>
      <c r="M19" s="2898"/>
      <c r="N19" s="2898"/>
      <c r="O19" s="2898"/>
      <c r="P19" s="2898"/>
      <c r="Q19" s="2898"/>
      <c r="R19" s="2898"/>
      <c r="S19" s="2898"/>
      <c r="T19" s="2898"/>
      <c r="U19" s="2898"/>
      <c r="V19" s="2898"/>
      <c r="W19" s="2898"/>
      <c r="X19" s="2898"/>
      <c r="Y19" s="2898"/>
      <c r="Z19" s="2898"/>
      <c r="AA19" s="2898"/>
      <c r="AB19" s="2898"/>
      <c r="AC19" s="2898"/>
      <c r="AD19" s="2898"/>
      <c r="AE19" s="2898"/>
      <c r="AF19" s="2898"/>
      <c r="AG19" s="2898"/>
      <c r="AH19" s="2898"/>
      <c r="AI19" s="2898"/>
      <c r="AJ19" s="2898"/>
      <c r="AK19" s="2898"/>
      <c r="AL19" s="2898"/>
      <c r="AM19" s="2898"/>
      <c r="AN19" s="2898"/>
      <c r="AO19" s="2898"/>
      <c r="AP19" s="2898"/>
      <c r="AQ19" s="2898"/>
      <c r="AR19" s="2898"/>
    </row>
    <row r="20" spans="1:67" ht="14.25">
      <c r="A20" s="1909" t="s">
        <v>1898</v>
      </c>
      <c r="B20" s="109">
        <v>2</v>
      </c>
      <c r="C20" s="3029" t="s">
        <v>3043</v>
      </c>
      <c r="D20" s="2903"/>
      <c r="E20" s="2900"/>
      <c r="F20" s="2900"/>
      <c r="G20" s="2900"/>
      <c r="H20" s="2900"/>
      <c r="I20" s="2900"/>
      <c r="J20" s="2900"/>
      <c r="K20" s="2899"/>
      <c r="L20" s="2899">
        <f>1-(2021-2004)/60</f>
        <v>0.71666666666666667</v>
      </c>
      <c r="M20" s="2898"/>
      <c r="N20" s="2898"/>
      <c r="O20" s="2898"/>
      <c r="P20" s="2898"/>
      <c r="Q20" s="2898"/>
      <c r="R20" s="2898"/>
      <c r="S20" s="2898"/>
      <c r="T20" s="2898"/>
      <c r="U20" s="2898"/>
      <c r="V20" s="2898"/>
      <c r="W20" s="2898"/>
      <c r="X20" s="2898"/>
      <c r="Y20" s="2898"/>
      <c r="Z20" s="2898"/>
      <c r="AA20" s="2898"/>
      <c r="AB20" s="2898"/>
      <c r="AC20" s="2898"/>
      <c r="AD20" s="2898"/>
      <c r="AE20" s="2898"/>
      <c r="AF20" s="2898"/>
      <c r="AG20" s="2898"/>
      <c r="AH20" s="2898"/>
      <c r="AI20" s="2898"/>
      <c r="AJ20" s="2898"/>
      <c r="AK20" s="2898"/>
      <c r="AL20" s="2898"/>
      <c r="AM20" s="2898"/>
      <c r="AN20" s="2898"/>
      <c r="AO20" s="2898"/>
      <c r="AP20" s="2898"/>
      <c r="AQ20" s="2898"/>
      <c r="AR20" s="2898"/>
    </row>
    <row r="21" spans="1:67" ht="14.25">
      <c r="A21" s="1910" t="s">
        <v>1899</v>
      </c>
      <c r="B21" s="109">
        <v>2</v>
      </c>
      <c r="C21" s="2900"/>
      <c r="D21" s="2903"/>
      <c r="E21" s="2900"/>
      <c r="F21" s="2900"/>
      <c r="G21" s="2900"/>
      <c r="H21" s="2900"/>
      <c r="I21" s="2900"/>
      <c r="J21" s="2900"/>
      <c r="K21" s="2899"/>
      <c r="L21" s="2899">
        <v>0.9</v>
      </c>
      <c r="M21" s="2898"/>
      <c r="N21" s="2898"/>
      <c r="O21" s="2898"/>
      <c r="P21" s="2898"/>
      <c r="Q21" s="2898"/>
      <c r="R21" s="2898"/>
      <c r="S21" s="2898"/>
      <c r="T21" s="2898"/>
      <c r="U21" s="2898"/>
      <c r="V21" s="2898"/>
      <c r="W21" s="2898"/>
      <c r="X21" s="2898"/>
      <c r="Y21" s="2898"/>
      <c r="Z21" s="2898"/>
      <c r="AA21" s="2898"/>
      <c r="AB21" s="2898"/>
      <c r="AC21" s="2898"/>
      <c r="AD21" s="2898"/>
      <c r="AE21" s="2898"/>
      <c r="AF21" s="2898"/>
      <c r="AG21" s="2898"/>
      <c r="AH21" s="2898"/>
      <c r="AI21" s="2898"/>
      <c r="AJ21" s="2898"/>
      <c r="AK21" s="2898"/>
      <c r="AL21" s="2898"/>
      <c r="AM21" s="2898"/>
      <c r="AN21" s="2898"/>
      <c r="AO21" s="2898"/>
      <c r="AP21" s="2898"/>
      <c r="AQ21" s="2898"/>
      <c r="AR21" s="2898"/>
    </row>
    <row r="22" spans="1:67" ht="14.25">
      <c r="A22" s="1909" t="s">
        <v>1900</v>
      </c>
      <c r="B22" s="110">
        <f>B19+B20</f>
        <v>2</v>
      </c>
      <c r="C22" s="2900"/>
      <c r="D22" s="2903"/>
      <c r="E22" s="2900"/>
      <c r="F22" s="2900"/>
      <c r="G22" s="2900"/>
      <c r="H22" s="2900"/>
      <c r="I22" s="2900"/>
      <c r="J22" s="2900"/>
      <c r="K22" s="2899"/>
      <c r="L22" s="2899">
        <f>AVERAGE(L20:L21)</f>
        <v>0.80833333333333335</v>
      </c>
      <c r="M22" s="2898"/>
      <c r="N22" s="2898"/>
      <c r="O22" s="2898"/>
      <c r="P22" s="2898"/>
      <c r="Q22" s="2898"/>
      <c r="R22" s="2898"/>
      <c r="S22" s="2898"/>
      <c r="T22" s="2898"/>
      <c r="U22" s="2898"/>
      <c r="V22" s="2898"/>
      <c r="W22" s="2898"/>
      <c r="X22" s="2898"/>
      <c r="Y22" s="2898"/>
      <c r="Z22" s="2898"/>
      <c r="AA22" s="2898"/>
      <c r="AB22" s="2898"/>
      <c r="AC22" s="2898"/>
      <c r="AD22" s="2898"/>
      <c r="AE22" s="2898"/>
      <c r="AF22" s="2898"/>
      <c r="AG22" s="2898"/>
      <c r="AH22" s="2898"/>
      <c r="AI22" s="2898"/>
      <c r="AJ22" s="2898"/>
      <c r="AK22" s="2898"/>
      <c r="AL22" s="2898"/>
      <c r="AM22" s="2898"/>
      <c r="AN22" s="2898"/>
      <c r="AO22" s="2898"/>
      <c r="AP22" s="2898"/>
      <c r="AQ22" s="2898"/>
      <c r="AR22" s="2898"/>
    </row>
    <row r="23" spans="1:67" ht="14.25">
      <c r="A23" s="1910" t="s">
        <v>1901</v>
      </c>
      <c r="B23" s="110">
        <f>B19+B21</f>
        <v>2</v>
      </c>
      <c r="C23" s="2900"/>
      <c r="D23" s="2903"/>
      <c r="E23" s="2900"/>
      <c r="F23" s="2900"/>
      <c r="G23" s="2900"/>
      <c r="H23" s="2900"/>
      <c r="I23" s="2900"/>
      <c r="J23" s="2900"/>
      <c r="K23" s="2899"/>
      <c r="L23" s="2899"/>
      <c r="M23" s="2898"/>
      <c r="N23" s="2898"/>
      <c r="O23" s="2898"/>
      <c r="P23" s="2898"/>
      <c r="Q23" s="2898"/>
      <c r="R23" s="2898"/>
      <c r="S23" s="2898"/>
      <c r="T23" s="2898"/>
      <c r="U23" s="2898"/>
      <c r="V23" s="2898"/>
      <c r="W23" s="2898"/>
      <c r="X23" s="2898"/>
      <c r="Y23" s="2898"/>
      <c r="Z23" s="2898"/>
      <c r="AA23" s="2898"/>
      <c r="AB23" s="2898"/>
      <c r="AC23" s="2898"/>
      <c r="AD23" s="2898"/>
      <c r="AE23" s="2898"/>
      <c r="AF23" s="2898"/>
      <c r="AG23" s="2898"/>
      <c r="AH23" s="2898"/>
      <c r="AI23" s="2898"/>
      <c r="AJ23" s="2898"/>
      <c r="AK23" s="2898"/>
      <c r="AL23" s="2898"/>
      <c r="AM23" s="2898"/>
      <c r="AN23" s="2898"/>
      <c r="AO23" s="2898"/>
      <c r="AP23" s="2898"/>
      <c r="AQ23" s="2898"/>
      <c r="AR23" s="2898"/>
    </row>
    <row r="24" spans="1:67" ht="15" thickBot="1">
      <c r="A24" s="1911" t="s">
        <v>1902</v>
      </c>
      <c r="B24" s="111">
        <f>B20-B21</f>
        <v>0</v>
      </c>
      <c r="C24" s="2900"/>
      <c r="D24" s="2903"/>
      <c r="E24" s="2900"/>
      <c r="F24" s="2900"/>
      <c r="G24" s="2900"/>
      <c r="H24" s="2900"/>
      <c r="I24" s="2900"/>
      <c r="J24" s="2900"/>
      <c r="K24" s="2899"/>
      <c r="L24" s="2899"/>
      <c r="M24" s="2898"/>
      <c r="N24" s="2898"/>
      <c r="O24" s="2898"/>
      <c r="P24" s="2898"/>
      <c r="Q24" s="2898"/>
      <c r="R24" s="2898"/>
      <c r="S24" s="2898"/>
      <c r="T24" s="2898"/>
      <c r="U24" s="2898"/>
      <c r="V24" s="2898"/>
      <c r="W24" s="2898"/>
      <c r="X24" s="2898"/>
      <c r="Y24" s="2898"/>
      <c r="Z24" s="2898"/>
      <c r="AA24" s="2898"/>
      <c r="AB24" s="2898"/>
      <c r="AC24" s="2898"/>
      <c r="AD24" s="2898"/>
      <c r="AE24" s="2898"/>
      <c r="AF24" s="2898"/>
      <c r="AG24" s="2898"/>
      <c r="AH24" s="2898"/>
      <c r="AI24" s="2898"/>
      <c r="AJ24" s="2898"/>
      <c r="AK24" s="2898"/>
      <c r="AL24" s="2898"/>
      <c r="AM24" s="2898"/>
      <c r="AN24" s="2898"/>
      <c r="AO24" s="2898"/>
      <c r="AP24" s="2898"/>
      <c r="AQ24" s="2898"/>
      <c r="AR24" s="2898"/>
    </row>
    <row r="25" spans="1:67" ht="15" thickBot="1">
      <c r="A25" s="1742"/>
      <c r="B25" s="1873"/>
      <c r="C25" s="2900"/>
      <c r="D25" s="2903"/>
      <c r="E25" s="2900"/>
      <c r="F25" s="2900"/>
      <c r="G25" s="2900"/>
      <c r="H25" s="2900"/>
      <c r="I25" s="2900"/>
      <c r="J25" s="2900"/>
      <c r="K25" s="2899"/>
      <c r="L25" s="2899"/>
      <c r="M25" s="2898"/>
      <c r="N25" s="2898"/>
      <c r="O25" s="2898"/>
      <c r="P25" s="2898"/>
      <c r="Q25" s="2898"/>
      <c r="R25" s="2898"/>
      <c r="S25" s="2898"/>
      <c r="T25" s="2898"/>
      <c r="U25" s="2898"/>
      <c r="V25" s="2898"/>
      <c r="W25" s="2898"/>
      <c r="X25" s="2898"/>
      <c r="Y25" s="2898"/>
      <c r="Z25" s="2898"/>
      <c r="AA25" s="2898"/>
      <c r="AB25" s="2898"/>
      <c r="AC25" s="2898"/>
      <c r="AD25" s="2898"/>
      <c r="AE25" s="2898"/>
      <c r="AF25" s="2898"/>
      <c r="AG25" s="2898"/>
      <c r="AH25" s="2898"/>
      <c r="AI25" s="2898"/>
      <c r="AJ25" s="2898"/>
      <c r="AK25" s="2898"/>
      <c r="AL25" s="2898"/>
      <c r="AM25" s="2898"/>
      <c r="AN25" s="2898"/>
      <c r="AO25" s="2898"/>
      <c r="AP25" s="2898"/>
      <c r="AQ25" s="2898"/>
      <c r="AR25" s="2898"/>
    </row>
    <row r="26" spans="1:67" ht="15" thickBot="1">
      <c r="A26" s="1869" t="s">
        <v>1903</v>
      </c>
      <c r="B26" s="1912" t="s">
        <v>1904</v>
      </c>
      <c r="C26" s="2904" t="s">
        <v>1905</v>
      </c>
      <c r="D26" s="2903"/>
      <c r="E26" s="2900"/>
      <c r="F26" s="2900"/>
      <c r="G26" s="2900"/>
      <c r="H26" s="2900"/>
      <c r="I26" s="2900"/>
      <c r="J26" s="2900"/>
      <c r="K26" s="2899"/>
      <c r="L26" s="2899"/>
      <c r="M26" s="2898"/>
      <c r="N26" s="2898"/>
      <c r="O26" s="2898"/>
      <c r="P26" s="2898"/>
      <c r="Q26" s="2898"/>
      <c r="R26" s="2898"/>
      <c r="S26" s="2898"/>
      <c r="T26" s="2898"/>
      <c r="U26" s="2898"/>
      <c r="V26" s="2898"/>
      <c r="W26" s="2898"/>
      <c r="X26" s="2898"/>
      <c r="Y26" s="2898"/>
      <c r="Z26" s="2898"/>
      <c r="AA26" s="2898"/>
      <c r="AB26" s="2898"/>
      <c r="AC26" s="2898"/>
      <c r="AD26" s="2898"/>
      <c r="AE26" s="2898"/>
      <c r="AF26" s="2898"/>
      <c r="AG26" s="2898"/>
      <c r="AH26" s="2898"/>
      <c r="AI26" s="2898"/>
      <c r="AJ26" s="2898"/>
      <c r="AK26" s="2898"/>
      <c r="AL26" s="2898"/>
      <c r="AM26" s="2898"/>
      <c r="AN26" s="2898"/>
      <c r="AO26" s="2898"/>
      <c r="AP26" s="2898"/>
      <c r="AQ26" s="2898"/>
      <c r="AR26" s="2898"/>
    </row>
    <row r="27" spans="1:67" s="1914" customFormat="1" ht="27.75">
      <c r="A27" s="1913" t="s">
        <v>1906</v>
      </c>
      <c r="B27" s="112">
        <v>160</v>
      </c>
      <c r="C27" s="3030" t="s">
        <v>3047</v>
      </c>
      <c r="D27" s="2906"/>
      <c r="E27" s="2886"/>
      <c r="F27" s="2886"/>
      <c r="G27" s="2900"/>
      <c r="H27" s="2900"/>
      <c r="I27" s="2900"/>
      <c r="J27" s="2900"/>
      <c r="K27" s="2899"/>
      <c r="L27" s="2899"/>
      <c r="M27" s="2898"/>
      <c r="N27" s="2898"/>
      <c r="O27" s="2898"/>
      <c r="P27" s="2898"/>
      <c r="Q27" s="2898"/>
      <c r="R27" s="2898"/>
      <c r="S27" s="2898"/>
      <c r="T27" s="2898"/>
      <c r="U27" s="2898"/>
      <c r="V27" s="2898"/>
      <c r="W27" s="2898"/>
      <c r="X27" s="2898"/>
      <c r="Y27" s="2898"/>
      <c r="Z27" s="2898"/>
      <c r="AA27" s="2898"/>
      <c r="AB27" s="2898"/>
      <c r="AC27" s="2898"/>
      <c r="AD27" s="2898"/>
      <c r="AE27" s="2898"/>
      <c r="AF27" s="2898"/>
      <c r="AG27" s="2898"/>
      <c r="AH27" s="2898"/>
      <c r="AI27" s="2898"/>
      <c r="AJ27" s="2898"/>
      <c r="AK27" s="2898"/>
      <c r="AL27" s="2898"/>
      <c r="AM27" s="2898"/>
      <c r="AN27" s="2898"/>
      <c r="AO27" s="2898"/>
      <c r="AP27" s="2898"/>
      <c r="AQ27" s="2898"/>
      <c r="AR27" s="2898"/>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1907</v>
      </c>
      <c r="B28" s="115">
        <v>200</v>
      </c>
      <c r="C28" s="2907"/>
      <c r="D28" s="2906"/>
      <c r="E28" s="2886"/>
      <c r="F28" s="2886"/>
      <c r="G28" s="2900"/>
      <c r="H28" s="2900"/>
      <c r="I28" s="2900"/>
      <c r="J28" s="2900"/>
      <c r="K28" s="2899"/>
      <c r="L28" s="2899"/>
      <c r="M28" s="2898"/>
      <c r="N28" s="2898"/>
      <c r="O28" s="2898"/>
      <c r="P28" s="2898"/>
      <c r="Q28" s="2898"/>
      <c r="R28" s="2898"/>
      <c r="S28" s="2898"/>
      <c r="T28" s="2898"/>
      <c r="U28" s="2898"/>
      <c r="V28" s="2898"/>
      <c r="W28" s="2898"/>
      <c r="X28" s="2898"/>
      <c r="Y28" s="2898"/>
      <c r="Z28" s="2898"/>
      <c r="AA28" s="2898"/>
      <c r="AB28" s="2898"/>
      <c r="AC28" s="2898"/>
      <c r="AD28" s="2898"/>
      <c r="AE28" s="2898"/>
      <c r="AF28" s="2898"/>
      <c r="AG28" s="2898"/>
      <c r="AH28" s="2898"/>
      <c r="AI28" s="2898"/>
      <c r="AJ28" s="2898"/>
      <c r="AK28" s="2898"/>
      <c r="AL28" s="2898"/>
      <c r="AM28" s="2898"/>
      <c r="AN28" s="2898"/>
      <c r="AO28" s="2898"/>
      <c r="AP28" s="2898"/>
      <c r="AQ28" s="2898"/>
      <c r="AR28" s="2898"/>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1908</v>
      </c>
      <c r="B29" s="117"/>
      <c r="C29" s="3031" t="s">
        <v>3034</v>
      </c>
      <c r="D29" s="2906"/>
      <c r="E29" s="2886"/>
      <c r="F29" s="2886"/>
      <c r="G29" s="2900"/>
      <c r="H29" s="2900"/>
      <c r="I29" s="2900"/>
      <c r="J29" s="2900"/>
      <c r="K29" s="2899"/>
      <c r="L29" s="2899"/>
      <c r="M29" s="2898"/>
      <c r="N29" s="2898"/>
      <c r="O29" s="2898"/>
      <c r="P29" s="2898"/>
      <c r="Q29" s="2898"/>
      <c r="R29" s="2898"/>
      <c r="S29" s="2898"/>
      <c r="T29" s="2898"/>
      <c r="U29" s="2898"/>
      <c r="V29" s="2898"/>
      <c r="W29" s="2898"/>
      <c r="X29" s="2898"/>
      <c r="Y29" s="2898"/>
      <c r="Z29" s="2898"/>
      <c r="AA29" s="2898"/>
      <c r="AB29" s="2898"/>
      <c r="AC29" s="2898"/>
      <c r="AD29" s="2898"/>
      <c r="AE29" s="2898"/>
      <c r="AF29" s="2898"/>
      <c r="AG29" s="2898"/>
      <c r="AH29" s="2898"/>
      <c r="AI29" s="2898"/>
      <c r="AJ29" s="2898"/>
      <c r="AK29" s="2898"/>
      <c r="AL29" s="2898"/>
      <c r="AM29" s="2898"/>
      <c r="AN29" s="2898"/>
      <c r="AO29" s="2898"/>
      <c r="AP29" s="2898"/>
      <c r="AQ29" s="2898"/>
      <c r="AR29" s="2898"/>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1909</v>
      </c>
      <c r="B30" s="680">
        <v>200</v>
      </c>
      <c r="C30" s="2907"/>
      <c r="D30" s="2906"/>
      <c r="E30" s="2886"/>
      <c r="F30" s="2886"/>
      <c r="G30" s="2900"/>
      <c r="H30" s="2900"/>
      <c r="I30" s="2900"/>
      <c r="J30" s="2900"/>
      <c r="K30" s="2899"/>
      <c r="L30" s="2899"/>
      <c r="M30" s="2898"/>
      <c r="N30" s="2898"/>
      <c r="O30" s="2898"/>
      <c r="P30" s="2898"/>
      <c r="Q30" s="2898"/>
      <c r="R30" s="2898"/>
      <c r="S30" s="2898"/>
      <c r="T30" s="2898"/>
      <c r="U30" s="2898"/>
      <c r="V30" s="2898"/>
      <c r="W30" s="2898"/>
      <c r="X30" s="2898"/>
      <c r="Y30" s="2898"/>
      <c r="Z30" s="2898"/>
      <c r="AA30" s="2898"/>
      <c r="AB30" s="2898"/>
      <c r="AC30" s="2898"/>
      <c r="AD30" s="2898"/>
      <c r="AE30" s="2898"/>
      <c r="AF30" s="2898"/>
      <c r="AG30" s="2898"/>
      <c r="AH30" s="2898"/>
      <c r="AI30" s="2898"/>
      <c r="AJ30" s="2898"/>
      <c r="AK30" s="2898"/>
      <c r="AL30" s="2898"/>
      <c r="AM30" s="2898"/>
      <c r="AN30" s="2898"/>
      <c r="AO30" s="2898"/>
      <c r="AP30" s="2898"/>
      <c r="AQ30" s="2898"/>
      <c r="AR30" s="2898"/>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1910</v>
      </c>
      <c r="B31" s="116">
        <f>B30-B32</f>
        <v>200</v>
      </c>
      <c r="C31" s="2905"/>
      <c r="D31" s="2906"/>
      <c r="E31" s="2886"/>
      <c r="F31" s="2886"/>
      <c r="G31" s="2900"/>
      <c r="H31" s="2900"/>
      <c r="I31" s="2900"/>
      <c r="J31" s="2900"/>
      <c r="K31" s="2899"/>
      <c r="L31" s="2899"/>
      <c r="M31" s="2898"/>
      <c r="N31" s="2898"/>
      <c r="O31" s="2898"/>
      <c r="P31" s="2898"/>
      <c r="Q31" s="2898"/>
      <c r="R31" s="2898"/>
      <c r="S31" s="2898"/>
      <c r="T31" s="2898"/>
      <c r="U31" s="2898"/>
      <c r="V31" s="2898"/>
      <c r="W31" s="2898"/>
      <c r="X31" s="2898"/>
      <c r="Y31" s="2898"/>
      <c r="Z31" s="2898"/>
      <c r="AA31" s="2898"/>
      <c r="AB31" s="2898"/>
      <c r="AC31" s="2898"/>
      <c r="AD31" s="2898"/>
      <c r="AE31" s="2898"/>
      <c r="AF31" s="2898"/>
      <c r="AG31" s="2898"/>
      <c r="AH31" s="2898"/>
      <c r="AI31" s="2898"/>
      <c r="AJ31" s="2898"/>
      <c r="AK31" s="2898"/>
      <c r="AL31" s="2898"/>
      <c r="AM31" s="2898"/>
      <c r="AN31" s="2898"/>
      <c r="AO31" s="2898"/>
      <c r="AP31" s="2898"/>
      <c r="AQ31" s="2898"/>
      <c r="AR31" s="2898"/>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1911</v>
      </c>
      <c r="B32" s="681">
        <v>0</v>
      </c>
      <c r="C32" s="2907"/>
      <c r="D32" s="2903"/>
      <c r="E32" s="2900"/>
      <c r="F32" s="2900"/>
      <c r="G32" s="2900"/>
      <c r="H32" s="2900"/>
      <c r="I32" s="2900"/>
      <c r="J32" s="2900"/>
      <c r="K32" s="2899"/>
      <c r="L32" s="2899"/>
      <c r="M32" s="2898"/>
      <c r="N32" s="2898"/>
      <c r="O32" s="2898"/>
      <c r="P32" s="2898"/>
      <c r="Q32" s="2898"/>
      <c r="R32" s="2898"/>
      <c r="S32" s="2898"/>
      <c r="T32" s="2898"/>
      <c r="U32" s="2898"/>
      <c r="V32" s="2898"/>
      <c r="W32" s="2898"/>
      <c r="X32" s="2898"/>
      <c r="Y32" s="2898"/>
      <c r="Z32" s="2898"/>
      <c r="AA32" s="2898"/>
      <c r="AB32" s="2898"/>
      <c r="AC32" s="2898"/>
      <c r="AD32" s="2898"/>
      <c r="AE32" s="2898"/>
      <c r="AF32" s="2898"/>
      <c r="AG32" s="2898"/>
      <c r="AH32" s="2898"/>
      <c r="AI32" s="2898"/>
      <c r="AJ32" s="2898"/>
      <c r="AK32" s="2898"/>
      <c r="AL32" s="2898"/>
      <c r="AM32" s="2898"/>
      <c r="AN32" s="2898"/>
      <c r="AO32" s="2898"/>
      <c r="AP32" s="2898"/>
      <c r="AQ32" s="2898"/>
      <c r="AR32" s="2898"/>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1912</v>
      </c>
      <c r="B33" s="682">
        <v>0.03</v>
      </c>
      <c r="C33" s="3032" t="s">
        <v>3035</v>
      </c>
      <c r="D33" s="2903"/>
      <c r="E33" s="2900"/>
      <c r="F33" s="2900"/>
      <c r="G33" s="2900"/>
      <c r="H33" s="2900"/>
      <c r="I33" s="2900"/>
      <c r="J33" s="2900"/>
      <c r="K33" s="2899"/>
      <c r="L33" s="2899"/>
      <c r="M33" s="2898"/>
      <c r="N33" s="2898"/>
      <c r="O33" s="2898"/>
      <c r="P33" s="2898"/>
      <c r="Q33" s="2898"/>
      <c r="R33" s="2898"/>
      <c r="S33" s="2898"/>
      <c r="T33" s="2898"/>
      <c r="U33" s="2898"/>
      <c r="V33" s="2898"/>
      <c r="W33" s="2898"/>
      <c r="X33" s="2898"/>
      <c r="Y33" s="2898"/>
      <c r="Z33" s="2898"/>
      <c r="AA33" s="2898"/>
      <c r="AB33" s="2898"/>
      <c r="AC33" s="2898"/>
      <c r="AD33" s="2898"/>
      <c r="AE33" s="2898"/>
      <c r="AF33" s="2898"/>
      <c r="AG33" s="2898"/>
      <c r="AH33" s="2898"/>
      <c r="AI33" s="2898"/>
      <c r="AJ33" s="2898"/>
      <c r="AK33" s="2898"/>
      <c r="AL33" s="2898"/>
      <c r="AM33" s="2898"/>
      <c r="AN33" s="2898"/>
      <c r="AO33" s="2898"/>
      <c r="AP33" s="2898"/>
      <c r="AQ33" s="2898"/>
      <c r="AR33" s="2898"/>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1913</v>
      </c>
      <c r="B34" s="118"/>
      <c r="C34" s="3032" t="s">
        <v>3036</v>
      </c>
      <c r="D34" s="2911" t="s">
        <v>3044</v>
      </c>
      <c r="E34" s="2909"/>
      <c r="F34" s="2900"/>
      <c r="G34" s="2900"/>
      <c r="H34" s="2900"/>
      <c r="I34" s="2900"/>
      <c r="J34" s="2900"/>
      <c r="K34" s="2899"/>
      <c r="L34" s="2899"/>
      <c r="M34" s="2898"/>
      <c r="N34" s="2898"/>
      <c r="O34" s="2898"/>
      <c r="P34" s="2898"/>
      <c r="Q34" s="2898"/>
      <c r="R34" s="2898"/>
      <c r="S34" s="2898"/>
      <c r="T34" s="2898"/>
      <c r="U34" s="2898"/>
      <c r="V34" s="2898"/>
      <c r="W34" s="2898"/>
      <c r="X34" s="2898"/>
      <c r="Y34" s="2898"/>
      <c r="Z34" s="2898"/>
      <c r="AA34" s="2898"/>
      <c r="AB34" s="2898"/>
      <c r="AC34" s="2898"/>
      <c r="AD34" s="2898"/>
      <c r="AE34" s="2898"/>
      <c r="AF34" s="2898"/>
      <c r="AG34" s="2898"/>
      <c r="AH34" s="2898"/>
      <c r="AI34" s="2898"/>
      <c r="AJ34" s="2898"/>
      <c r="AK34" s="2898"/>
      <c r="AL34" s="2898"/>
      <c r="AM34" s="2898"/>
      <c r="AN34" s="2898"/>
      <c r="AO34" s="2898"/>
      <c r="AP34" s="2898"/>
      <c r="AQ34" s="2898"/>
      <c r="AR34" s="2898"/>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1914</v>
      </c>
      <c r="B35" s="115">
        <v>200</v>
      </c>
      <c r="C35" s="3032" t="s">
        <v>3037</v>
      </c>
      <c r="D35" s="2906"/>
      <c r="E35" s="2886"/>
      <c r="F35" s="2886"/>
      <c r="G35" s="2900"/>
      <c r="H35" s="2900"/>
      <c r="I35" s="2900"/>
      <c r="J35" s="2900"/>
      <c r="K35" s="2899"/>
      <c r="L35" s="2899"/>
      <c r="M35" s="2898"/>
      <c r="N35" s="2898"/>
      <c r="O35" s="2898"/>
      <c r="P35" s="2898"/>
      <c r="Q35" s="2898"/>
      <c r="R35" s="2898"/>
      <c r="S35" s="2898"/>
      <c r="T35" s="2898"/>
      <c r="U35" s="2898"/>
      <c r="V35" s="2898"/>
      <c r="W35" s="2898"/>
      <c r="X35" s="2898"/>
      <c r="Y35" s="2898"/>
      <c r="Z35" s="2898"/>
      <c r="AA35" s="2898"/>
      <c r="AB35" s="2898"/>
      <c r="AC35" s="2898"/>
      <c r="AD35" s="2898"/>
      <c r="AE35" s="2898"/>
      <c r="AF35" s="2898"/>
      <c r="AG35" s="2898"/>
      <c r="AH35" s="2898"/>
      <c r="AI35" s="2898"/>
      <c r="AJ35" s="2898"/>
      <c r="AK35" s="2898"/>
      <c r="AL35" s="2898"/>
      <c r="AM35" s="2898"/>
      <c r="AN35" s="2898"/>
      <c r="AO35" s="2898"/>
      <c r="AP35" s="2898"/>
      <c r="AQ35" s="2898"/>
      <c r="AR35" s="2898"/>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1915</v>
      </c>
      <c r="B36" s="119">
        <v>1.4999999999999999E-2</v>
      </c>
      <c r="C36" s="3032" t="s">
        <v>3038</v>
      </c>
      <c r="D36" s="2903"/>
      <c r="E36" s="2900"/>
      <c r="F36" s="2900"/>
      <c r="G36" s="2900"/>
      <c r="H36" s="2900"/>
      <c r="I36" s="2900"/>
      <c r="J36" s="2900"/>
      <c r="K36" s="2899"/>
      <c r="L36" s="2899"/>
      <c r="M36" s="2898"/>
      <c r="N36" s="2898"/>
      <c r="O36" s="2898"/>
      <c r="P36" s="2898"/>
      <c r="Q36" s="2898"/>
      <c r="R36" s="2898"/>
      <c r="S36" s="2898"/>
      <c r="T36" s="2898"/>
      <c r="U36" s="2898"/>
      <c r="V36" s="2898"/>
      <c r="W36" s="2898"/>
      <c r="X36" s="2898"/>
      <c r="Y36" s="2898"/>
      <c r="Z36" s="2898"/>
      <c r="AA36" s="2898"/>
      <c r="AB36" s="2898"/>
      <c r="AC36" s="2898"/>
      <c r="AD36" s="2898"/>
      <c r="AE36" s="2898"/>
      <c r="AF36" s="2898"/>
      <c r="AG36" s="2898"/>
      <c r="AH36" s="2898"/>
      <c r="AI36" s="2898"/>
      <c r="AJ36" s="2898"/>
      <c r="AK36" s="2898"/>
      <c r="AL36" s="2898"/>
      <c r="AM36" s="2898"/>
      <c r="AN36" s="2898"/>
      <c r="AO36" s="2898"/>
      <c r="AP36" s="2898"/>
      <c r="AQ36" s="2898"/>
      <c r="AR36" s="2898"/>
    </row>
    <row r="37" spans="1:67" ht="14.25">
      <c r="A37" s="1917" t="s">
        <v>1916</v>
      </c>
      <c r="B37" s="120">
        <v>0.02</v>
      </c>
      <c r="C37" s="3032" t="s">
        <v>3039</v>
      </c>
      <c r="D37" s="2903"/>
      <c r="E37" s="2900"/>
      <c r="F37" s="2900"/>
      <c r="G37" s="2900"/>
      <c r="H37" s="2900"/>
      <c r="I37" s="2900"/>
      <c r="J37" s="2900"/>
      <c r="K37" s="2899"/>
      <c r="L37" s="2899"/>
      <c r="M37" s="2898"/>
      <c r="N37" s="2898"/>
      <c r="O37" s="2898"/>
      <c r="P37" s="2898"/>
      <c r="Q37" s="2898"/>
      <c r="R37" s="2898"/>
      <c r="S37" s="2898"/>
      <c r="T37" s="2898"/>
      <c r="U37" s="2898"/>
      <c r="V37" s="2898"/>
      <c r="W37" s="2898"/>
      <c r="X37" s="2898"/>
      <c r="Y37" s="2898"/>
      <c r="Z37" s="2898"/>
      <c r="AA37" s="2898"/>
      <c r="AB37" s="2898"/>
      <c r="AC37" s="2898"/>
      <c r="AD37" s="2898"/>
      <c r="AE37" s="2898"/>
      <c r="AF37" s="2898"/>
      <c r="AG37" s="2898"/>
      <c r="AH37" s="2898"/>
      <c r="AI37" s="2898"/>
      <c r="AJ37" s="2898"/>
      <c r="AK37" s="2898"/>
      <c r="AL37" s="2898"/>
      <c r="AM37" s="2898"/>
      <c r="AN37" s="2898"/>
      <c r="AO37" s="2898"/>
      <c r="AP37" s="2898"/>
      <c r="AQ37" s="2898"/>
      <c r="AR37" s="2898"/>
    </row>
    <row r="38" spans="1:67" ht="14.25">
      <c r="A38" s="1915" t="s">
        <v>1917</v>
      </c>
      <c r="B38" s="118">
        <v>0.02</v>
      </c>
      <c r="C38" s="3032" t="s">
        <v>3039</v>
      </c>
      <c r="D38" s="2903"/>
      <c r="E38" s="2900"/>
      <c r="F38" s="2900"/>
      <c r="G38" s="2900"/>
      <c r="H38" s="2900"/>
      <c r="I38" s="2900"/>
      <c r="J38" s="2900"/>
      <c r="K38" s="2899"/>
      <c r="L38" s="2899"/>
      <c r="M38" s="2898"/>
      <c r="N38" s="2898"/>
      <c r="O38" s="2898"/>
      <c r="P38" s="2898"/>
      <c r="Q38" s="2898"/>
      <c r="R38" s="2898"/>
      <c r="S38" s="2898"/>
      <c r="T38" s="2898"/>
      <c r="U38" s="2898"/>
      <c r="V38" s="2898"/>
      <c r="W38" s="2898"/>
      <c r="X38" s="2898"/>
      <c r="Y38" s="2898"/>
      <c r="Z38" s="2898"/>
      <c r="AA38" s="2898"/>
      <c r="AB38" s="2898"/>
      <c r="AC38" s="2898"/>
      <c r="AD38" s="2898"/>
      <c r="AE38" s="2898"/>
      <c r="AF38" s="2898"/>
      <c r="AG38" s="2898"/>
      <c r="AH38" s="2898"/>
      <c r="AI38" s="2898"/>
      <c r="AJ38" s="2898"/>
      <c r="AK38" s="2898"/>
      <c r="AL38" s="2898"/>
      <c r="AM38" s="2898"/>
      <c r="AN38" s="2898"/>
      <c r="AO38" s="2898"/>
      <c r="AP38" s="2898"/>
      <c r="AQ38" s="2898"/>
      <c r="AR38" s="2898"/>
    </row>
    <row r="39" spans="1:67" ht="14.25">
      <c r="A39" s="1918" t="s">
        <v>1918</v>
      </c>
      <c r="B39" s="323">
        <f ca="1">存贷款利率!I1</f>
        <v>1.4999999999999999E-2</v>
      </c>
      <c r="C39" s="2908"/>
      <c r="D39" s="2903"/>
      <c r="E39" s="2900"/>
      <c r="F39" s="2900"/>
      <c r="G39" s="2900"/>
      <c r="H39" s="2900"/>
      <c r="I39" s="2900"/>
      <c r="J39" s="2900"/>
      <c r="K39" s="2899"/>
      <c r="L39" s="2899"/>
      <c r="M39" s="2898"/>
      <c r="N39" s="2898"/>
      <c r="O39" s="2898"/>
      <c r="P39" s="2898"/>
      <c r="Q39" s="2898"/>
      <c r="R39" s="2898"/>
      <c r="S39" s="2898"/>
      <c r="T39" s="2898"/>
      <c r="U39" s="2898"/>
      <c r="V39" s="2898"/>
      <c r="W39" s="2898"/>
      <c r="X39" s="2898"/>
      <c r="Y39" s="2898"/>
      <c r="Z39" s="2898"/>
      <c r="AA39" s="2898"/>
      <c r="AB39" s="2898"/>
      <c r="AC39" s="2898"/>
      <c r="AD39" s="2898"/>
      <c r="AE39" s="2898"/>
      <c r="AF39" s="2898"/>
      <c r="AG39" s="2898"/>
      <c r="AH39" s="2898"/>
      <c r="AI39" s="2898"/>
      <c r="AJ39" s="2898"/>
      <c r="AK39" s="2898"/>
      <c r="AL39" s="2898"/>
      <c r="AM39" s="2898"/>
      <c r="AN39" s="2898"/>
      <c r="AO39" s="2898"/>
      <c r="AP39" s="2898"/>
      <c r="AQ39" s="2898"/>
      <c r="AR39" s="2898"/>
    </row>
    <row r="40" spans="1:67" ht="29.25" thickBot="1">
      <c r="A40" s="3044" t="s">
        <v>3082</v>
      </c>
      <c r="B40" s="1210">
        <f ca="1">IF(A40="利息：取LPR",存贷款利率!G1,存贷款利率!G1+C40)</f>
        <v>5.2499999999999998E-2</v>
      </c>
      <c r="C40" s="3043">
        <v>5.0000000000000001E-3</v>
      </c>
      <c r="D40" s="2898"/>
      <c r="E40" s="2903"/>
      <c r="F40" s="2900"/>
      <c r="G40" s="2900"/>
      <c r="H40" s="2900"/>
      <c r="I40" s="2900"/>
      <c r="J40" s="2900"/>
      <c r="K40" s="2899"/>
      <c r="L40" s="2899"/>
      <c r="M40" s="2898"/>
      <c r="N40" s="2898"/>
      <c r="O40" s="2898"/>
      <c r="P40" s="2898"/>
      <c r="Q40" s="2898"/>
      <c r="R40" s="2898"/>
      <c r="S40" s="2898"/>
      <c r="T40" s="2898"/>
      <c r="U40" s="2898"/>
      <c r="V40" s="2898"/>
      <c r="W40" s="2898"/>
      <c r="X40" s="2898"/>
      <c r="Y40" s="2898"/>
      <c r="Z40" s="2898"/>
      <c r="AA40" s="2898"/>
      <c r="AB40" s="2898"/>
      <c r="AC40" s="2898"/>
      <c r="AD40" s="2898"/>
      <c r="AE40" s="2898"/>
      <c r="AF40" s="2898"/>
      <c r="AG40" s="2898"/>
      <c r="AH40" s="2898"/>
      <c r="AI40" s="2898"/>
      <c r="AJ40" s="2898"/>
      <c r="AK40" s="2898"/>
      <c r="AL40" s="2898"/>
      <c r="AM40" s="2898"/>
      <c r="AN40" s="2898"/>
      <c r="AO40" s="2898"/>
      <c r="AP40" s="2898"/>
      <c r="AQ40" s="2898"/>
      <c r="AR40" s="2898"/>
    </row>
    <row r="41" spans="1:67" ht="14.25">
      <c r="A41" s="1913" t="s">
        <v>1919</v>
      </c>
      <c r="B41" s="121">
        <f>B42+B43</f>
        <v>5.6000000000000001E-2</v>
      </c>
      <c r="C41" s="2905"/>
      <c r="D41" s="2898"/>
      <c r="E41" s="2903"/>
      <c r="F41" s="2900"/>
      <c r="G41" s="2900"/>
      <c r="H41" s="2900"/>
      <c r="I41" s="2900"/>
      <c r="J41" s="2900"/>
      <c r="K41" s="2899"/>
      <c r="L41" s="2899"/>
      <c r="M41" s="2898"/>
      <c r="N41" s="2898"/>
      <c r="O41" s="2898"/>
      <c r="P41" s="2898"/>
      <c r="Q41" s="2898"/>
      <c r="R41" s="2898"/>
      <c r="S41" s="2898"/>
      <c r="T41" s="2898"/>
      <c r="U41" s="2898"/>
      <c r="V41" s="2898"/>
      <c r="W41" s="2898"/>
      <c r="X41" s="2898"/>
      <c r="Y41" s="2898"/>
      <c r="Z41" s="2898"/>
      <c r="AA41" s="2898"/>
      <c r="AB41" s="2898"/>
      <c r="AC41" s="2898"/>
      <c r="AD41" s="2898"/>
      <c r="AE41" s="2898"/>
      <c r="AF41" s="2898"/>
      <c r="AG41" s="2898"/>
      <c r="AH41" s="2898"/>
      <c r="AI41" s="2898"/>
      <c r="AJ41" s="2898"/>
      <c r="AK41" s="2898"/>
      <c r="AL41" s="2898"/>
      <c r="AM41" s="2898"/>
      <c r="AN41" s="2898"/>
      <c r="AO41" s="2898"/>
      <c r="AP41" s="2898"/>
      <c r="AQ41" s="2898"/>
      <c r="AR41" s="2898"/>
    </row>
    <row r="42" spans="1:67" ht="14.25">
      <c r="A42" s="1919" t="s">
        <v>1920</v>
      </c>
      <c r="B42" s="122">
        <v>0.05</v>
      </c>
      <c r="C42" s="2910">
        <f>IF(B2&lt;DATE(2016,5,1),0,B42)</f>
        <v>0.05</v>
      </c>
      <c r="D42" s="2903"/>
      <c r="E42" s="2900"/>
      <c r="F42" s="2900"/>
      <c r="G42" s="2900"/>
      <c r="H42" s="2900"/>
      <c r="I42" s="2900"/>
      <c r="J42" s="2900"/>
      <c r="K42" s="2899"/>
      <c r="L42" s="2899"/>
      <c r="M42" s="2898"/>
      <c r="N42" s="2898"/>
      <c r="O42" s="2898"/>
      <c r="P42" s="2898"/>
      <c r="Q42" s="2898"/>
      <c r="R42" s="2898"/>
      <c r="S42" s="2898"/>
      <c r="T42" s="2898"/>
      <c r="U42" s="2898"/>
      <c r="V42" s="2898"/>
      <c r="W42" s="2898"/>
      <c r="X42" s="2898"/>
      <c r="Y42" s="2898"/>
      <c r="Z42" s="2898"/>
      <c r="AA42" s="2898"/>
      <c r="AB42" s="2898"/>
      <c r="AC42" s="2898"/>
      <c r="AD42" s="2898"/>
      <c r="AE42" s="2898"/>
      <c r="AF42" s="2898"/>
      <c r="AG42" s="2898"/>
      <c r="AH42" s="2898"/>
      <c r="AI42" s="2898"/>
      <c r="AJ42" s="2898"/>
      <c r="AK42" s="2898"/>
      <c r="AL42" s="2898"/>
      <c r="AM42" s="2898"/>
      <c r="AN42" s="2898"/>
      <c r="AO42" s="2898"/>
      <c r="AP42" s="2898"/>
      <c r="AQ42" s="2898"/>
      <c r="AR42" s="2898"/>
    </row>
    <row r="43" spans="1:67" ht="14.25">
      <c r="A43" s="1919" t="s">
        <v>1921</v>
      </c>
      <c r="B43" s="123">
        <f>B42*(B44+B45+B46)+B47</f>
        <v>6.000000000000001E-3</v>
      </c>
      <c r="C43" s="2905"/>
      <c r="D43" s="2903"/>
      <c r="E43" s="2900"/>
      <c r="F43" s="2900"/>
      <c r="G43" s="2900"/>
      <c r="H43" s="2900"/>
      <c r="I43" s="2900"/>
      <c r="J43" s="2900"/>
      <c r="K43" s="2899"/>
      <c r="L43" s="2899"/>
      <c r="M43" s="2898"/>
      <c r="N43" s="2898"/>
      <c r="O43" s="2898"/>
      <c r="P43" s="2898"/>
      <c r="Q43" s="2898"/>
      <c r="R43" s="2898"/>
      <c r="S43" s="2898"/>
      <c r="T43" s="2898"/>
      <c r="U43" s="2898"/>
      <c r="V43" s="2898"/>
      <c r="W43" s="2898"/>
      <c r="X43" s="2898"/>
      <c r="Y43" s="2898"/>
      <c r="Z43" s="2898"/>
      <c r="AA43" s="2898"/>
      <c r="AB43" s="2898"/>
      <c r="AC43" s="2898"/>
      <c r="AD43" s="2898"/>
      <c r="AE43" s="2898"/>
      <c r="AF43" s="2898"/>
      <c r="AG43" s="2898"/>
      <c r="AH43" s="2898"/>
      <c r="AI43" s="2898"/>
      <c r="AJ43" s="2898"/>
      <c r="AK43" s="2898"/>
      <c r="AL43" s="2898"/>
      <c r="AM43" s="2898"/>
      <c r="AN43" s="2898"/>
      <c r="AO43" s="2898"/>
      <c r="AP43" s="2898"/>
      <c r="AQ43" s="2898"/>
      <c r="AR43" s="2898"/>
    </row>
    <row r="44" spans="1:67" ht="14.25">
      <c r="A44" s="1920" t="s">
        <v>1922</v>
      </c>
      <c r="B44" s="124">
        <v>7.0000000000000007E-2</v>
      </c>
      <c r="C44" s="3032" t="s">
        <v>3048</v>
      </c>
      <c r="D44" s="2903"/>
      <c r="E44" s="2900"/>
      <c r="F44" s="2900"/>
      <c r="G44" s="2900"/>
      <c r="H44" s="2900"/>
      <c r="I44" s="2900"/>
      <c r="J44" s="2900"/>
      <c r="K44" s="2899"/>
      <c r="L44" s="2899"/>
      <c r="M44" s="2898"/>
      <c r="N44" s="2898"/>
      <c r="O44" s="2898"/>
      <c r="P44" s="2898"/>
      <c r="Q44" s="2898"/>
      <c r="R44" s="2898"/>
      <c r="S44" s="2898"/>
      <c r="T44" s="2898"/>
      <c r="U44" s="2898"/>
      <c r="V44" s="2898"/>
      <c r="W44" s="2898"/>
      <c r="X44" s="2898"/>
      <c r="Y44" s="2898"/>
      <c r="Z44" s="2898"/>
      <c r="AA44" s="2898"/>
      <c r="AB44" s="2898"/>
      <c r="AC44" s="2898"/>
      <c r="AD44" s="2898"/>
      <c r="AE44" s="2898"/>
      <c r="AF44" s="2898"/>
      <c r="AG44" s="2898"/>
      <c r="AH44" s="2898"/>
      <c r="AI44" s="2898"/>
      <c r="AJ44" s="2898"/>
      <c r="AK44" s="2898"/>
      <c r="AL44" s="2898"/>
      <c r="AM44" s="2898"/>
      <c r="AN44" s="2898"/>
      <c r="AO44" s="2898"/>
      <c r="AP44" s="2898"/>
      <c r="AQ44" s="2898"/>
      <c r="AR44" s="2898"/>
    </row>
    <row r="45" spans="1:67" ht="14.25">
      <c r="A45" s="1920" t="s">
        <v>1923</v>
      </c>
      <c r="B45" s="122">
        <v>0.03</v>
      </c>
      <c r="C45" s="3031" t="s">
        <v>3040</v>
      </c>
      <c r="D45" s="2903"/>
      <c r="E45" s="2900"/>
      <c r="F45" s="2900"/>
      <c r="G45" s="2900"/>
      <c r="H45" s="2900"/>
      <c r="I45" s="2900"/>
      <c r="J45" s="2900"/>
      <c r="K45" s="2899"/>
      <c r="L45" s="2899"/>
      <c r="M45" s="2898"/>
      <c r="N45" s="2898"/>
      <c r="O45" s="2898"/>
      <c r="P45" s="2898"/>
      <c r="Q45" s="2898"/>
      <c r="R45" s="2898"/>
      <c r="S45" s="2898"/>
      <c r="T45" s="2898"/>
      <c r="U45" s="2898"/>
      <c r="V45" s="2898"/>
      <c r="W45" s="2898"/>
      <c r="X45" s="2898"/>
      <c r="Y45" s="2898"/>
      <c r="Z45" s="2898"/>
      <c r="AA45" s="2898"/>
      <c r="AB45" s="2898"/>
      <c r="AC45" s="2898"/>
      <c r="AD45" s="2898"/>
      <c r="AE45" s="2898"/>
      <c r="AF45" s="2898"/>
      <c r="AG45" s="2898"/>
      <c r="AH45" s="2898"/>
      <c r="AI45" s="2898"/>
      <c r="AJ45" s="2898"/>
      <c r="AK45" s="2898"/>
      <c r="AL45" s="2898"/>
      <c r="AM45" s="2898"/>
      <c r="AN45" s="2898"/>
      <c r="AO45" s="2898"/>
      <c r="AP45" s="2898"/>
      <c r="AQ45" s="2898"/>
      <c r="AR45" s="2898"/>
    </row>
    <row r="46" spans="1:67" ht="14.25">
      <c r="A46" s="1920" t="s">
        <v>1924</v>
      </c>
      <c r="B46" s="122">
        <v>0.02</v>
      </c>
      <c r="C46" s="3031" t="s">
        <v>3041</v>
      </c>
      <c r="D46" s="2903"/>
      <c r="E46" s="2900"/>
      <c r="F46" s="2900"/>
      <c r="G46" s="2900"/>
      <c r="H46" s="2900"/>
      <c r="I46" s="2900"/>
      <c r="J46" s="2900"/>
      <c r="K46" s="2899"/>
      <c r="L46" s="2899"/>
      <c r="M46" s="2898"/>
      <c r="N46" s="2898"/>
      <c r="O46" s="2898"/>
      <c r="P46" s="2898"/>
      <c r="Q46" s="2898"/>
      <c r="R46" s="2898"/>
      <c r="S46" s="2898"/>
      <c r="T46" s="2898"/>
      <c r="U46" s="2898"/>
      <c r="V46" s="2898"/>
      <c r="W46" s="2898"/>
      <c r="X46" s="2898"/>
      <c r="Y46" s="2898"/>
      <c r="Z46" s="2898"/>
      <c r="AA46" s="2898"/>
      <c r="AB46" s="2898"/>
      <c r="AC46" s="2898"/>
      <c r="AD46" s="2898"/>
      <c r="AE46" s="2898"/>
      <c r="AF46" s="2898"/>
      <c r="AG46" s="2898"/>
      <c r="AH46" s="2898"/>
      <c r="AI46" s="2898"/>
      <c r="AJ46" s="2898"/>
      <c r="AK46" s="2898"/>
      <c r="AL46" s="2898"/>
      <c r="AM46" s="2898"/>
      <c r="AN46" s="2898"/>
      <c r="AO46" s="2898"/>
      <c r="AP46" s="2898"/>
      <c r="AQ46" s="2898"/>
      <c r="AR46" s="2898"/>
    </row>
    <row r="47" spans="1:67" ht="15" thickBot="1">
      <c r="A47" s="1921" t="s">
        <v>1925</v>
      </c>
      <c r="B47" s="125"/>
      <c r="C47" s="3034" t="s">
        <v>3049</v>
      </c>
      <c r="D47" s="2903"/>
      <c r="E47" s="2900"/>
      <c r="F47" s="2900"/>
      <c r="G47" s="2900"/>
      <c r="H47" s="2900"/>
      <c r="I47" s="2900"/>
      <c r="J47" s="2900"/>
      <c r="K47" s="2899"/>
      <c r="L47" s="2899"/>
      <c r="M47" s="2898"/>
      <c r="N47" s="2898"/>
      <c r="O47" s="2898"/>
      <c r="P47" s="2898"/>
      <c r="Q47" s="2898"/>
      <c r="R47" s="2898"/>
      <c r="S47" s="2898"/>
      <c r="T47" s="2898"/>
      <c r="U47" s="2898"/>
      <c r="V47" s="2898"/>
      <c r="W47" s="2898"/>
      <c r="X47" s="2898"/>
      <c r="Y47" s="2898"/>
      <c r="Z47" s="2898"/>
      <c r="AA47" s="2898"/>
      <c r="AB47" s="2898"/>
      <c r="AC47" s="2898"/>
      <c r="AD47" s="2898"/>
      <c r="AE47" s="2898"/>
      <c r="AF47" s="2898"/>
      <c r="AG47" s="2898"/>
      <c r="AH47" s="2898"/>
      <c r="AI47" s="2898"/>
      <c r="AJ47" s="2898"/>
      <c r="AK47" s="2898"/>
      <c r="AL47" s="2898"/>
      <c r="AM47" s="2898"/>
      <c r="AN47" s="2898"/>
      <c r="AO47" s="2898"/>
      <c r="AP47" s="2898"/>
      <c r="AQ47" s="2898"/>
      <c r="AR47" s="2898"/>
    </row>
    <row r="48" spans="1:67" ht="14.25">
      <c r="A48" s="1922" t="s">
        <v>1926</v>
      </c>
      <c r="B48" s="126">
        <v>0.03</v>
      </c>
      <c r="C48" s="3031" t="s">
        <v>3040</v>
      </c>
      <c r="D48" s="2903"/>
      <c r="E48" s="2900"/>
      <c r="F48" s="2900"/>
      <c r="G48" s="2900"/>
      <c r="H48" s="2900"/>
      <c r="I48" s="2900"/>
      <c r="J48" s="2900"/>
      <c r="K48" s="2899"/>
      <c r="L48" s="2899"/>
      <c r="M48" s="2898"/>
      <c r="N48" s="2898"/>
      <c r="O48" s="2898"/>
      <c r="P48" s="2898"/>
      <c r="Q48" s="2898"/>
      <c r="R48" s="2898"/>
      <c r="S48" s="2898"/>
      <c r="T48" s="2898"/>
      <c r="U48" s="2898"/>
      <c r="V48" s="2898"/>
      <c r="W48" s="2898"/>
      <c r="X48" s="2898"/>
      <c r="Y48" s="2898"/>
      <c r="Z48" s="2898"/>
      <c r="AA48" s="2898"/>
      <c r="AB48" s="2898"/>
      <c r="AC48" s="2898"/>
      <c r="AD48" s="2898"/>
      <c r="AE48" s="2898"/>
      <c r="AF48" s="2898"/>
      <c r="AG48" s="2898"/>
      <c r="AH48" s="2898"/>
      <c r="AI48" s="2898"/>
      <c r="AJ48" s="2898"/>
      <c r="AK48" s="2898"/>
      <c r="AL48" s="2898"/>
      <c r="AM48" s="2898"/>
      <c r="AN48" s="2898"/>
      <c r="AO48" s="2898"/>
      <c r="AP48" s="2898"/>
      <c r="AQ48" s="2898"/>
      <c r="AR48" s="2898"/>
    </row>
    <row r="49" spans="1:44" ht="15" thickBot="1">
      <c r="A49" s="1918" t="s">
        <v>1927</v>
      </c>
      <c r="B49" s="122">
        <v>5.0000000000000001E-4</v>
      </c>
      <c r="C49" s="3031" t="s">
        <v>3042</v>
      </c>
      <c r="D49" s="2903"/>
      <c r="E49" s="2900"/>
      <c r="F49" s="2900"/>
      <c r="G49" s="2900"/>
      <c r="H49" s="2900"/>
      <c r="I49" s="2900"/>
      <c r="J49" s="2900"/>
      <c r="K49" s="2899"/>
      <c r="L49" s="2899"/>
      <c r="M49" s="2898"/>
      <c r="N49" s="2898"/>
      <c r="O49" s="2898"/>
      <c r="P49" s="2898"/>
      <c r="Q49" s="2898"/>
      <c r="R49" s="2898"/>
      <c r="S49" s="2898"/>
      <c r="T49" s="2898"/>
      <c r="U49" s="2898"/>
      <c r="V49" s="2898"/>
      <c r="W49" s="2898"/>
      <c r="X49" s="2898"/>
      <c r="Y49" s="2898"/>
      <c r="Z49" s="2898"/>
      <c r="AA49" s="2898"/>
      <c r="AB49" s="2898"/>
      <c r="AC49" s="2898"/>
      <c r="AD49" s="2898"/>
      <c r="AE49" s="2898"/>
      <c r="AF49" s="2898"/>
      <c r="AG49" s="2898"/>
      <c r="AH49" s="2898"/>
      <c r="AI49" s="2898"/>
      <c r="AJ49" s="2898"/>
      <c r="AK49" s="2898"/>
      <c r="AL49" s="2898"/>
      <c r="AM49" s="2898"/>
      <c r="AN49" s="2898"/>
      <c r="AO49" s="2898"/>
      <c r="AP49" s="2898"/>
      <c r="AQ49" s="2898"/>
      <c r="AR49" s="2898"/>
    </row>
    <row r="50" spans="1:44" ht="14.25">
      <c r="A50" s="1923" t="s">
        <v>1928</v>
      </c>
      <c r="B50" s="127">
        <v>1.2E-2</v>
      </c>
      <c r="C50" s="2886"/>
      <c r="D50" s="2903"/>
      <c r="E50" s="2900"/>
      <c r="F50" s="2900"/>
      <c r="G50" s="2900"/>
      <c r="H50" s="2900"/>
      <c r="I50" s="2900"/>
      <c r="J50" s="2900"/>
      <c r="K50" s="2899"/>
      <c r="L50" s="2899"/>
      <c r="M50" s="2898"/>
      <c r="N50" s="2898"/>
      <c r="O50" s="2898"/>
      <c r="P50" s="2898"/>
      <c r="Q50" s="2898"/>
      <c r="R50" s="2898"/>
      <c r="S50" s="2898"/>
      <c r="T50" s="2898"/>
      <c r="U50" s="2898"/>
      <c r="V50" s="2898"/>
      <c r="W50" s="2898"/>
      <c r="X50" s="2898"/>
      <c r="Y50" s="2898"/>
      <c r="Z50" s="2898"/>
      <c r="AA50" s="2898"/>
      <c r="AB50" s="2898"/>
      <c r="AC50" s="2898"/>
      <c r="AD50" s="2898"/>
      <c r="AE50" s="2898"/>
      <c r="AF50" s="2898"/>
      <c r="AG50" s="2898"/>
      <c r="AH50" s="2898"/>
      <c r="AI50" s="2898"/>
      <c r="AJ50" s="2898"/>
      <c r="AK50" s="2898"/>
      <c r="AL50" s="2898"/>
      <c r="AM50" s="2898"/>
      <c r="AN50" s="2898"/>
      <c r="AO50" s="2898"/>
      <c r="AP50" s="2898"/>
      <c r="AQ50" s="2898"/>
      <c r="AR50" s="2898"/>
    </row>
    <row r="51" spans="1:44" ht="15" thickBot="1">
      <c r="A51" s="1916" t="s">
        <v>1929</v>
      </c>
      <c r="B51" s="128">
        <v>0.12</v>
      </c>
      <c r="C51" s="2886"/>
      <c r="D51" s="2903"/>
      <c r="E51" s="2900"/>
      <c r="F51" s="2900"/>
      <c r="G51" s="2900"/>
      <c r="H51" s="2900"/>
      <c r="I51" s="2900"/>
      <c r="J51" s="2900"/>
      <c r="K51" s="2899"/>
      <c r="L51" s="2899"/>
      <c r="M51" s="2898"/>
      <c r="N51" s="2898"/>
      <c r="O51" s="2898"/>
      <c r="P51" s="2898"/>
      <c r="Q51" s="2898"/>
      <c r="R51" s="2898"/>
      <c r="S51" s="2898"/>
      <c r="T51" s="2898"/>
      <c r="U51" s="2898"/>
      <c r="V51" s="2898"/>
      <c r="W51" s="2898"/>
      <c r="X51" s="2898"/>
      <c r="Y51" s="2898"/>
      <c r="Z51" s="2898"/>
      <c r="AA51" s="2898"/>
      <c r="AB51" s="2898"/>
      <c r="AC51" s="2898"/>
      <c r="AD51" s="2898"/>
      <c r="AE51" s="2898"/>
      <c r="AF51" s="2898"/>
      <c r="AG51" s="2898"/>
      <c r="AH51" s="2898"/>
      <c r="AI51" s="2898"/>
      <c r="AJ51" s="2898"/>
      <c r="AK51" s="2898"/>
      <c r="AL51" s="2898"/>
      <c r="AM51" s="2898"/>
      <c r="AN51" s="2898"/>
      <c r="AO51" s="2898"/>
      <c r="AP51" s="2898"/>
      <c r="AQ51" s="2898"/>
      <c r="AR51" s="2898"/>
    </row>
    <row r="52" spans="1:44" ht="14.25">
      <c r="A52" s="1923" t="s">
        <v>1930</v>
      </c>
      <c r="B52" s="129">
        <f>SUMIF(A54:A63,B53,B54:B63)</f>
        <v>30</v>
      </c>
      <c r="C52" s="2886"/>
      <c r="D52" s="2903"/>
      <c r="E52" s="2900"/>
      <c r="F52" s="2900"/>
      <c r="G52" s="2900"/>
      <c r="H52" s="2900"/>
      <c r="I52" s="2900"/>
      <c r="J52" s="2900"/>
      <c r="K52" s="2899"/>
      <c r="L52" s="2899"/>
      <c r="M52" s="2898"/>
      <c r="N52" s="2898"/>
      <c r="O52" s="2898"/>
      <c r="P52" s="2898"/>
      <c r="Q52" s="2898"/>
      <c r="R52" s="2898"/>
      <c r="S52" s="2898"/>
      <c r="T52" s="2898"/>
      <c r="U52" s="2898"/>
      <c r="V52" s="2898"/>
      <c r="W52" s="2898"/>
      <c r="X52" s="2898"/>
      <c r="Y52" s="2898"/>
      <c r="Z52" s="2898"/>
      <c r="AA52" s="2898"/>
      <c r="AB52" s="2898"/>
      <c r="AC52" s="2898"/>
      <c r="AD52" s="2898"/>
      <c r="AE52" s="2898"/>
      <c r="AF52" s="2898"/>
      <c r="AG52" s="2898"/>
      <c r="AH52" s="2898"/>
      <c r="AI52" s="2898"/>
      <c r="AJ52" s="2898"/>
      <c r="AK52" s="2898"/>
      <c r="AL52" s="2898"/>
      <c r="AM52" s="2898"/>
      <c r="AN52" s="2898"/>
      <c r="AO52" s="2898"/>
      <c r="AP52" s="2898"/>
      <c r="AQ52" s="2898"/>
      <c r="AR52" s="2898"/>
    </row>
    <row r="53" spans="1:44" ht="27">
      <c r="A53" s="1915" t="s">
        <v>1931</v>
      </c>
      <c r="B53" s="1924" t="s">
        <v>212</v>
      </c>
      <c r="C53" s="2886" t="s">
        <v>1932</v>
      </c>
      <c r="D53" s="3033" t="s">
        <v>3046</v>
      </c>
      <c r="E53" s="2900"/>
      <c r="F53" s="2900"/>
      <c r="G53" s="2900"/>
      <c r="H53" s="2900"/>
      <c r="I53" s="2900"/>
      <c r="J53" s="2900"/>
      <c r="K53" s="2899"/>
      <c r="L53" s="2899"/>
      <c r="M53" s="2898"/>
      <c r="N53" s="2898"/>
      <c r="O53" s="2898"/>
      <c r="P53" s="2898"/>
      <c r="Q53" s="2898"/>
      <c r="R53" s="2898"/>
      <c r="S53" s="2898"/>
      <c r="T53" s="2898"/>
      <c r="U53" s="2898"/>
      <c r="V53" s="2898"/>
      <c r="W53" s="2898"/>
      <c r="X53" s="2898"/>
      <c r="Y53" s="2898"/>
      <c r="Z53" s="2898"/>
      <c r="AA53" s="2898"/>
      <c r="AB53" s="2898"/>
      <c r="AC53" s="2898"/>
      <c r="AD53" s="2898"/>
      <c r="AE53" s="2898"/>
      <c r="AF53" s="2898"/>
      <c r="AG53" s="2898"/>
      <c r="AH53" s="2898"/>
      <c r="AI53" s="2898"/>
      <c r="AJ53" s="2898"/>
      <c r="AK53" s="2898"/>
      <c r="AL53" s="2898"/>
      <c r="AM53" s="2898"/>
      <c r="AN53" s="2898"/>
      <c r="AO53" s="2898"/>
      <c r="AP53" s="2898"/>
      <c r="AQ53" s="2898"/>
      <c r="AR53" s="2898"/>
    </row>
    <row r="54" spans="1:44" ht="14.25">
      <c r="A54" s="1925" t="s">
        <v>1933</v>
      </c>
      <c r="B54" s="80">
        <v>30</v>
      </c>
      <c r="C54" s="2886">
        <v>30</v>
      </c>
      <c r="D54" s="2903"/>
      <c r="E54" s="2900"/>
      <c r="F54" s="2900"/>
      <c r="G54" s="2900"/>
      <c r="H54" s="2900"/>
      <c r="I54" s="2900"/>
      <c r="J54" s="2900"/>
      <c r="K54" s="2899"/>
      <c r="L54" s="2899"/>
      <c r="M54" s="2898"/>
      <c r="N54" s="2898"/>
      <c r="O54" s="2898"/>
      <c r="P54" s="2898"/>
      <c r="Q54" s="2898"/>
      <c r="R54" s="2898"/>
      <c r="S54" s="2898"/>
      <c r="T54" s="2898"/>
      <c r="U54" s="2898"/>
      <c r="V54" s="2898"/>
      <c r="W54" s="2898"/>
      <c r="X54" s="2898"/>
      <c r="Y54" s="2898"/>
      <c r="Z54" s="2898"/>
      <c r="AA54" s="2898"/>
      <c r="AB54" s="2898"/>
      <c r="AC54" s="2898"/>
      <c r="AD54" s="2898"/>
      <c r="AE54" s="2898"/>
      <c r="AF54" s="2898"/>
      <c r="AG54" s="2898"/>
      <c r="AH54" s="2898"/>
      <c r="AI54" s="2898"/>
      <c r="AJ54" s="2898"/>
      <c r="AK54" s="2898"/>
      <c r="AL54" s="2898"/>
      <c r="AM54" s="2898"/>
      <c r="AN54" s="2898"/>
      <c r="AO54" s="2898"/>
      <c r="AP54" s="2898"/>
      <c r="AQ54" s="2898"/>
      <c r="AR54" s="2898"/>
    </row>
    <row r="55" spans="1:44" ht="14.25">
      <c r="A55" s="1925" t="s">
        <v>1934</v>
      </c>
      <c r="B55" s="80"/>
      <c r="C55" s="2886">
        <v>24</v>
      </c>
      <c r="D55" s="2903"/>
      <c r="E55" s="2900"/>
      <c r="F55" s="2900"/>
      <c r="G55" s="2900"/>
      <c r="H55" s="2900"/>
      <c r="I55" s="2901"/>
      <c r="J55" s="2900"/>
      <c r="K55" s="2899"/>
      <c r="L55" s="2899"/>
      <c r="M55" s="2898"/>
      <c r="N55" s="2898"/>
      <c r="O55" s="2898"/>
      <c r="P55" s="2898"/>
      <c r="Q55" s="2898"/>
      <c r="R55" s="2898"/>
      <c r="S55" s="2898"/>
      <c r="T55" s="2898"/>
      <c r="U55" s="2898"/>
      <c r="V55" s="2898"/>
      <c r="W55" s="2898"/>
      <c r="X55" s="2898"/>
      <c r="Y55" s="2898"/>
      <c r="Z55" s="2898"/>
      <c r="AA55" s="2898"/>
      <c r="AB55" s="2898"/>
      <c r="AC55" s="2898"/>
      <c r="AD55" s="2898"/>
      <c r="AE55" s="2898"/>
      <c r="AF55" s="2898"/>
      <c r="AG55" s="2898"/>
      <c r="AH55" s="2898"/>
      <c r="AI55" s="2898"/>
      <c r="AJ55" s="2898"/>
      <c r="AK55" s="2898"/>
      <c r="AL55" s="2898"/>
      <c r="AM55" s="2898"/>
      <c r="AN55" s="2898"/>
      <c r="AO55" s="2898"/>
      <c r="AP55" s="2898"/>
      <c r="AQ55" s="2898"/>
      <c r="AR55" s="2898"/>
    </row>
    <row r="56" spans="1:44" ht="14.25">
      <c r="A56" s="1925" t="s">
        <v>1935</v>
      </c>
      <c r="B56" s="80"/>
      <c r="C56" s="2886">
        <v>18</v>
      </c>
      <c r="D56" s="2903"/>
      <c r="E56" s="2900"/>
      <c r="F56" s="2900"/>
      <c r="G56" s="2900"/>
      <c r="H56" s="2900"/>
      <c r="I56" s="2900"/>
      <c r="J56" s="2900"/>
      <c r="K56" s="2899"/>
      <c r="L56" s="2899"/>
      <c r="M56" s="2898"/>
      <c r="N56" s="2898"/>
      <c r="O56" s="2898"/>
      <c r="P56" s="2898"/>
      <c r="Q56" s="2898"/>
      <c r="R56" s="2898"/>
      <c r="S56" s="2898"/>
      <c r="T56" s="2898"/>
      <c r="U56" s="2898"/>
      <c r="V56" s="2898"/>
      <c r="W56" s="2898"/>
      <c r="X56" s="2898"/>
      <c r="Y56" s="2898"/>
      <c r="Z56" s="2898"/>
      <c r="AA56" s="2898"/>
      <c r="AB56" s="2898"/>
      <c r="AC56" s="2898"/>
      <c r="AD56" s="2898"/>
      <c r="AE56" s="2898"/>
      <c r="AF56" s="2898"/>
      <c r="AG56" s="2898"/>
      <c r="AH56" s="2898"/>
      <c r="AI56" s="2898"/>
      <c r="AJ56" s="2898"/>
      <c r="AK56" s="2898"/>
      <c r="AL56" s="2898"/>
      <c r="AM56" s="2898"/>
      <c r="AN56" s="2898"/>
      <c r="AO56" s="2898"/>
      <c r="AP56" s="2898"/>
      <c r="AQ56" s="2898"/>
      <c r="AR56" s="2898"/>
    </row>
    <row r="57" spans="1:44" ht="14.25">
      <c r="A57" s="1925" t="s">
        <v>1936</v>
      </c>
      <c r="B57" s="80"/>
      <c r="C57" s="2886">
        <v>12</v>
      </c>
      <c r="D57" s="2903"/>
      <c r="E57" s="2900"/>
      <c r="F57" s="2900"/>
      <c r="G57" s="2900"/>
      <c r="H57" s="2900"/>
      <c r="I57" s="2900"/>
      <c r="J57" s="2900"/>
      <c r="K57" s="2899"/>
      <c r="L57" s="2899"/>
      <c r="M57" s="2898"/>
      <c r="N57" s="2898"/>
      <c r="O57" s="2898"/>
      <c r="P57" s="2898"/>
      <c r="Q57" s="2898"/>
      <c r="R57" s="2898"/>
      <c r="S57" s="2898"/>
      <c r="T57" s="2898"/>
      <c r="U57" s="2898"/>
      <c r="V57" s="2898"/>
      <c r="W57" s="2898"/>
      <c r="X57" s="2898"/>
      <c r="Y57" s="2898"/>
      <c r="Z57" s="2898"/>
      <c r="AA57" s="2898"/>
      <c r="AB57" s="2898"/>
      <c r="AC57" s="2898"/>
      <c r="AD57" s="2898"/>
      <c r="AE57" s="2898"/>
      <c r="AF57" s="2898"/>
      <c r="AG57" s="2898"/>
      <c r="AH57" s="2898"/>
      <c r="AI57" s="2898"/>
      <c r="AJ57" s="2898"/>
      <c r="AK57" s="2898"/>
      <c r="AL57" s="2898"/>
      <c r="AM57" s="2898"/>
      <c r="AN57" s="2898"/>
      <c r="AO57" s="2898"/>
      <c r="AP57" s="2898"/>
      <c r="AQ57" s="2898"/>
      <c r="AR57" s="2898"/>
    </row>
    <row r="58" spans="1:44" ht="14.25">
      <c r="A58" s="1925" t="s">
        <v>1937</v>
      </c>
      <c r="B58" s="80"/>
      <c r="C58" s="2886">
        <v>3</v>
      </c>
      <c r="D58" s="2903"/>
      <c r="E58" s="2900"/>
      <c r="F58" s="2900"/>
      <c r="G58" s="2900"/>
      <c r="H58" s="2900"/>
      <c r="I58" s="2900"/>
      <c r="J58" s="2900"/>
      <c r="K58" s="2899"/>
      <c r="L58" s="2899"/>
      <c r="M58" s="2898"/>
      <c r="N58" s="2898"/>
      <c r="O58" s="2898"/>
      <c r="P58" s="2898"/>
      <c r="Q58" s="2898"/>
      <c r="R58" s="2898"/>
      <c r="S58" s="2898"/>
      <c r="T58" s="2898"/>
      <c r="U58" s="2898"/>
      <c r="V58" s="2898"/>
      <c r="W58" s="2898"/>
      <c r="X58" s="2898"/>
      <c r="Y58" s="2898"/>
      <c r="Z58" s="2898"/>
      <c r="AA58" s="2898"/>
      <c r="AB58" s="2898"/>
      <c r="AC58" s="2898"/>
      <c r="AD58" s="2898"/>
      <c r="AE58" s="2898"/>
      <c r="AF58" s="2898"/>
      <c r="AG58" s="2898"/>
      <c r="AH58" s="2898"/>
      <c r="AI58" s="2898"/>
      <c r="AJ58" s="2898"/>
      <c r="AK58" s="2898"/>
      <c r="AL58" s="2898"/>
      <c r="AM58" s="2898"/>
      <c r="AN58" s="2898"/>
      <c r="AO58" s="2898"/>
      <c r="AP58" s="2898"/>
      <c r="AQ58" s="2898"/>
      <c r="AR58" s="2898"/>
    </row>
    <row r="59" spans="1:44" ht="14.25">
      <c r="A59" s="1925" t="s">
        <v>1938</v>
      </c>
      <c r="B59" s="80"/>
      <c r="C59" s="2886">
        <v>1.5</v>
      </c>
      <c r="D59" s="2903"/>
      <c r="E59" s="2900"/>
      <c r="F59" s="2900"/>
      <c r="G59" s="2900"/>
      <c r="H59" s="2900"/>
      <c r="I59" s="2900"/>
      <c r="J59" s="2900"/>
      <c r="K59" s="2899"/>
      <c r="L59" s="2899"/>
      <c r="M59" s="2898"/>
      <c r="N59" s="2898"/>
      <c r="O59" s="2898"/>
      <c r="P59" s="2898"/>
      <c r="Q59" s="2898"/>
      <c r="R59" s="2898"/>
      <c r="S59" s="2898"/>
      <c r="T59" s="2898"/>
      <c r="U59" s="2898"/>
      <c r="V59" s="2898"/>
      <c r="W59" s="2898"/>
      <c r="X59" s="2898"/>
      <c r="Y59" s="2898"/>
      <c r="Z59" s="2898"/>
      <c r="AA59" s="2898"/>
      <c r="AB59" s="2898"/>
      <c r="AC59" s="2898"/>
      <c r="AD59" s="2898"/>
      <c r="AE59" s="2898"/>
      <c r="AF59" s="2898"/>
      <c r="AG59" s="2898"/>
      <c r="AH59" s="2898"/>
      <c r="AI59" s="2898"/>
      <c r="AJ59" s="2898"/>
      <c r="AK59" s="2898"/>
      <c r="AL59" s="2898"/>
      <c r="AM59" s="2898"/>
      <c r="AN59" s="2898"/>
      <c r="AO59" s="2898"/>
      <c r="AP59" s="2898"/>
      <c r="AQ59" s="2898"/>
      <c r="AR59" s="2898"/>
    </row>
    <row r="60" spans="1:44" ht="14.25">
      <c r="A60" s="1925" t="s">
        <v>1939</v>
      </c>
      <c r="B60" s="80"/>
      <c r="C60" s="2900"/>
      <c r="D60" s="2903"/>
      <c r="E60" s="2900"/>
      <c r="F60" s="2900"/>
      <c r="G60" s="2900"/>
      <c r="H60" s="2900"/>
      <c r="I60" s="2900"/>
      <c r="J60" s="2900"/>
      <c r="K60" s="2899"/>
      <c r="L60" s="2899"/>
      <c r="M60" s="2898"/>
      <c r="N60" s="2898"/>
      <c r="O60" s="2898"/>
      <c r="P60" s="2898"/>
      <c r="Q60" s="2898"/>
      <c r="R60" s="2898"/>
      <c r="S60" s="2898"/>
      <c r="T60" s="2898"/>
      <c r="U60" s="2898"/>
      <c r="V60" s="2898"/>
      <c r="W60" s="2898"/>
      <c r="X60" s="2898"/>
      <c r="Y60" s="2898"/>
      <c r="Z60" s="2898"/>
      <c r="AA60" s="2898"/>
      <c r="AB60" s="2898"/>
      <c r="AC60" s="2898"/>
      <c r="AD60" s="2898"/>
      <c r="AE60" s="2898"/>
      <c r="AF60" s="2898"/>
      <c r="AG60" s="2898"/>
      <c r="AH60" s="2898"/>
      <c r="AI60" s="2898"/>
      <c r="AJ60" s="2898"/>
      <c r="AK60" s="2898"/>
      <c r="AL60" s="2898"/>
      <c r="AM60" s="2898"/>
      <c r="AN60" s="2898"/>
      <c r="AO60" s="2898"/>
      <c r="AP60" s="2898"/>
      <c r="AQ60" s="2898"/>
      <c r="AR60" s="2898"/>
    </row>
    <row r="61" spans="1:44" ht="14.25">
      <c r="A61" s="1925" t="s">
        <v>1940</v>
      </c>
      <c r="B61" s="80"/>
      <c r="C61" s="2900"/>
      <c r="D61" s="2903"/>
      <c r="E61" s="2900"/>
      <c r="F61" s="2900"/>
      <c r="G61" s="2900"/>
      <c r="H61" s="2900"/>
      <c r="I61" s="2900"/>
      <c r="J61" s="2900"/>
      <c r="K61" s="2899"/>
      <c r="L61" s="2899"/>
      <c r="M61" s="2898"/>
      <c r="N61" s="2898"/>
      <c r="O61" s="2898"/>
      <c r="P61" s="2898"/>
      <c r="Q61" s="2898"/>
      <c r="R61" s="2898"/>
      <c r="S61" s="2898"/>
      <c r="T61" s="2898"/>
      <c r="U61" s="2898"/>
      <c r="V61" s="2898"/>
      <c r="W61" s="2898"/>
      <c r="X61" s="2898"/>
      <c r="Y61" s="2898"/>
      <c r="Z61" s="2898"/>
      <c r="AA61" s="2898"/>
      <c r="AB61" s="2898"/>
      <c r="AC61" s="2898"/>
      <c r="AD61" s="2898"/>
      <c r="AE61" s="2898"/>
      <c r="AF61" s="2898"/>
      <c r="AG61" s="2898"/>
      <c r="AH61" s="2898"/>
      <c r="AI61" s="2898"/>
      <c r="AJ61" s="2898"/>
      <c r="AK61" s="2898"/>
      <c r="AL61" s="2898"/>
      <c r="AM61" s="2898"/>
      <c r="AN61" s="2898"/>
      <c r="AO61" s="2898"/>
      <c r="AP61" s="2898"/>
      <c r="AQ61" s="2898"/>
      <c r="AR61" s="2898"/>
    </row>
    <row r="62" spans="1:44" ht="14.25">
      <c r="A62" s="1925" t="s">
        <v>1941</v>
      </c>
      <c r="B62" s="80"/>
      <c r="C62" s="2900"/>
      <c r="D62" s="2903"/>
      <c r="E62" s="2900"/>
      <c r="F62" s="2900"/>
      <c r="G62" s="2900"/>
      <c r="H62" s="2900"/>
      <c r="I62" s="2900"/>
      <c r="J62" s="2900"/>
      <c r="K62" s="2899"/>
      <c r="L62" s="2899"/>
      <c r="M62" s="2898"/>
      <c r="N62" s="2898"/>
      <c r="O62" s="2898"/>
      <c r="P62" s="2898"/>
      <c r="Q62" s="2898"/>
      <c r="R62" s="2898"/>
      <c r="S62" s="2898"/>
      <c r="T62" s="2898"/>
      <c r="U62" s="2898"/>
      <c r="V62" s="2898"/>
      <c r="W62" s="2898"/>
      <c r="X62" s="2898"/>
      <c r="Y62" s="2898"/>
      <c r="Z62" s="2898"/>
      <c r="AA62" s="2898"/>
      <c r="AB62" s="2898"/>
      <c r="AC62" s="2898"/>
      <c r="AD62" s="2898"/>
      <c r="AE62" s="2898"/>
      <c r="AF62" s="2898"/>
      <c r="AG62" s="2898"/>
      <c r="AH62" s="2898"/>
      <c r="AI62" s="2898"/>
      <c r="AJ62" s="2898"/>
      <c r="AK62" s="2898"/>
      <c r="AL62" s="2898"/>
      <c r="AM62" s="2898"/>
      <c r="AN62" s="2898"/>
      <c r="AO62" s="2898"/>
      <c r="AP62" s="2898"/>
      <c r="AQ62" s="2898"/>
      <c r="AR62" s="2898"/>
    </row>
    <row r="63" spans="1:44" ht="15" thickBot="1">
      <c r="A63" s="1926" t="s">
        <v>1942</v>
      </c>
      <c r="B63" s="130"/>
      <c r="C63" s="2900"/>
      <c r="D63" s="2903"/>
      <c r="E63" s="2900"/>
      <c r="F63" s="2900"/>
      <c r="G63" s="2900"/>
      <c r="H63" s="2900"/>
      <c r="I63" s="2900"/>
      <c r="J63" s="2900"/>
      <c r="K63" s="2899"/>
      <c r="L63" s="2899"/>
      <c r="M63" s="2898"/>
      <c r="N63" s="2898"/>
      <c r="O63" s="2898"/>
      <c r="P63" s="2898"/>
      <c r="Q63" s="2898"/>
      <c r="R63" s="2898"/>
      <c r="S63" s="2898"/>
      <c r="T63" s="2898"/>
      <c r="U63" s="2898"/>
      <c r="V63" s="2898"/>
      <c r="W63" s="2898"/>
      <c r="X63" s="2898"/>
      <c r="Y63" s="2898"/>
      <c r="Z63" s="2898"/>
      <c r="AA63" s="2898"/>
      <c r="AB63" s="2898"/>
      <c r="AC63" s="2898"/>
      <c r="AD63" s="2898"/>
      <c r="AE63" s="2898"/>
      <c r="AF63" s="2898"/>
      <c r="AG63" s="2898"/>
      <c r="AH63" s="2898"/>
      <c r="AI63" s="2898"/>
      <c r="AJ63" s="2898"/>
      <c r="AK63" s="2898"/>
      <c r="AL63" s="2898"/>
      <c r="AM63" s="2898"/>
      <c r="AN63" s="2898"/>
      <c r="AO63" s="2898"/>
      <c r="AP63" s="2898"/>
      <c r="AQ63" s="2898"/>
      <c r="AR63" s="2898"/>
    </row>
    <row r="64" spans="1:44" s="901" customFormat="1">
      <c r="A64" s="2889"/>
      <c r="B64" s="2898"/>
      <c r="C64" s="2898"/>
      <c r="D64" s="2902"/>
      <c r="E64" s="2898"/>
      <c r="F64" s="2898"/>
      <c r="G64" s="2898"/>
      <c r="H64" s="2898"/>
      <c r="I64" s="2898"/>
      <c r="J64" s="2898"/>
      <c r="K64" s="2899"/>
      <c r="L64" s="2899"/>
      <c r="M64" s="2898"/>
      <c r="N64" s="2898"/>
      <c r="O64" s="2898"/>
      <c r="P64" s="2898"/>
      <c r="Q64" s="2898"/>
      <c r="R64" s="2898"/>
      <c r="S64" s="2898"/>
      <c r="T64" s="2898"/>
      <c r="U64" s="2898"/>
      <c r="V64" s="2898"/>
      <c r="W64" s="2898"/>
      <c r="X64" s="2898"/>
      <c r="Y64" s="2898"/>
      <c r="Z64" s="2898"/>
      <c r="AA64" s="2898"/>
      <c r="AB64" s="2898"/>
      <c r="AC64" s="2898"/>
      <c r="AD64" s="2898"/>
      <c r="AE64" s="2898"/>
      <c r="AF64" s="2898"/>
      <c r="AG64" s="2898"/>
      <c r="AH64" s="2898"/>
      <c r="AI64" s="2898"/>
      <c r="AJ64" s="2898"/>
      <c r="AK64" s="2898"/>
      <c r="AL64" s="2898"/>
      <c r="AM64" s="2898"/>
      <c r="AN64" s="2898"/>
      <c r="AO64" s="2898"/>
      <c r="AP64" s="2898"/>
      <c r="AQ64" s="2898"/>
      <c r="AR64" s="2898"/>
    </row>
    <row r="65" spans="1:44" s="901" customFormat="1">
      <c r="A65" s="2889"/>
      <c r="B65" s="2898"/>
      <c r="C65" s="2898"/>
      <c r="D65" s="2902"/>
      <c r="E65" s="2898"/>
      <c r="F65" s="2898"/>
      <c r="G65" s="2898"/>
      <c r="H65" s="2898"/>
      <c r="I65" s="2898"/>
      <c r="J65" s="2898"/>
      <c r="K65" s="2899"/>
      <c r="L65" s="2899"/>
      <c r="M65" s="2898"/>
      <c r="N65" s="2898"/>
      <c r="O65" s="2898"/>
      <c r="P65" s="2898"/>
      <c r="Q65" s="2898"/>
      <c r="R65" s="2898"/>
      <c r="S65" s="2898"/>
      <c r="T65" s="2898"/>
      <c r="U65" s="2898"/>
      <c r="V65" s="2898"/>
      <c r="W65" s="2898"/>
      <c r="X65" s="2898"/>
      <c r="Y65" s="2898"/>
      <c r="Z65" s="2898"/>
      <c r="AA65" s="2898"/>
      <c r="AB65" s="2898"/>
      <c r="AC65" s="2898"/>
      <c r="AD65" s="2898"/>
      <c r="AE65" s="2898"/>
      <c r="AF65" s="2898"/>
      <c r="AG65" s="2898"/>
      <c r="AH65" s="2898"/>
      <c r="AI65" s="2898"/>
      <c r="AJ65" s="2898"/>
      <c r="AK65" s="2898"/>
      <c r="AL65" s="2898"/>
      <c r="AM65" s="2898"/>
      <c r="AN65" s="2898"/>
      <c r="AO65" s="2898"/>
      <c r="AP65" s="2898"/>
      <c r="AQ65" s="2898"/>
      <c r="AR65" s="2898"/>
    </row>
    <row r="66" spans="1:44" s="901" customFormat="1">
      <c r="A66" s="2889"/>
      <c r="B66" s="2898"/>
      <c r="C66" s="2898"/>
      <c r="D66" s="2902"/>
      <c r="E66" s="2898"/>
      <c r="F66" s="2898"/>
      <c r="G66" s="2898"/>
      <c r="H66" s="2898"/>
      <c r="I66" s="2898"/>
      <c r="J66" s="2898"/>
      <c r="K66" s="2899"/>
      <c r="L66" s="2899"/>
      <c r="M66" s="2898"/>
      <c r="N66" s="2898"/>
      <c r="O66" s="2898"/>
      <c r="P66" s="2898"/>
      <c r="Q66" s="2898"/>
      <c r="R66" s="2898"/>
      <c r="S66" s="2898"/>
      <c r="T66" s="2898"/>
      <c r="U66" s="2898"/>
      <c r="V66" s="2898"/>
      <c r="W66" s="2898"/>
      <c r="X66" s="2898"/>
      <c r="Y66" s="2898"/>
      <c r="Z66" s="2898"/>
      <c r="AA66" s="2898"/>
      <c r="AB66" s="2898"/>
      <c r="AC66" s="2898"/>
      <c r="AD66" s="2898"/>
      <c r="AE66" s="2898"/>
      <c r="AF66" s="2898"/>
      <c r="AG66" s="2898"/>
      <c r="AH66" s="2898"/>
      <c r="AI66" s="2898"/>
      <c r="AJ66" s="2898"/>
      <c r="AK66" s="2898"/>
      <c r="AL66" s="2898"/>
      <c r="AM66" s="2898"/>
      <c r="AN66" s="2898"/>
      <c r="AO66" s="2898"/>
      <c r="AP66" s="2898"/>
      <c r="AQ66" s="2898"/>
      <c r="AR66" s="2898"/>
    </row>
    <row r="67" spans="1:44" s="901" customFormat="1">
      <c r="A67" s="2889"/>
      <c r="B67" s="2898"/>
      <c r="C67" s="2898"/>
      <c r="D67" s="2902"/>
      <c r="E67" s="2898"/>
      <c r="F67" s="2898"/>
      <c r="G67" s="2898"/>
      <c r="H67" s="2898"/>
      <c r="I67" s="2898"/>
      <c r="J67" s="2898"/>
      <c r="K67" s="2899"/>
      <c r="L67" s="2899"/>
      <c r="M67" s="2898"/>
      <c r="N67" s="2898"/>
      <c r="O67" s="2898"/>
      <c r="P67" s="2898"/>
      <c r="Q67" s="2898"/>
      <c r="R67" s="2898"/>
      <c r="S67" s="2898"/>
      <c r="T67" s="2898"/>
      <c r="U67" s="2898"/>
      <c r="V67" s="2898"/>
      <c r="W67" s="2898"/>
      <c r="X67" s="2898"/>
      <c r="Y67" s="2898"/>
      <c r="Z67" s="2898"/>
      <c r="AA67" s="2898"/>
      <c r="AB67" s="2898"/>
      <c r="AC67" s="2898"/>
      <c r="AD67" s="2898"/>
      <c r="AE67" s="2898"/>
      <c r="AF67" s="2898"/>
      <c r="AG67" s="2898"/>
      <c r="AH67" s="2898"/>
      <c r="AI67" s="2898"/>
      <c r="AJ67" s="2898"/>
      <c r="AK67" s="2898"/>
      <c r="AL67" s="2898"/>
      <c r="AM67" s="2898"/>
      <c r="AN67" s="2898"/>
      <c r="AO67" s="2898"/>
      <c r="AP67" s="2898"/>
      <c r="AQ67" s="2898"/>
      <c r="AR67" s="2898"/>
    </row>
    <row r="68" spans="1:44" s="901" customFormat="1">
      <c r="A68" s="2889"/>
      <c r="B68" s="2898"/>
      <c r="C68" s="2898"/>
      <c r="D68" s="2902"/>
      <c r="E68" s="2898"/>
      <c r="F68" s="2898"/>
      <c r="G68" s="2898"/>
      <c r="H68" s="2898"/>
      <c r="I68" s="2898"/>
      <c r="J68" s="2898"/>
      <c r="K68" s="2899"/>
      <c r="L68" s="2899"/>
      <c r="M68" s="2898"/>
      <c r="N68" s="2898"/>
      <c r="O68" s="2898"/>
      <c r="P68" s="2898"/>
      <c r="Q68" s="2898"/>
      <c r="R68" s="2898"/>
      <c r="S68" s="2898"/>
      <c r="T68" s="2898"/>
      <c r="U68" s="2898"/>
      <c r="V68" s="2898"/>
      <c r="W68" s="2898"/>
      <c r="X68" s="2898"/>
      <c r="Y68" s="2898"/>
      <c r="Z68" s="2898"/>
      <c r="AA68" s="2898"/>
      <c r="AB68" s="2898"/>
      <c r="AC68" s="2898"/>
      <c r="AD68" s="2898"/>
      <c r="AE68" s="2898"/>
      <c r="AF68" s="2898"/>
      <c r="AG68" s="2898"/>
      <c r="AH68" s="2898"/>
      <c r="AI68" s="2898"/>
      <c r="AJ68" s="2898"/>
      <c r="AK68" s="2898"/>
      <c r="AL68" s="2898"/>
      <c r="AM68" s="2898"/>
      <c r="AN68" s="2898"/>
      <c r="AO68" s="2898"/>
      <c r="AP68" s="2898"/>
      <c r="AQ68" s="2898"/>
      <c r="AR68" s="2898"/>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E7" sqref="E7"/>
    </sheetView>
  </sheetViews>
  <sheetFormatPr defaultColWidth="9" defaultRowHeight="14.25"/>
  <cols>
    <col min="1" max="1" width="9.5" style="1872" customWidth="1"/>
    <col min="2" max="2" width="24.5" style="1757" customWidth="1"/>
    <col min="3" max="3" width="24.5" style="2734" customWidth="1"/>
    <col min="4" max="4" width="2.625" style="2734" customWidth="1"/>
    <col min="5" max="5" width="5.875" style="2734" customWidth="1"/>
    <col min="6" max="6" width="27" style="1757" customWidth="1"/>
    <col min="7" max="7" width="27" style="2735" customWidth="1"/>
    <col min="8" max="8" width="11.875" style="2715" customWidth="1"/>
    <col min="9" max="9" width="16.75" style="2716" customWidth="1"/>
    <col min="10" max="10" width="2.625" style="2715" customWidth="1"/>
    <col min="11" max="11" width="11.875" style="2715" customWidth="1"/>
    <col min="12" max="12" width="16.75" style="2716" customWidth="1"/>
    <col min="13" max="13" width="2.625" style="2715" customWidth="1"/>
    <col min="14" max="14" width="11.875" style="2715" customWidth="1"/>
    <col min="15" max="15" width="16.75" style="2716" customWidth="1"/>
    <col min="16" max="16" width="2.625" style="2715" customWidth="1"/>
    <col min="17" max="17" width="11.875" style="2715" customWidth="1"/>
    <col min="18" max="18" width="16.75" style="2717" customWidth="1"/>
    <col min="19" max="29" width="9" style="907"/>
    <col min="30" max="16384" width="9" style="1872"/>
  </cols>
  <sheetData>
    <row r="1" spans="1:29" s="2683" customFormat="1" ht="18.75" thickBot="1">
      <c r="A1" s="3593" t="s">
        <v>3026</v>
      </c>
      <c r="B1" s="3594"/>
      <c r="C1" s="3594"/>
      <c r="D1" s="3594"/>
      <c r="E1" s="3594"/>
      <c r="F1" s="3594"/>
      <c r="G1" s="3594"/>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3021</v>
      </c>
      <c r="D2" s="2687"/>
      <c r="E2" s="2684"/>
      <c r="F2" s="2688"/>
      <c r="G2" s="2686" t="s">
        <v>3022</v>
      </c>
      <c r="H2" s="907"/>
      <c r="I2" s="907"/>
      <c r="J2" s="907"/>
      <c r="K2" s="907"/>
      <c r="L2" s="907"/>
      <c r="M2" s="907"/>
      <c r="N2" s="907"/>
      <c r="O2" s="907"/>
      <c r="P2" s="907"/>
      <c r="Q2" s="907"/>
      <c r="R2" s="907"/>
    </row>
    <row r="3" spans="1:29" ht="48">
      <c r="A3" s="2667" t="s">
        <v>3023</v>
      </c>
      <c r="B3" s="2689" t="s">
        <v>2995</v>
      </c>
      <c r="C3" s="2690" t="s">
        <v>3024</v>
      </c>
      <c r="D3" s="2691"/>
      <c r="E3" s="2668" t="s">
        <v>3023</v>
      </c>
      <c r="F3" s="2692" t="s">
        <v>2996</v>
      </c>
      <c r="G3" s="2693" t="s">
        <v>3025</v>
      </c>
      <c r="H3" s="907"/>
      <c r="I3" s="907"/>
      <c r="J3" s="907"/>
      <c r="K3" s="907"/>
      <c r="L3" s="907"/>
      <c r="M3" s="907"/>
      <c r="N3" s="907"/>
      <c r="O3" s="907"/>
      <c r="P3" s="907"/>
      <c r="Q3" s="907"/>
      <c r="R3" s="907"/>
    </row>
    <row r="4" spans="1:29" ht="72">
      <c r="A4" s="2668"/>
      <c r="B4" s="329" t="s">
        <v>2997</v>
      </c>
      <c r="C4" s="3220" t="s">
        <v>3759</v>
      </c>
      <c r="D4" s="2691"/>
      <c r="E4" s="2694"/>
      <c r="F4" s="1557" t="s">
        <v>2998</v>
      </c>
      <c r="G4" s="2695" t="s">
        <v>2999</v>
      </c>
      <c r="H4" s="907"/>
      <c r="I4" s="907"/>
      <c r="J4" s="907"/>
      <c r="K4" s="907"/>
      <c r="L4" s="907"/>
      <c r="M4" s="907"/>
      <c r="N4" s="907"/>
      <c r="O4" s="907"/>
      <c r="P4" s="907"/>
      <c r="Q4" s="907"/>
      <c r="R4" s="907"/>
    </row>
    <row r="5" spans="1:29" ht="84">
      <c r="A5" s="2668"/>
      <c r="B5" s="329" t="s">
        <v>3000</v>
      </c>
      <c r="C5" s="3220" t="s">
        <v>3760</v>
      </c>
      <c r="D5" s="2691"/>
      <c r="E5" s="2694"/>
      <c r="F5" s="329" t="s">
        <v>3001</v>
      </c>
      <c r="G5" s="2695" t="s">
        <v>3002</v>
      </c>
      <c r="H5" s="907"/>
      <c r="I5" s="907"/>
      <c r="J5" s="907"/>
      <c r="K5" s="907"/>
      <c r="L5" s="907"/>
      <c r="M5" s="907"/>
      <c r="N5" s="907"/>
      <c r="O5" s="907"/>
      <c r="P5" s="907"/>
      <c r="Q5" s="907"/>
      <c r="R5" s="907"/>
    </row>
    <row r="6" spans="1:29" ht="96">
      <c r="A6" s="2668"/>
      <c r="B6" s="329" t="s">
        <v>3003</v>
      </c>
      <c r="C6" s="3133" t="s">
        <v>4199</v>
      </c>
      <c r="D6" s="2691"/>
      <c r="E6" s="2694"/>
      <c r="F6" s="329" t="s">
        <v>3004</v>
      </c>
      <c r="G6" s="2695" t="s">
        <v>3005</v>
      </c>
      <c r="H6" s="907"/>
      <c r="I6" s="907"/>
      <c r="J6" s="907"/>
      <c r="K6" s="907"/>
      <c r="L6" s="907"/>
      <c r="M6" s="907"/>
      <c r="N6" s="907"/>
      <c r="O6" s="907"/>
      <c r="P6" s="907"/>
      <c r="Q6" s="907"/>
      <c r="R6" s="907"/>
    </row>
    <row r="7" spans="1:29" ht="120.75" thickBot="1">
      <c r="A7" s="2668"/>
      <c r="B7" s="329" t="s">
        <v>3001</v>
      </c>
      <c r="C7" s="3133" t="s">
        <v>3761</v>
      </c>
      <c r="D7" s="2696"/>
      <c r="E7" s="2697"/>
      <c r="F7" s="2698" t="s">
        <v>3006</v>
      </c>
      <c r="G7" s="2699" t="s">
        <v>3007</v>
      </c>
      <c r="H7" s="907"/>
      <c r="I7" s="907"/>
      <c r="J7" s="907"/>
      <c r="K7" s="907"/>
      <c r="L7" s="907"/>
      <c r="M7" s="907"/>
      <c r="N7" s="907"/>
      <c r="O7" s="907"/>
      <c r="P7" s="907"/>
      <c r="Q7" s="907"/>
      <c r="R7" s="907"/>
    </row>
    <row r="8" spans="1:29" ht="24.75">
      <c r="A8" s="2668"/>
      <c r="B8" s="329" t="s">
        <v>3004</v>
      </c>
      <c r="C8" s="3219" t="s">
        <v>3758</v>
      </c>
      <c r="D8" s="2696"/>
      <c r="E8" s="2696"/>
      <c r="F8" s="2700"/>
      <c r="G8" s="2700"/>
      <c r="H8" s="907"/>
      <c r="I8" s="907"/>
      <c r="J8" s="907"/>
      <c r="K8" s="907"/>
      <c r="L8" s="907"/>
      <c r="M8" s="907"/>
      <c r="N8" s="907"/>
      <c r="O8" s="907"/>
      <c r="P8" s="907"/>
      <c r="Q8" s="907"/>
      <c r="R8" s="907"/>
    </row>
    <row r="9" spans="1:29" ht="24">
      <c r="A9" s="2668"/>
      <c r="B9" s="329" t="s">
        <v>3008</v>
      </c>
      <c r="C9" s="3220" t="s">
        <v>3764</v>
      </c>
      <c r="D9" s="2691"/>
      <c r="E9" s="2696"/>
      <c r="F9" s="2700"/>
      <c r="G9" s="2700"/>
      <c r="H9" s="907"/>
      <c r="I9" s="907"/>
      <c r="J9" s="907"/>
      <c r="K9" s="907"/>
      <c r="L9" s="907"/>
      <c r="M9" s="907"/>
      <c r="N9" s="907"/>
      <c r="O9" s="907"/>
      <c r="P9" s="907"/>
      <c r="Q9" s="907"/>
      <c r="R9" s="907"/>
    </row>
    <row r="10" spans="1:29" s="2705" customFormat="1" ht="15" thickBot="1">
      <c r="A10" s="2669"/>
      <c r="B10" s="2701" t="s">
        <v>3009</v>
      </c>
      <c r="C10" s="3221" t="s">
        <v>3762</v>
      </c>
      <c r="D10" s="2691"/>
      <c r="E10" s="2691"/>
      <c r="F10" s="2700"/>
      <c r="G10" s="2700"/>
      <c r="H10" s="2702"/>
      <c r="I10" s="2703"/>
      <c r="J10" s="2704"/>
      <c r="K10" s="2702"/>
      <c r="L10" s="2703"/>
      <c r="M10" s="2704"/>
      <c r="N10" s="2702"/>
      <c r="O10" s="2703"/>
      <c r="P10" s="2704"/>
      <c r="Q10" s="2702"/>
      <c r="R10" s="2703"/>
      <c r="S10" s="907"/>
      <c r="T10" s="907"/>
      <c r="U10" s="907"/>
      <c r="V10" s="907"/>
      <c r="W10" s="907"/>
      <c r="X10" s="907"/>
      <c r="Y10" s="907"/>
      <c r="Z10" s="907"/>
      <c r="AA10" s="907"/>
      <c r="AB10" s="907"/>
      <c r="AC10" s="907"/>
    </row>
    <row r="11" spans="1:29" s="2705" customFormat="1">
      <c r="A11" s="2706"/>
      <c r="B11" s="2696"/>
      <c r="C11" s="2691"/>
      <c r="D11" s="2691"/>
      <c r="E11" s="2691"/>
      <c r="F11" s="2696"/>
      <c r="G11" s="2707"/>
      <c r="H11" s="2702"/>
      <c r="I11" s="2703"/>
      <c r="J11" s="2704"/>
      <c r="K11" s="2702"/>
      <c r="L11" s="2703"/>
      <c r="M11" s="2704"/>
      <c r="N11" s="2702"/>
      <c r="O11" s="2703"/>
      <c r="P11" s="2704"/>
      <c r="Q11" s="2702"/>
      <c r="R11" s="2703"/>
      <c r="S11" s="907"/>
      <c r="T11" s="907"/>
      <c r="U11" s="907"/>
      <c r="V11" s="907"/>
      <c r="W11" s="907"/>
      <c r="X11" s="907"/>
      <c r="Y11" s="907"/>
      <c r="Z11" s="907"/>
      <c r="AA11" s="907"/>
      <c r="AB11" s="907"/>
      <c r="AC11" s="907"/>
    </row>
    <row r="12" spans="1:29" s="2683" customFormat="1" ht="18">
      <c r="A12" s="2706"/>
      <c r="B12" s="2696"/>
      <c r="C12" s="2691"/>
      <c r="D12" s="2708"/>
      <c r="E12" s="2691"/>
      <c r="F12" s="2696"/>
      <c r="G12" s="2707"/>
      <c r="H12" s="2709"/>
      <c r="I12" s="2710"/>
      <c r="J12" s="2709"/>
      <c r="K12" s="2709"/>
      <c r="L12" s="2711"/>
      <c r="M12" s="2709"/>
      <c r="N12" s="2712"/>
      <c r="O12" s="2713"/>
      <c r="P12" s="2712"/>
      <c r="Q12" s="2712"/>
      <c r="R12" s="2681"/>
      <c r="S12" s="2682"/>
      <c r="T12" s="2682"/>
      <c r="U12" s="2682"/>
      <c r="V12" s="2682"/>
      <c r="W12" s="2682"/>
      <c r="X12" s="2682"/>
      <c r="Y12" s="2682"/>
      <c r="Z12" s="2682"/>
      <c r="AA12" s="2682"/>
      <c r="AB12" s="2682"/>
      <c r="AC12" s="2682"/>
    </row>
    <row r="13" spans="1:29" ht="15.75" thickBot="1">
      <c r="A13" s="2714" t="s">
        <v>3027</v>
      </c>
      <c r="B13" s="2708"/>
      <c r="C13" s="2708"/>
      <c r="D13" s="2706"/>
      <c r="E13" s="2708"/>
      <c r="F13" s="2708"/>
      <c r="G13" s="2708"/>
    </row>
    <row r="14" spans="1:29" ht="15" thickBot="1">
      <c r="A14" s="2718"/>
      <c r="B14" s="2718"/>
      <c r="C14" s="2719" t="s">
        <v>3010</v>
      </c>
      <c r="D14" s="2691"/>
      <c r="E14" s="2720"/>
      <c r="F14" s="2720"/>
      <c r="G14" s="2686" t="s">
        <v>3011</v>
      </c>
    </row>
    <row r="15" spans="1:29" ht="51">
      <c r="A15" s="2670" t="s">
        <v>3012</v>
      </c>
      <c r="B15" s="2721" t="s">
        <v>2995</v>
      </c>
      <c r="C15" s="2722" t="str">
        <f>C3</f>
        <v>估价对象周边居住用地比例、居住小区规模和社区发展完善程度，综合评价居住社区成熟度一般</v>
      </c>
      <c r="D15" s="2691"/>
      <c r="E15" s="2671" t="s">
        <v>3013</v>
      </c>
      <c r="F15" s="2721" t="s">
        <v>3014</v>
      </c>
      <c r="G15" s="2723" t="str">
        <f>G3</f>
        <v>估价对象位于XX开发区，园区建设成熟度XX，产业集聚程度XX</v>
      </c>
    </row>
    <row r="16" spans="1:29" ht="76.5">
      <c r="A16" s="2672"/>
      <c r="B16" s="2724" t="s">
        <v>2997</v>
      </c>
      <c r="C16" s="2725" t="str">
        <f>C4</f>
        <v>估价对象位于东四商圈，位于商业类一级地价区，周边有隆福大厦、隆福广场、物美超市，东四大街、朝内大街沿街商业氛围成熟，人流量大，商业繁华度较好。</v>
      </c>
      <c r="D16" s="2691"/>
      <c r="E16" s="2673"/>
      <c r="F16" s="2726" t="s">
        <v>2998</v>
      </c>
      <c r="G16" s="2727" t="str">
        <f>G4</f>
        <v>估价对象周边道路状况、公共交通通达情况、停车便捷程度，综合评价交通便捷度较好</v>
      </c>
    </row>
    <row r="17" spans="1:18" ht="89.25">
      <c r="A17" s="2672"/>
      <c r="B17" s="2724" t="s">
        <v>3000</v>
      </c>
      <c r="C17" s="2725" t="str">
        <f>C5</f>
        <v>估价对象位于东四商圈，位于办公类一级地价区，有国家民航总局、国务院发展研究中心机关办公楼、隆福大厦由商场主体改写字楼，周边商业写字楼项目较少，没有形成聚集的写字楼办公区，办公集聚度一般。</v>
      </c>
      <c r="D17" s="2696"/>
      <c r="E17" s="2673"/>
      <c r="F17" s="2726" t="s">
        <v>3015</v>
      </c>
      <c r="G17" s="2728"/>
    </row>
    <row r="18" spans="1:18" ht="102">
      <c r="A18" s="2672"/>
      <c r="B18" s="2726" t="s">
        <v>3003</v>
      </c>
      <c r="C18" s="2727" t="str">
        <f>C6</f>
        <v>估价对象位于东四路口的东南角，紧临城市主干道-朝阳门内大街，西距东四南大街100米，距离地铁5号线（2007年通车）与6号线（2012年通车）东四站75米，多条公交线路通达，公共交通便利，停车便捷度好，综合评价交通便捷度较好。</v>
      </c>
      <c r="D18" s="2696"/>
      <c r="E18" s="2673"/>
      <c r="F18" s="2726" t="s">
        <v>3006</v>
      </c>
      <c r="G18" s="2727" t="str">
        <f>G7</f>
        <v>该园区内是否有污染型企业，绿化情况，卫生条件，整体环境状况判断</v>
      </c>
    </row>
    <row r="19" spans="1:18" ht="25.5">
      <c r="A19" s="2672"/>
      <c r="B19" s="2726" t="s">
        <v>3016</v>
      </c>
      <c r="C19" s="2728"/>
      <c r="D19" s="2691"/>
      <c r="E19" s="2673"/>
      <c r="F19" s="329" t="s">
        <v>3001</v>
      </c>
      <c r="G19" s="2727" t="str">
        <f>G5</f>
        <v>估价对象所在区域公共配套设施齐备情况</v>
      </c>
    </row>
    <row r="20" spans="1:18" ht="25.5">
      <c r="A20" s="2672"/>
      <c r="B20" s="2726" t="s">
        <v>3017</v>
      </c>
      <c r="C20" s="2725" t="str">
        <f>C9</f>
        <v>周边有隆福寺广场、东四清真寺等，自然及人文环境较好</v>
      </c>
      <c r="D20" s="2696"/>
      <c r="E20" s="2673"/>
      <c r="F20" s="329" t="s">
        <v>3004</v>
      </c>
      <c r="G20" s="2727" t="str">
        <f>G6</f>
        <v>估价对象所在区域基础设施水平</v>
      </c>
    </row>
    <row r="21" spans="1:18" ht="127.5">
      <c r="A21" s="2672"/>
      <c r="B21" s="329" t="s">
        <v>3001</v>
      </c>
      <c r="C21" s="2727" t="str">
        <f>C7</f>
        <v>估价对象所在区域有购物场所（隆福广场、物美超市等），教育机构（灯市口小学、北京市第一六六中学），医疗网点（北京市东城区口腔医院、北京市东城区朝阳门社区卫生服务中心），金融网点（中国邮政储蓄银行、中国工商银行、北京农商银行、广发银行），综合分析，公共配套设施齐备程度较好。</v>
      </c>
      <c r="D21" s="2691"/>
      <c r="E21" s="2673"/>
      <c r="F21" s="2726" t="s">
        <v>3018</v>
      </c>
      <c r="G21" s="2729"/>
    </row>
    <row r="22" spans="1:18" ht="13.5" customHeight="1">
      <c r="A22" s="2672"/>
      <c r="B22" s="329" t="s">
        <v>3004</v>
      </c>
      <c r="C22" s="2727" t="str">
        <f>C8</f>
        <v>估价对象所在区域基础设施水平-七通</v>
      </c>
      <c r="D22" s="2691"/>
      <c r="E22" s="2673"/>
      <c r="F22" s="2726" t="s">
        <v>3009</v>
      </c>
      <c r="G22" s="2728"/>
    </row>
    <row r="23" spans="1:18" s="907" customFormat="1" ht="15" thickBot="1">
      <c r="A23" s="2672"/>
      <c r="B23" s="2726" t="s">
        <v>3018</v>
      </c>
      <c r="C23" s="2729"/>
      <c r="D23" s="1927"/>
      <c r="E23" s="2674"/>
      <c r="F23" s="2730" t="s">
        <v>3019</v>
      </c>
      <c r="G23" s="2731"/>
      <c r="H23" s="2715"/>
      <c r="I23" s="2716"/>
      <c r="J23" s="2715"/>
      <c r="K23" s="2715"/>
      <c r="L23" s="2716"/>
      <c r="M23" s="2715"/>
      <c r="N23" s="2715"/>
      <c r="O23" s="2716"/>
      <c r="P23" s="2715"/>
      <c r="Q23" s="2715"/>
      <c r="R23" s="2717"/>
    </row>
    <row r="24" spans="1:18" s="907" customFormat="1" ht="15" thickBot="1">
      <c r="A24" s="2675"/>
      <c r="B24" s="2730" t="s">
        <v>3020</v>
      </c>
      <c r="C24" s="2732" t="str">
        <f>C10</f>
        <v>城市主干道-朝阳门内大街</v>
      </c>
      <c r="D24" s="1927"/>
      <c r="E24" s="2665"/>
      <c r="F24" s="2665"/>
      <c r="G24" s="2733"/>
      <c r="H24" s="2715"/>
      <c r="I24" s="2716"/>
      <c r="J24" s="2715"/>
      <c r="K24" s="2715"/>
      <c r="L24" s="2716"/>
      <c r="M24" s="2715"/>
      <c r="N24" s="2715"/>
      <c r="O24" s="2716"/>
      <c r="P24" s="2715"/>
      <c r="Q24" s="2715"/>
      <c r="R24" s="2717"/>
    </row>
    <row r="25" spans="1:18" s="907" customFormat="1">
      <c r="B25" s="2715"/>
      <c r="C25" s="2715"/>
      <c r="D25" s="2715"/>
      <c r="H25" s="2715"/>
      <c r="I25" s="2716"/>
      <c r="J25" s="2715"/>
      <c r="K25" s="2715"/>
      <c r="L25" s="2716"/>
      <c r="M25" s="2715"/>
      <c r="N25" s="2715"/>
      <c r="O25" s="2716"/>
      <c r="P25" s="2715"/>
      <c r="Q25" s="2715"/>
      <c r="R25" s="2717"/>
    </row>
    <row r="26" spans="1:18" s="907" customFormat="1">
      <c r="B26" s="2715"/>
      <c r="C26" s="2715"/>
      <c r="D26" s="2715"/>
      <c r="H26" s="2715"/>
      <c r="I26" s="2716"/>
      <c r="J26" s="2715"/>
      <c r="K26" s="2715"/>
      <c r="L26" s="2716"/>
      <c r="M26" s="2715"/>
      <c r="N26" s="2715"/>
      <c r="O26" s="2716"/>
      <c r="P26" s="2715"/>
      <c r="Q26" s="2715"/>
      <c r="R26" s="2717"/>
    </row>
    <row r="27" spans="1:18" s="907" customFormat="1">
      <c r="B27" s="2715"/>
      <c r="C27" s="2715"/>
      <c r="D27" s="2715"/>
      <c r="H27" s="2715"/>
      <c r="I27" s="2716"/>
      <c r="J27" s="2715"/>
      <c r="K27" s="2715"/>
      <c r="L27" s="2716"/>
      <c r="M27" s="2715"/>
      <c r="N27" s="2715"/>
      <c r="O27" s="2716"/>
      <c r="P27" s="2715"/>
      <c r="Q27" s="2715"/>
      <c r="R27" s="2717"/>
    </row>
    <row r="28" spans="1:18" s="907" customFormat="1">
      <c r="B28" s="2715"/>
      <c r="C28" s="2715"/>
      <c r="D28" s="2715"/>
      <c r="H28" s="2715"/>
      <c r="I28" s="2716"/>
      <c r="J28" s="2715"/>
      <c r="K28" s="2715"/>
      <c r="L28" s="2716"/>
      <c r="M28" s="2715"/>
      <c r="N28" s="2715"/>
      <c r="O28" s="2716"/>
      <c r="P28" s="2715"/>
      <c r="Q28" s="2715"/>
      <c r="R28" s="2717"/>
    </row>
    <row r="29" spans="1:18" s="907" customFormat="1">
      <c r="B29" s="2715"/>
      <c r="C29" s="2715"/>
      <c r="D29" s="2715"/>
      <c r="H29" s="2715"/>
      <c r="I29" s="2716"/>
      <c r="J29" s="2715"/>
      <c r="K29" s="2715"/>
      <c r="L29" s="2716"/>
      <c r="M29" s="2715"/>
      <c r="N29" s="2715"/>
      <c r="O29" s="2716"/>
      <c r="P29" s="2715"/>
      <c r="Q29" s="2715"/>
      <c r="R29" s="2717"/>
    </row>
    <row r="30" spans="1:18" s="907" customFormat="1">
      <c r="B30" s="2715"/>
      <c r="C30" s="2715"/>
      <c r="D30" s="2715"/>
      <c r="H30" s="2715"/>
      <c r="I30" s="2716"/>
      <c r="J30" s="2715"/>
      <c r="K30" s="2715"/>
      <c r="L30" s="2716"/>
      <c r="M30" s="2715"/>
      <c r="N30" s="2715"/>
      <c r="O30" s="2716"/>
      <c r="P30" s="2715"/>
      <c r="Q30" s="2715"/>
      <c r="R30" s="2717"/>
    </row>
    <row r="31" spans="1:18" s="907" customFormat="1">
      <c r="B31" s="2715"/>
      <c r="C31" s="2715"/>
      <c r="D31" s="2715"/>
      <c r="H31" s="2715"/>
      <c r="I31" s="2716"/>
      <c r="J31" s="2715"/>
      <c r="K31" s="2715"/>
      <c r="L31" s="2716"/>
      <c r="M31" s="2715"/>
      <c r="N31" s="2715"/>
      <c r="O31" s="2716"/>
      <c r="P31" s="2715"/>
      <c r="Q31" s="2715"/>
      <c r="R31" s="2717"/>
    </row>
    <row r="32" spans="1:18" s="907" customFormat="1">
      <c r="B32" s="2715"/>
      <c r="C32" s="2715"/>
      <c r="D32" s="2715"/>
      <c r="H32" s="2715"/>
      <c r="I32" s="2716"/>
      <c r="J32" s="2715"/>
      <c r="K32" s="2715"/>
      <c r="L32" s="2716"/>
      <c r="M32" s="2715"/>
      <c r="N32" s="2715"/>
      <c r="O32" s="2716"/>
      <c r="P32" s="2715"/>
      <c r="Q32" s="2715"/>
      <c r="R32" s="2717"/>
    </row>
    <row r="33" spans="2:18" s="907" customFormat="1">
      <c r="B33" s="2715"/>
      <c r="C33" s="2715"/>
      <c r="D33" s="2715"/>
      <c r="H33" s="2715"/>
      <c r="I33" s="2716"/>
      <c r="J33" s="2715"/>
      <c r="K33" s="2715"/>
      <c r="L33" s="2716"/>
      <c r="M33" s="2715"/>
      <c r="N33" s="2715"/>
      <c r="O33" s="2716"/>
      <c r="P33" s="2715"/>
      <c r="Q33" s="2715"/>
      <c r="R33" s="2717"/>
    </row>
    <row r="34" spans="2:18" s="907" customFormat="1">
      <c r="B34" s="2715"/>
      <c r="C34" s="2715"/>
      <c r="D34" s="2715"/>
      <c r="H34" s="2715"/>
      <c r="I34" s="2716"/>
      <c r="J34" s="2715"/>
      <c r="K34" s="2715"/>
      <c r="L34" s="2716"/>
      <c r="M34" s="2715"/>
      <c r="N34" s="2715"/>
      <c r="O34" s="2716"/>
      <c r="P34" s="2715"/>
      <c r="Q34" s="2715"/>
      <c r="R34" s="2717"/>
    </row>
    <row r="35" spans="2:18" s="907" customFormat="1">
      <c r="B35" s="2715"/>
      <c r="C35" s="2715"/>
      <c r="D35" s="2715"/>
      <c r="H35" s="2715"/>
      <c r="I35" s="2716"/>
      <c r="J35" s="2715"/>
      <c r="K35" s="2715"/>
      <c r="L35" s="2716"/>
      <c r="M35" s="2715"/>
      <c r="N35" s="2715"/>
      <c r="O35" s="2716"/>
      <c r="P35" s="2715"/>
      <c r="Q35" s="2715"/>
      <c r="R35" s="2717"/>
    </row>
    <row r="36" spans="2:18" s="907" customFormat="1">
      <c r="B36" s="2715"/>
      <c r="C36" s="2715"/>
      <c r="D36" s="2715"/>
      <c r="H36" s="2715"/>
      <c r="I36" s="2716"/>
      <c r="J36" s="2715"/>
      <c r="K36" s="2715"/>
      <c r="L36" s="2716"/>
      <c r="M36" s="2715"/>
      <c r="N36" s="2715"/>
      <c r="O36" s="2716"/>
      <c r="P36" s="2715"/>
      <c r="Q36" s="2715"/>
      <c r="R36" s="2717"/>
    </row>
    <row r="37" spans="2:18" s="907" customFormat="1">
      <c r="B37" s="2715"/>
      <c r="C37" s="2715"/>
      <c r="D37" s="2715"/>
      <c r="H37" s="2715"/>
      <c r="I37" s="2716"/>
      <c r="J37" s="2715"/>
      <c r="K37" s="2715"/>
      <c r="L37" s="2716"/>
      <c r="M37" s="2715"/>
      <c r="N37" s="2715"/>
      <c r="O37" s="2716"/>
      <c r="P37" s="2715"/>
      <c r="Q37" s="2715"/>
      <c r="R37" s="2717"/>
    </row>
    <row r="38" spans="2:18" s="907" customFormat="1">
      <c r="B38" s="2715"/>
      <c r="C38" s="2715"/>
      <c r="D38" s="2715"/>
      <c r="E38" s="2715"/>
      <c r="F38" s="2715"/>
      <c r="G38" s="2716"/>
      <c r="H38" s="2715"/>
      <c r="I38" s="2716"/>
      <c r="J38" s="2715"/>
      <c r="K38" s="2715"/>
      <c r="L38" s="2716"/>
      <c r="M38" s="2715"/>
      <c r="N38" s="2715"/>
      <c r="O38" s="2716"/>
      <c r="P38" s="2715"/>
      <c r="Q38" s="2715"/>
      <c r="R38" s="2717"/>
    </row>
    <row r="39" spans="2:18" s="907" customFormat="1">
      <c r="B39" s="2715"/>
      <c r="C39" s="2715"/>
      <c r="D39" s="2715"/>
      <c r="E39" s="2715"/>
      <c r="F39" s="2715"/>
      <c r="G39" s="2716"/>
      <c r="H39" s="2715"/>
      <c r="I39" s="2716"/>
      <c r="J39" s="2715"/>
      <c r="K39" s="2715"/>
      <c r="L39" s="2716"/>
      <c r="M39" s="2715"/>
      <c r="N39" s="2715"/>
      <c r="O39" s="2716"/>
      <c r="P39" s="2715"/>
      <c r="Q39" s="2715"/>
      <c r="R39" s="2717"/>
    </row>
    <row r="40" spans="2:18" s="907" customFormat="1">
      <c r="B40" s="2715"/>
      <c r="C40" s="2715"/>
      <c r="D40" s="2715"/>
      <c r="E40" s="2715"/>
      <c r="F40" s="2715"/>
      <c r="G40" s="2716"/>
      <c r="H40" s="2715"/>
      <c r="I40" s="2716"/>
      <c r="J40" s="2715"/>
      <c r="K40" s="2715"/>
      <c r="L40" s="2716"/>
      <c r="M40" s="2715"/>
      <c r="N40" s="2715"/>
      <c r="O40" s="2716"/>
      <c r="P40" s="2715"/>
      <c r="Q40" s="2715"/>
      <c r="R40" s="2717"/>
    </row>
    <row r="41" spans="2:18" s="907" customFormat="1">
      <c r="B41" s="2715"/>
      <c r="C41" s="2715"/>
      <c r="D41" s="2715"/>
      <c r="E41" s="2715"/>
      <c r="F41" s="2715"/>
      <c r="G41" s="2716"/>
      <c r="H41" s="2715"/>
      <c r="I41" s="2716"/>
      <c r="J41" s="2715"/>
      <c r="K41" s="2715"/>
      <c r="L41" s="2716"/>
      <c r="M41" s="2715"/>
      <c r="N41" s="2715"/>
      <c r="O41" s="2716"/>
      <c r="P41" s="2715"/>
      <c r="Q41" s="2715"/>
      <c r="R41" s="2717"/>
    </row>
    <row r="42" spans="2:18" s="907" customFormat="1">
      <c r="B42" s="2715"/>
      <c r="C42" s="2715"/>
      <c r="D42" s="2715"/>
      <c r="E42" s="2715"/>
      <c r="F42" s="2715"/>
      <c r="G42" s="2716"/>
      <c r="H42" s="2715"/>
      <c r="I42" s="2716"/>
      <c r="J42" s="2715"/>
      <c r="K42" s="2715"/>
      <c r="L42" s="2716"/>
      <c r="M42" s="2715"/>
      <c r="N42" s="2715"/>
      <c r="O42" s="2716"/>
      <c r="P42" s="2715"/>
      <c r="Q42" s="2715"/>
      <c r="R42" s="2717"/>
    </row>
    <row r="43" spans="2:18" s="907" customFormat="1">
      <c r="B43" s="2715"/>
      <c r="C43" s="2715"/>
      <c r="D43" s="2715"/>
      <c r="E43" s="2715"/>
      <c r="F43" s="2715"/>
      <c r="G43" s="2716"/>
      <c r="H43" s="2715"/>
      <c r="I43" s="2716"/>
      <c r="J43" s="2715"/>
      <c r="K43" s="2715"/>
      <c r="L43" s="2716"/>
      <c r="M43" s="2715"/>
      <c r="N43" s="2715"/>
      <c r="O43" s="2716"/>
      <c r="P43" s="2715"/>
      <c r="Q43" s="2715"/>
      <c r="R43" s="2717"/>
    </row>
    <row r="44" spans="2:18" s="907" customFormat="1">
      <c r="B44" s="2715"/>
      <c r="C44" s="2715"/>
      <c r="D44" s="2715"/>
      <c r="E44" s="2715"/>
      <c r="F44" s="2715"/>
      <c r="G44" s="2716"/>
      <c r="H44" s="2715"/>
      <c r="I44" s="2716"/>
      <c r="J44" s="2715"/>
      <c r="K44" s="2715"/>
      <c r="L44" s="2716"/>
      <c r="M44" s="2715"/>
      <c r="N44" s="2715"/>
      <c r="O44" s="2716"/>
      <c r="P44" s="2715"/>
      <c r="Q44" s="2715"/>
      <c r="R44" s="2717"/>
    </row>
    <row r="45" spans="2:18" s="907" customFormat="1">
      <c r="B45" s="2715"/>
      <c r="C45" s="2715"/>
      <c r="D45" s="2715"/>
      <c r="E45" s="2715"/>
      <c r="F45" s="2715"/>
      <c r="G45" s="2716"/>
      <c r="H45" s="2715"/>
      <c r="I45" s="2716"/>
      <c r="J45" s="2715"/>
      <c r="K45" s="2715"/>
      <c r="L45" s="2716"/>
      <c r="M45" s="2715"/>
      <c r="N45" s="2715"/>
      <c r="O45" s="2716"/>
      <c r="P45" s="2715"/>
      <c r="Q45" s="2715"/>
      <c r="R45" s="2717"/>
    </row>
    <row r="46" spans="2:18" s="907" customFormat="1">
      <c r="B46" s="2715"/>
      <c r="C46" s="2715"/>
      <c r="D46" s="2715"/>
      <c r="E46" s="2715"/>
      <c r="F46" s="2715"/>
      <c r="G46" s="2716"/>
      <c r="H46" s="2715"/>
      <c r="I46" s="2716"/>
      <c r="J46" s="2715"/>
      <c r="K46" s="2715"/>
      <c r="L46" s="2716"/>
      <c r="M46" s="2715"/>
      <c r="N46" s="2715"/>
      <c r="O46" s="2716"/>
      <c r="P46" s="2715"/>
      <c r="Q46" s="2715"/>
      <c r="R46" s="2717"/>
    </row>
    <row r="47" spans="2:18" s="907" customFormat="1">
      <c r="B47" s="2715"/>
      <c r="C47" s="2715"/>
      <c r="D47" s="2715"/>
      <c r="E47" s="2715"/>
      <c r="F47" s="2715"/>
      <c r="G47" s="2716"/>
      <c r="H47" s="2715"/>
      <c r="I47" s="2716"/>
      <c r="J47" s="2715"/>
      <c r="K47" s="2715"/>
      <c r="L47" s="2716"/>
      <c r="M47" s="2715"/>
      <c r="N47" s="2715"/>
      <c r="O47" s="2716"/>
      <c r="P47" s="2715"/>
      <c r="Q47" s="2715"/>
      <c r="R47" s="2717"/>
    </row>
    <row r="48" spans="2:18" s="907" customFormat="1">
      <c r="B48" s="2715"/>
      <c r="C48" s="2715"/>
      <c r="D48" s="2715"/>
      <c r="E48" s="2715"/>
      <c r="F48" s="2715"/>
      <c r="G48" s="2716"/>
      <c r="H48" s="2715"/>
      <c r="I48" s="2716"/>
      <c r="J48" s="2715"/>
      <c r="K48" s="2715"/>
      <c r="L48" s="2716"/>
      <c r="M48" s="2715"/>
      <c r="N48" s="2715"/>
      <c r="O48" s="2716"/>
      <c r="P48" s="2715"/>
      <c r="Q48" s="2715"/>
      <c r="R48" s="2717"/>
    </row>
    <row r="49" spans="2:18" s="907" customFormat="1">
      <c r="B49" s="2715"/>
      <c r="C49" s="2715"/>
      <c r="D49" s="2715"/>
      <c r="E49" s="2715"/>
      <c r="F49" s="2715"/>
      <c r="G49" s="2716"/>
      <c r="H49" s="2715"/>
      <c r="I49" s="2716"/>
      <c r="J49" s="2715"/>
      <c r="K49" s="2715"/>
      <c r="L49" s="2716"/>
      <c r="M49" s="2715"/>
      <c r="N49" s="2715"/>
      <c r="O49" s="2716"/>
      <c r="P49" s="2715"/>
      <c r="Q49" s="2715"/>
      <c r="R49" s="2717"/>
    </row>
    <row r="50" spans="2:18" s="907" customFormat="1">
      <c r="B50" s="2715"/>
      <c r="C50" s="2715"/>
      <c r="D50" s="2715"/>
      <c r="E50" s="2715"/>
      <c r="F50" s="2715"/>
      <c r="G50" s="2716"/>
      <c r="H50" s="2715"/>
      <c r="I50" s="2716"/>
      <c r="J50" s="2715"/>
      <c r="K50" s="2715"/>
      <c r="L50" s="2716"/>
      <c r="M50" s="2715"/>
      <c r="N50" s="2715"/>
      <c r="O50" s="2716"/>
      <c r="P50" s="2715"/>
      <c r="Q50" s="2715"/>
      <c r="R50" s="2717"/>
    </row>
    <row r="51" spans="2:18" s="907" customFormat="1">
      <c r="B51" s="2715"/>
      <c r="C51" s="2715"/>
      <c r="D51" s="2715"/>
      <c r="E51" s="2715"/>
      <c r="F51" s="2715"/>
      <c r="G51" s="2716"/>
      <c r="H51" s="2715"/>
      <c r="I51" s="2716"/>
      <c r="J51" s="2715"/>
      <c r="K51" s="2715"/>
      <c r="L51" s="2716"/>
      <c r="M51" s="2715"/>
      <c r="N51" s="2715"/>
      <c r="O51" s="2716"/>
      <c r="P51" s="2715"/>
      <c r="Q51" s="2715"/>
      <c r="R51" s="2717"/>
    </row>
    <row r="52" spans="2:18" s="907" customFormat="1">
      <c r="B52" s="2715"/>
      <c r="C52" s="2715"/>
      <c r="D52" s="2715"/>
      <c r="E52" s="2715"/>
      <c r="F52" s="2715"/>
      <c r="G52" s="2716"/>
      <c r="H52" s="2715"/>
      <c r="I52" s="2716"/>
      <c r="J52" s="2715"/>
      <c r="K52" s="2715"/>
      <c r="L52" s="2716"/>
      <c r="M52" s="2715"/>
      <c r="N52" s="2715"/>
      <c r="O52" s="2716"/>
      <c r="P52" s="2715"/>
      <c r="Q52" s="2715"/>
      <c r="R52" s="2717"/>
    </row>
    <row r="53" spans="2:18" s="907" customFormat="1">
      <c r="B53" s="2715"/>
      <c r="C53" s="2715"/>
      <c r="D53" s="2715"/>
      <c r="E53" s="2715"/>
      <c r="F53" s="2715"/>
      <c r="G53" s="2716"/>
      <c r="H53" s="2715"/>
      <c r="I53" s="2716"/>
      <c r="J53" s="2715"/>
      <c r="K53" s="2715"/>
      <c r="L53" s="2716"/>
      <c r="M53" s="2715"/>
      <c r="N53" s="2715"/>
      <c r="O53" s="2716"/>
      <c r="P53" s="2715"/>
      <c r="Q53" s="2715"/>
      <c r="R53" s="2717"/>
    </row>
    <row r="54" spans="2:18" s="907" customFormat="1">
      <c r="B54" s="2715"/>
      <c r="C54" s="2715"/>
      <c r="D54" s="2715"/>
      <c r="E54" s="2715"/>
      <c r="F54" s="2715"/>
      <c r="G54" s="2716"/>
      <c r="H54" s="2715"/>
      <c r="I54" s="2716"/>
      <c r="J54" s="2715"/>
      <c r="K54" s="2715"/>
      <c r="L54" s="2716"/>
      <c r="M54" s="2715"/>
      <c r="N54" s="2715"/>
      <c r="O54" s="2716"/>
      <c r="P54" s="2715"/>
      <c r="Q54" s="2715"/>
      <c r="R54" s="2717"/>
    </row>
    <row r="55" spans="2:18" s="907" customFormat="1">
      <c r="B55" s="2715"/>
      <c r="C55" s="2715"/>
      <c r="D55" s="2715"/>
      <c r="E55" s="2715"/>
      <c r="F55" s="2715"/>
      <c r="G55" s="2716"/>
      <c r="H55" s="2715"/>
      <c r="I55" s="2716"/>
      <c r="J55" s="2715"/>
      <c r="K55" s="2715"/>
      <c r="L55" s="2716"/>
      <c r="M55" s="2715"/>
      <c r="N55" s="2715"/>
      <c r="O55" s="2716"/>
      <c r="P55" s="2715"/>
      <c r="Q55" s="2715"/>
      <c r="R55" s="2717"/>
    </row>
    <row r="56" spans="2:18" s="907" customFormat="1">
      <c r="B56" s="2715"/>
      <c r="C56" s="2715"/>
      <c r="D56" s="2715"/>
      <c r="E56" s="2715"/>
      <c r="F56" s="2715"/>
      <c r="G56" s="2716"/>
      <c r="H56" s="2715"/>
      <c r="I56" s="2716"/>
      <c r="J56" s="2715"/>
      <c r="K56" s="2715"/>
      <c r="L56" s="2716"/>
      <c r="M56" s="2715"/>
      <c r="N56" s="2715"/>
      <c r="O56" s="2716"/>
      <c r="P56" s="2715"/>
      <c r="Q56" s="2715"/>
      <c r="R56" s="2717"/>
    </row>
    <row r="57" spans="2:18" s="907" customFormat="1">
      <c r="B57" s="2715"/>
      <c r="C57" s="2715"/>
      <c r="D57" s="2715"/>
      <c r="E57" s="2715"/>
      <c r="F57" s="2715"/>
      <c r="G57" s="2716"/>
      <c r="H57" s="2715"/>
      <c r="I57" s="2716"/>
      <c r="J57" s="2715"/>
      <c r="K57" s="2715"/>
      <c r="L57" s="2716"/>
      <c r="M57" s="2715"/>
      <c r="N57" s="2715"/>
      <c r="O57" s="2716"/>
      <c r="P57" s="2715"/>
      <c r="Q57" s="2715"/>
      <c r="R57" s="2717"/>
    </row>
    <row r="58" spans="2:18" s="907" customFormat="1">
      <c r="B58" s="2715"/>
      <c r="C58" s="2715"/>
      <c r="D58" s="2715"/>
      <c r="E58" s="2715"/>
      <c r="F58" s="2715"/>
      <c r="G58" s="2716"/>
      <c r="H58" s="2715"/>
      <c r="I58" s="2716"/>
      <c r="J58" s="2715"/>
      <c r="K58" s="2715"/>
      <c r="L58" s="2716"/>
      <c r="M58" s="2715"/>
      <c r="N58" s="2715"/>
      <c r="O58" s="2716"/>
      <c r="P58" s="2715"/>
      <c r="Q58" s="2715"/>
      <c r="R58" s="2717"/>
    </row>
    <row r="59" spans="2:18" s="907" customFormat="1">
      <c r="B59" s="2715"/>
      <c r="C59" s="2715"/>
      <c r="D59" s="2715"/>
      <c r="E59" s="2715"/>
      <c r="F59" s="2715"/>
      <c r="G59" s="2716"/>
      <c r="H59" s="2715"/>
      <c r="I59" s="2716"/>
      <c r="J59" s="2715"/>
      <c r="K59" s="2715"/>
      <c r="L59" s="2716"/>
      <c r="M59" s="2715"/>
      <c r="N59" s="2715"/>
      <c r="O59" s="2716"/>
      <c r="P59" s="2715"/>
      <c r="Q59" s="2715"/>
      <c r="R59" s="2717"/>
    </row>
    <row r="60" spans="2:18" s="907" customFormat="1">
      <c r="B60" s="2715"/>
      <c r="C60" s="2715"/>
      <c r="D60" s="2715"/>
      <c r="E60" s="2715"/>
      <c r="F60" s="2715"/>
      <c r="G60" s="2716"/>
      <c r="H60" s="2715"/>
      <c r="I60" s="2716"/>
      <c r="J60" s="2715"/>
      <c r="K60" s="2715"/>
      <c r="L60" s="2716"/>
      <c r="M60" s="2715"/>
      <c r="N60" s="2715"/>
      <c r="O60" s="2716"/>
      <c r="P60" s="2715"/>
      <c r="Q60" s="2715"/>
      <c r="R60" s="2717"/>
    </row>
    <row r="61" spans="2:18" s="907" customFormat="1">
      <c r="B61" s="2715"/>
      <c r="C61" s="2715"/>
      <c r="D61" s="2715"/>
      <c r="E61" s="2715"/>
      <c r="F61" s="2715"/>
      <c r="G61" s="2716"/>
      <c r="H61" s="2715"/>
      <c r="I61" s="2716"/>
      <c r="J61" s="2715"/>
      <c r="K61" s="2715"/>
      <c r="L61" s="2716"/>
      <c r="M61" s="2715"/>
      <c r="N61" s="2715"/>
      <c r="O61" s="2716"/>
      <c r="P61" s="2715"/>
      <c r="Q61" s="2715"/>
      <c r="R61" s="2717"/>
    </row>
    <row r="62" spans="2:18" s="907" customFormat="1">
      <c r="B62" s="2715"/>
      <c r="C62" s="2715"/>
      <c r="D62" s="2715"/>
      <c r="E62" s="2715"/>
      <c r="F62" s="2715"/>
      <c r="G62" s="2716"/>
      <c r="H62" s="2715"/>
      <c r="I62" s="2716"/>
      <c r="J62" s="2715"/>
      <c r="K62" s="2715"/>
      <c r="L62" s="2716"/>
      <c r="M62" s="2715"/>
      <c r="N62" s="2715"/>
      <c r="O62" s="2716"/>
      <c r="P62" s="2715"/>
      <c r="Q62" s="2715"/>
      <c r="R62" s="2717"/>
    </row>
    <row r="63" spans="2:18" s="907" customFormat="1">
      <c r="B63" s="2715"/>
      <c r="C63" s="2715"/>
      <c r="D63" s="2715"/>
      <c r="E63" s="2715"/>
      <c r="F63" s="2715"/>
      <c r="G63" s="2716"/>
      <c r="H63" s="2715"/>
      <c r="I63" s="2716"/>
      <c r="J63" s="2715"/>
      <c r="K63" s="2715"/>
      <c r="L63" s="2716"/>
      <c r="M63" s="2715"/>
      <c r="N63" s="2715"/>
      <c r="O63" s="2716"/>
      <c r="P63" s="2715"/>
      <c r="Q63" s="2715"/>
      <c r="R63" s="2717"/>
    </row>
    <row r="64" spans="2:18" s="907" customFormat="1">
      <c r="B64" s="2715"/>
      <c r="C64" s="2715"/>
      <c r="D64" s="2715"/>
      <c r="E64" s="2715"/>
      <c r="F64" s="2715"/>
      <c r="G64" s="2716"/>
      <c r="H64" s="2715"/>
      <c r="I64" s="2716"/>
      <c r="J64" s="2715"/>
      <c r="K64" s="2715"/>
      <c r="L64" s="2716"/>
      <c r="M64" s="2715"/>
      <c r="N64" s="2715"/>
      <c r="O64" s="2716"/>
      <c r="P64" s="2715"/>
      <c r="Q64" s="2715"/>
      <c r="R64" s="2717"/>
    </row>
    <row r="65" spans="2:18" s="907" customFormat="1">
      <c r="B65" s="2715"/>
      <c r="C65" s="2715"/>
      <c r="D65" s="2715"/>
      <c r="E65" s="2715"/>
      <c r="F65" s="2715"/>
      <c r="G65" s="2716"/>
      <c r="H65" s="2715"/>
      <c r="I65" s="2716"/>
      <c r="J65" s="2715"/>
      <c r="K65" s="2715"/>
      <c r="L65" s="2716"/>
      <c r="M65" s="2715"/>
      <c r="N65" s="2715"/>
      <c r="O65" s="2716"/>
      <c r="P65" s="2715"/>
      <c r="Q65" s="2715"/>
      <c r="R65" s="2717"/>
    </row>
    <row r="66" spans="2:18" s="907" customFormat="1">
      <c r="B66" s="2715"/>
      <c r="C66" s="2715"/>
      <c r="D66" s="2715"/>
      <c r="E66" s="2715"/>
      <c r="F66" s="2715"/>
      <c r="G66" s="2716"/>
      <c r="H66" s="2715"/>
      <c r="I66" s="2716"/>
      <c r="J66" s="2715"/>
      <c r="K66" s="2715"/>
      <c r="L66" s="2716"/>
      <c r="M66" s="2715"/>
      <c r="N66" s="2715"/>
      <c r="O66" s="2716"/>
      <c r="P66" s="2715"/>
      <c r="Q66" s="2715"/>
      <c r="R66" s="2717"/>
    </row>
    <row r="67" spans="2:18" s="907" customFormat="1">
      <c r="B67" s="2715"/>
      <c r="C67" s="2715"/>
      <c r="D67" s="2715"/>
      <c r="E67" s="2715"/>
      <c r="F67" s="2715"/>
      <c r="G67" s="2716"/>
      <c r="H67" s="2715"/>
      <c r="I67" s="2716"/>
      <c r="J67" s="2715"/>
      <c r="K67" s="2715"/>
      <c r="L67" s="2716"/>
      <c r="M67" s="2715"/>
      <c r="N67" s="2715"/>
      <c r="O67" s="2716"/>
      <c r="P67" s="2715"/>
      <c r="Q67" s="2715"/>
      <c r="R67" s="2717"/>
    </row>
    <row r="68" spans="2:18" s="907" customFormat="1">
      <c r="B68" s="2715"/>
      <c r="C68" s="2715"/>
      <c r="D68" s="2715"/>
      <c r="E68" s="2715"/>
      <c r="F68" s="2715"/>
      <c r="G68" s="2716"/>
      <c r="H68" s="2715"/>
      <c r="I68" s="2716"/>
      <c r="J68" s="2715"/>
      <c r="K68" s="2715"/>
      <c r="L68" s="2716"/>
      <c r="M68" s="2715"/>
      <c r="N68" s="2715"/>
      <c r="O68" s="2716"/>
      <c r="P68" s="2715"/>
      <c r="Q68" s="2715"/>
      <c r="R68" s="2717"/>
    </row>
    <row r="69" spans="2:18" s="907" customFormat="1">
      <c r="B69" s="2715"/>
      <c r="C69" s="2715"/>
      <c r="D69" s="2715"/>
      <c r="E69" s="2715"/>
      <c r="F69" s="2715"/>
      <c r="G69" s="2716"/>
      <c r="H69" s="2715"/>
      <c r="I69" s="2716"/>
      <c r="J69" s="2715"/>
      <c r="K69" s="2715"/>
      <c r="L69" s="2716"/>
      <c r="M69" s="2715"/>
      <c r="N69" s="2715"/>
      <c r="O69" s="2716"/>
      <c r="P69" s="2715"/>
      <c r="Q69" s="2715"/>
      <c r="R69" s="2717"/>
    </row>
    <row r="70" spans="2:18" s="907" customFormat="1">
      <c r="B70" s="2715"/>
      <c r="C70" s="2715"/>
      <c r="D70" s="2715"/>
      <c r="E70" s="2715"/>
      <c r="F70" s="2715"/>
      <c r="G70" s="2716"/>
      <c r="H70" s="2715"/>
      <c r="I70" s="2716"/>
      <c r="J70" s="2715"/>
      <c r="K70" s="2715"/>
      <c r="L70" s="2716"/>
      <c r="M70" s="2715"/>
      <c r="N70" s="2715"/>
      <c r="O70" s="2716"/>
      <c r="P70" s="2715"/>
      <c r="Q70" s="2715"/>
      <c r="R70" s="2717"/>
    </row>
    <row r="71" spans="2:18" s="907" customFormat="1">
      <c r="B71" s="2715"/>
      <c r="C71" s="2715"/>
      <c r="D71" s="2715"/>
      <c r="E71" s="2715"/>
      <c r="F71" s="2715"/>
      <c r="G71" s="2716"/>
      <c r="H71" s="2715"/>
      <c r="I71" s="2716"/>
      <c r="J71" s="2715"/>
      <c r="K71" s="2715"/>
      <c r="L71" s="2716"/>
      <c r="M71" s="2715"/>
      <c r="N71" s="2715"/>
      <c r="O71" s="2716"/>
      <c r="P71" s="2715"/>
      <c r="Q71" s="2715"/>
      <c r="R71" s="2717"/>
    </row>
    <row r="72" spans="2:18" s="907" customFormat="1">
      <c r="B72" s="2715"/>
      <c r="C72" s="2715"/>
      <c r="D72" s="2715"/>
      <c r="E72" s="2715"/>
      <c r="F72" s="2715"/>
      <c r="G72" s="2716"/>
      <c r="H72" s="2715"/>
      <c r="I72" s="2716"/>
      <c r="J72" s="2715"/>
      <c r="K72" s="2715"/>
      <c r="L72" s="2716"/>
      <c r="M72" s="2715"/>
      <c r="N72" s="2715"/>
      <c r="O72" s="2716"/>
      <c r="P72" s="2715"/>
      <c r="Q72" s="2715"/>
      <c r="R72" s="2717"/>
    </row>
    <row r="73" spans="2:18" s="907" customFormat="1">
      <c r="B73" s="2715"/>
      <c r="C73" s="2715"/>
      <c r="D73" s="2715"/>
      <c r="E73" s="2715"/>
      <c r="F73" s="2715"/>
      <c r="G73" s="2716"/>
      <c r="H73" s="2715"/>
      <c r="I73" s="2716"/>
      <c r="J73" s="2715"/>
      <c r="K73" s="2715"/>
      <c r="L73" s="2716"/>
      <c r="M73" s="2715"/>
      <c r="N73" s="2715"/>
      <c r="O73" s="2716"/>
      <c r="P73" s="2715"/>
      <c r="Q73" s="2715"/>
      <c r="R73" s="2717"/>
    </row>
    <row r="74" spans="2:18" s="907" customFormat="1">
      <c r="B74" s="2715"/>
      <c r="C74" s="2715"/>
      <c r="D74" s="2715"/>
      <c r="E74" s="2715"/>
      <c r="F74" s="2715"/>
      <c r="G74" s="2716"/>
      <c r="H74" s="2715"/>
      <c r="I74" s="2716"/>
      <c r="J74" s="2715"/>
      <c r="K74" s="2715"/>
      <c r="L74" s="2716"/>
      <c r="M74" s="2715"/>
      <c r="N74" s="2715"/>
      <c r="O74" s="2716"/>
      <c r="P74" s="2715"/>
      <c r="Q74" s="2715"/>
      <c r="R74" s="2717"/>
    </row>
    <row r="75" spans="2:18" s="907" customFormat="1">
      <c r="B75" s="2715"/>
      <c r="C75" s="2715"/>
      <c r="D75" s="2715"/>
      <c r="E75" s="2715"/>
      <c r="F75" s="2715"/>
      <c r="G75" s="2716"/>
      <c r="H75" s="2715"/>
      <c r="I75" s="2716"/>
      <c r="J75" s="2715"/>
      <c r="K75" s="2715"/>
      <c r="L75" s="2716"/>
      <c r="M75" s="2715"/>
      <c r="N75" s="2715"/>
      <c r="O75" s="2716"/>
      <c r="P75" s="2715"/>
      <c r="Q75" s="2715"/>
      <c r="R75" s="2717"/>
    </row>
    <row r="76" spans="2:18" s="907" customFormat="1">
      <c r="B76" s="2715"/>
      <c r="C76" s="2715"/>
      <c r="D76" s="2715"/>
      <c r="E76" s="2715"/>
      <c r="F76" s="2715"/>
      <c r="G76" s="2716"/>
      <c r="H76" s="2715"/>
      <c r="I76" s="2716"/>
      <c r="J76" s="2715"/>
      <c r="K76" s="2715"/>
      <c r="L76" s="2716"/>
      <c r="M76" s="2715"/>
      <c r="N76" s="2715"/>
      <c r="O76" s="2716"/>
      <c r="P76" s="2715"/>
      <c r="Q76" s="2715"/>
      <c r="R76" s="2717"/>
    </row>
    <row r="77" spans="2:18" s="907" customFormat="1">
      <c r="B77" s="2715"/>
      <c r="C77" s="2715"/>
      <c r="D77" s="2715"/>
      <c r="E77" s="2715"/>
      <c r="F77" s="2715"/>
      <c r="G77" s="2716"/>
      <c r="H77" s="2715"/>
      <c r="I77" s="2716"/>
      <c r="J77" s="2715"/>
      <c r="K77" s="2715"/>
      <c r="L77" s="2716"/>
      <c r="M77" s="2715"/>
      <c r="N77" s="2715"/>
      <c r="O77" s="2716"/>
      <c r="P77" s="2715"/>
      <c r="Q77" s="2715"/>
      <c r="R77" s="2717"/>
    </row>
    <row r="78" spans="2:18" s="907" customFormat="1">
      <c r="B78" s="2715"/>
      <c r="C78" s="2715"/>
      <c r="D78" s="2715"/>
      <c r="E78" s="2715"/>
      <c r="F78" s="2715"/>
      <c r="G78" s="2716"/>
      <c r="H78" s="2715"/>
      <c r="I78" s="2716"/>
      <c r="J78" s="2715"/>
      <c r="K78" s="2715"/>
      <c r="L78" s="2716"/>
      <c r="M78" s="2715"/>
      <c r="N78" s="2715"/>
      <c r="O78" s="2716"/>
      <c r="P78" s="2715"/>
      <c r="Q78" s="2715"/>
      <c r="R78" s="2717"/>
    </row>
    <row r="79" spans="2:18" s="907" customFormat="1">
      <c r="B79" s="2715"/>
      <c r="C79" s="2715"/>
      <c r="D79" s="2715"/>
      <c r="E79" s="2715"/>
      <c r="F79" s="2715"/>
      <c r="G79" s="2716"/>
      <c r="H79" s="2715"/>
      <c r="I79" s="2716"/>
      <c r="J79" s="2715"/>
      <c r="K79" s="2715"/>
      <c r="L79" s="2716"/>
      <c r="M79" s="2715"/>
      <c r="N79" s="2715"/>
      <c r="O79" s="2716"/>
      <c r="P79" s="2715"/>
      <c r="Q79" s="2715"/>
      <c r="R79" s="2717"/>
    </row>
    <row r="80" spans="2:18" s="907" customFormat="1">
      <c r="B80" s="2715"/>
      <c r="C80" s="2715"/>
      <c r="D80" s="2715"/>
      <c r="E80" s="2715"/>
      <c r="F80" s="2715"/>
      <c r="G80" s="2716"/>
      <c r="H80" s="2715"/>
      <c r="I80" s="2716"/>
      <c r="J80" s="2715"/>
      <c r="K80" s="2715"/>
      <c r="L80" s="2716"/>
      <c r="M80" s="2715"/>
      <c r="N80" s="2715"/>
      <c r="O80" s="2716"/>
      <c r="P80" s="2715"/>
      <c r="Q80" s="2715"/>
      <c r="R80" s="2717"/>
    </row>
    <row r="81" spans="2:18" s="907" customFormat="1">
      <c r="B81" s="2715"/>
      <c r="C81" s="2715"/>
      <c r="D81" s="2715"/>
      <c r="E81" s="2715"/>
      <c r="F81" s="2715"/>
      <c r="G81" s="2716"/>
      <c r="H81" s="2715"/>
      <c r="I81" s="2716"/>
      <c r="J81" s="2715"/>
      <c r="K81" s="2715"/>
      <c r="L81" s="2716"/>
      <c r="M81" s="2715"/>
      <c r="N81" s="2715"/>
      <c r="O81" s="2716"/>
      <c r="P81" s="2715"/>
      <c r="Q81" s="2715"/>
      <c r="R81" s="2717"/>
    </row>
    <row r="82" spans="2:18" s="907" customFormat="1">
      <c r="B82" s="2715"/>
      <c r="C82" s="2715"/>
      <c r="D82" s="2715"/>
      <c r="E82" s="2715"/>
      <c r="F82" s="2715"/>
      <c r="G82" s="2716"/>
      <c r="H82" s="2715"/>
      <c r="I82" s="2716"/>
      <c r="J82" s="2715"/>
      <c r="K82" s="2715"/>
      <c r="L82" s="2716"/>
      <c r="M82" s="2715"/>
      <c r="N82" s="2715"/>
      <c r="O82" s="2716"/>
      <c r="P82" s="2715"/>
      <c r="Q82" s="2715"/>
      <c r="R82" s="2717"/>
    </row>
    <row r="83" spans="2:18" s="907" customFormat="1">
      <c r="B83" s="2715"/>
      <c r="C83" s="2715"/>
      <c r="D83" s="2715"/>
      <c r="E83" s="2715"/>
      <c r="F83" s="2715"/>
      <c r="G83" s="2716"/>
      <c r="H83" s="2715"/>
      <c r="I83" s="2716"/>
      <c r="J83" s="2715"/>
      <c r="K83" s="2715"/>
      <c r="L83" s="2716"/>
      <c r="M83" s="2715"/>
      <c r="N83" s="2715"/>
      <c r="O83" s="2716"/>
      <c r="P83" s="2715"/>
      <c r="Q83" s="2715"/>
      <c r="R83" s="2717"/>
    </row>
    <row r="84" spans="2:18" s="907" customFormat="1">
      <c r="B84" s="2715"/>
      <c r="C84" s="2715"/>
      <c r="D84" s="2715"/>
      <c r="E84" s="2715"/>
      <c r="F84" s="2715"/>
      <c r="G84" s="2716"/>
      <c r="H84" s="2715"/>
      <c r="I84" s="2716"/>
      <c r="J84" s="2715"/>
      <c r="K84" s="2715"/>
      <c r="L84" s="2716"/>
      <c r="M84" s="2715"/>
      <c r="N84" s="2715"/>
      <c r="O84" s="2716"/>
      <c r="P84" s="2715"/>
      <c r="Q84" s="2715"/>
      <c r="R84" s="2717"/>
    </row>
    <row r="85" spans="2:18" s="907" customFormat="1">
      <c r="B85" s="2715"/>
      <c r="C85" s="2715"/>
      <c r="D85" s="2715"/>
      <c r="E85" s="2715"/>
      <c r="F85" s="2715"/>
      <c r="G85" s="2716"/>
      <c r="H85" s="2715"/>
      <c r="I85" s="2716"/>
      <c r="J85" s="2715"/>
      <c r="K85" s="2715"/>
      <c r="L85" s="2716"/>
      <c r="M85" s="2715"/>
      <c r="N85" s="2715"/>
      <c r="O85" s="2716"/>
      <c r="P85" s="2715"/>
      <c r="Q85" s="2715"/>
      <c r="R85" s="2717"/>
    </row>
    <row r="86" spans="2:18" s="907" customFormat="1">
      <c r="B86" s="2715"/>
      <c r="C86" s="2715"/>
      <c r="D86" s="2715"/>
      <c r="E86" s="2715"/>
      <c r="F86" s="2715"/>
      <c r="G86" s="2716"/>
      <c r="H86" s="2715"/>
      <c r="I86" s="2716"/>
      <c r="J86" s="2715"/>
      <c r="K86" s="2715"/>
      <c r="L86" s="2716"/>
      <c r="M86" s="2715"/>
      <c r="N86" s="2715"/>
      <c r="O86" s="2716"/>
      <c r="P86" s="2715"/>
      <c r="Q86" s="2715"/>
      <c r="R86" s="2717"/>
    </row>
    <row r="87" spans="2:18" s="907" customFormat="1">
      <c r="B87" s="2715"/>
      <c r="C87" s="2715"/>
      <c r="D87" s="2715"/>
      <c r="E87" s="2715"/>
      <c r="F87" s="2715"/>
      <c r="G87" s="2716"/>
      <c r="H87" s="2715"/>
      <c r="I87" s="2716"/>
      <c r="J87" s="2715"/>
      <c r="K87" s="2715"/>
      <c r="L87" s="2716"/>
      <c r="M87" s="2715"/>
      <c r="N87" s="2715"/>
      <c r="O87" s="2716"/>
      <c r="P87" s="2715"/>
      <c r="Q87" s="2715"/>
      <c r="R87" s="2717"/>
    </row>
    <row r="88" spans="2:18" s="907" customFormat="1">
      <c r="B88" s="2715"/>
      <c r="C88" s="2715"/>
      <c r="D88" s="2715"/>
      <c r="E88" s="2715"/>
      <c r="F88" s="2715"/>
      <c r="G88" s="2716"/>
      <c r="H88" s="2715"/>
      <c r="I88" s="2716"/>
      <c r="J88" s="2715"/>
      <c r="K88" s="2715"/>
      <c r="L88" s="2716"/>
      <c r="M88" s="2715"/>
      <c r="N88" s="2715"/>
      <c r="O88" s="2716"/>
      <c r="P88" s="2715"/>
      <c r="Q88" s="2715"/>
      <c r="R88" s="2717"/>
    </row>
    <row r="89" spans="2:18" s="907" customFormat="1">
      <c r="B89" s="2715"/>
      <c r="C89" s="2715"/>
      <c r="D89" s="2715"/>
      <c r="E89" s="2715"/>
      <c r="F89" s="2715"/>
      <c r="G89" s="2716"/>
      <c r="H89" s="2715"/>
      <c r="I89" s="2716"/>
      <c r="J89" s="2715"/>
      <c r="K89" s="2715"/>
      <c r="L89" s="2716"/>
      <c r="M89" s="2715"/>
      <c r="N89" s="2715"/>
      <c r="O89" s="2716"/>
      <c r="P89" s="2715"/>
      <c r="Q89" s="2715"/>
      <c r="R89" s="2717"/>
    </row>
    <row r="90" spans="2:18" s="907" customFormat="1">
      <c r="B90" s="2715"/>
      <c r="C90" s="2715"/>
      <c r="D90" s="2715"/>
      <c r="E90" s="2715"/>
      <c r="F90" s="2715"/>
      <c r="G90" s="2716"/>
      <c r="H90" s="2715"/>
      <c r="I90" s="2716"/>
      <c r="J90" s="2715"/>
      <c r="K90" s="2715"/>
      <c r="L90" s="2716"/>
      <c r="M90" s="2715"/>
      <c r="N90" s="2715"/>
      <c r="O90" s="2716"/>
      <c r="P90" s="2715"/>
      <c r="Q90" s="2715"/>
      <c r="R90" s="2717"/>
    </row>
    <row r="91" spans="2:18" s="907" customFormat="1">
      <c r="B91" s="2715"/>
      <c r="C91" s="2715"/>
      <c r="D91" s="2715"/>
      <c r="E91" s="2715"/>
      <c r="F91" s="2715"/>
      <c r="G91" s="2716"/>
      <c r="H91" s="2715"/>
      <c r="I91" s="2716"/>
      <c r="J91" s="2715"/>
      <c r="K91" s="2715"/>
      <c r="L91" s="2716"/>
      <c r="M91" s="2715"/>
      <c r="N91" s="2715"/>
      <c r="O91" s="2716"/>
      <c r="P91" s="2715"/>
      <c r="Q91" s="2715"/>
      <c r="R91" s="2717"/>
    </row>
    <row r="92" spans="2:18" s="907" customFormat="1">
      <c r="B92" s="2715"/>
      <c r="C92" s="2715"/>
      <c r="D92" s="2715"/>
      <c r="E92" s="2715"/>
      <c r="F92" s="2715"/>
      <c r="G92" s="2716"/>
      <c r="H92" s="2715"/>
      <c r="I92" s="2716"/>
      <c r="J92" s="2715"/>
      <c r="K92" s="2715"/>
      <c r="L92" s="2716"/>
      <c r="M92" s="2715"/>
      <c r="N92" s="2715"/>
      <c r="O92" s="2716"/>
      <c r="P92" s="2715"/>
      <c r="Q92" s="2715"/>
      <c r="R92" s="2717"/>
    </row>
    <row r="93" spans="2:18" s="907" customFormat="1">
      <c r="B93" s="2715"/>
      <c r="C93" s="2715"/>
      <c r="D93" s="2715"/>
      <c r="E93" s="2715"/>
      <c r="F93" s="2715"/>
      <c r="G93" s="2716"/>
      <c r="H93" s="2715"/>
      <c r="I93" s="2716"/>
      <c r="J93" s="2715"/>
      <c r="K93" s="2715"/>
      <c r="L93" s="2716"/>
      <c r="M93" s="2715"/>
      <c r="N93" s="2715"/>
      <c r="O93" s="2716"/>
      <c r="P93" s="2715"/>
      <c r="Q93" s="2715"/>
      <c r="R93" s="2717"/>
    </row>
    <row r="94" spans="2:18" s="907" customFormat="1">
      <c r="B94" s="2715"/>
      <c r="C94" s="2715"/>
      <c r="D94" s="2715"/>
      <c r="E94" s="2715"/>
      <c r="F94" s="2715"/>
      <c r="G94" s="2716"/>
      <c r="H94" s="2715"/>
      <c r="I94" s="2716"/>
      <c r="J94" s="2715"/>
      <c r="K94" s="2715"/>
      <c r="L94" s="2716"/>
      <c r="M94" s="2715"/>
      <c r="N94" s="2715"/>
      <c r="O94" s="2716"/>
      <c r="P94" s="2715"/>
      <c r="Q94" s="2715"/>
      <c r="R94" s="2717"/>
    </row>
    <row r="95" spans="2:18" s="907" customFormat="1">
      <c r="B95" s="2715"/>
      <c r="C95" s="2715"/>
      <c r="D95" s="2715"/>
      <c r="E95" s="2715"/>
      <c r="F95" s="2715"/>
      <c r="G95" s="2716"/>
      <c r="H95" s="2715"/>
      <c r="I95" s="2716"/>
      <c r="J95" s="2715"/>
      <c r="K95" s="2715"/>
      <c r="L95" s="2716"/>
      <c r="M95" s="2715"/>
      <c r="N95" s="2715"/>
      <c r="O95" s="2716"/>
      <c r="P95" s="2715"/>
      <c r="Q95" s="2715"/>
      <c r="R95" s="2717"/>
    </row>
    <row r="96" spans="2:18" s="907" customFormat="1">
      <c r="B96" s="2715"/>
      <c r="C96" s="2715"/>
      <c r="D96" s="2715"/>
      <c r="E96" s="2715"/>
      <c r="F96" s="2715"/>
      <c r="G96" s="2716"/>
      <c r="H96" s="2715"/>
      <c r="I96" s="2716"/>
      <c r="J96" s="2715"/>
      <c r="K96" s="2715"/>
      <c r="L96" s="2716"/>
      <c r="M96" s="2715"/>
      <c r="N96" s="2715"/>
      <c r="O96" s="2716"/>
      <c r="P96" s="2715"/>
      <c r="Q96" s="2715"/>
      <c r="R96" s="2717"/>
    </row>
    <row r="97" spans="2:18" s="907" customFormat="1">
      <c r="B97" s="2715"/>
      <c r="C97" s="2715"/>
      <c r="D97" s="2715"/>
      <c r="E97" s="2715"/>
      <c r="F97" s="2715"/>
      <c r="G97" s="2716"/>
      <c r="H97" s="2715"/>
      <c r="I97" s="2716"/>
      <c r="J97" s="2715"/>
      <c r="K97" s="2715"/>
      <c r="L97" s="2716"/>
      <c r="M97" s="2715"/>
      <c r="N97" s="2715"/>
      <c r="O97" s="2716"/>
      <c r="P97" s="2715"/>
      <c r="Q97" s="2715"/>
      <c r="R97" s="2717"/>
    </row>
    <row r="98" spans="2:18" s="907" customFormat="1">
      <c r="B98" s="2715"/>
      <c r="C98" s="2715"/>
      <c r="D98" s="2715"/>
      <c r="E98" s="2715"/>
      <c r="F98" s="2715"/>
      <c r="G98" s="2716"/>
      <c r="H98" s="2715"/>
      <c r="I98" s="2716"/>
      <c r="J98" s="2715"/>
      <c r="K98" s="2715"/>
      <c r="L98" s="2716"/>
      <c r="M98" s="2715"/>
      <c r="N98" s="2715"/>
      <c r="O98" s="2716"/>
      <c r="P98" s="2715"/>
      <c r="Q98" s="2715"/>
      <c r="R98" s="2717"/>
    </row>
    <row r="99" spans="2:18" s="907" customFormat="1">
      <c r="B99" s="2715"/>
      <c r="C99" s="2715"/>
      <c r="D99" s="2715"/>
      <c r="E99" s="2715"/>
      <c r="F99" s="2715"/>
      <c r="G99" s="2716"/>
      <c r="H99" s="2715"/>
      <c r="I99" s="2716"/>
      <c r="J99" s="2715"/>
      <c r="K99" s="2715"/>
      <c r="L99" s="2716"/>
      <c r="M99" s="2715"/>
      <c r="N99" s="2715"/>
      <c r="O99" s="2716"/>
      <c r="P99" s="2715"/>
      <c r="Q99" s="2715"/>
      <c r="R99" s="2717"/>
    </row>
    <row r="100" spans="2:18" s="907" customFormat="1">
      <c r="B100" s="2715"/>
      <c r="C100" s="2715"/>
      <c r="D100" s="2715"/>
      <c r="E100" s="2715"/>
      <c r="F100" s="2715"/>
      <c r="G100" s="2716"/>
      <c r="H100" s="2715"/>
      <c r="I100" s="2716"/>
      <c r="J100" s="2715"/>
      <c r="K100" s="2715"/>
      <c r="L100" s="2716"/>
      <c r="M100" s="2715"/>
      <c r="N100" s="2715"/>
      <c r="O100" s="2716"/>
      <c r="P100" s="2715"/>
      <c r="Q100" s="2715"/>
      <c r="R100" s="2717"/>
    </row>
    <row r="101" spans="2:18" s="907" customFormat="1">
      <c r="B101" s="2715"/>
      <c r="C101" s="2715"/>
      <c r="D101" s="2715"/>
      <c r="E101" s="2715"/>
      <c r="F101" s="2715"/>
      <c r="G101" s="2716"/>
      <c r="H101" s="2715"/>
      <c r="I101" s="2716"/>
      <c r="J101" s="2715"/>
      <c r="K101" s="2715"/>
      <c r="L101" s="2716"/>
      <c r="M101" s="2715"/>
      <c r="N101" s="2715"/>
      <c r="O101" s="2716"/>
      <c r="P101" s="2715"/>
      <c r="Q101" s="2715"/>
      <c r="R101" s="2717"/>
    </row>
    <row r="102" spans="2:18" s="907" customFormat="1">
      <c r="B102" s="2715"/>
      <c r="C102" s="2715"/>
      <c r="D102" s="2715"/>
      <c r="E102" s="2715"/>
      <c r="F102" s="2715"/>
      <c r="G102" s="2716"/>
      <c r="H102" s="2715"/>
      <c r="I102" s="2716"/>
      <c r="J102" s="2715"/>
      <c r="K102" s="2715"/>
      <c r="L102" s="2716"/>
      <c r="M102" s="2715"/>
      <c r="N102" s="2715"/>
      <c r="O102" s="2716"/>
      <c r="P102" s="2715"/>
      <c r="Q102" s="2715"/>
      <c r="R102" s="2717"/>
    </row>
    <row r="103" spans="2:18" s="907" customFormat="1">
      <c r="B103" s="2715"/>
      <c r="C103" s="2715"/>
      <c r="D103" s="2715"/>
      <c r="E103" s="2715"/>
      <c r="F103" s="2715"/>
      <c r="G103" s="2716"/>
      <c r="H103" s="2715"/>
      <c r="I103" s="2716"/>
      <c r="J103" s="2715"/>
      <c r="K103" s="2715"/>
      <c r="L103" s="2716"/>
      <c r="M103" s="2715"/>
      <c r="N103" s="2715"/>
      <c r="O103" s="2716"/>
      <c r="P103" s="2715"/>
      <c r="Q103" s="2715"/>
      <c r="R103" s="2717"/>
    </row>
    <row r="104" spans="2:18" s="907" customFormat="1">
      <c r="B104" s="2715"/>
      <c r="C104" s="2715"/>
      <c r="D104" s="2715"/>
      <c r="E104" s="2715"/>
      <c r="F104" s="2715"/>
      <c r="G104" s="2716"/>
      <c r="H104" s="2715"/>
      <c r="I104" s="2716"/>
      <c r="J104" s="2715"/>
      <c r="K104" s="2715"/>
      <c r="L104" s="2716"/>
      <c r="M104" s="2715"/>
      <c r="N104" s="2715"/>
      <c r="O104" s="2716"/>
      <c r="P104" s="2715"/>
      <c r="Q104" s="2715"/>
      <c r="R104" s="2717"/>
    </row>
    <row r="105" spans="2:18" s="907" customFormat="1">
      <c r="B105" s="2715"/>
      <c r="C105" s="2715"/>
      <c r="D105" s="2715"/>
      <c r="E105" s="2715"/>
      <c r="F105" s="2715"/>
      <c r="G105" s="2716"/>
      <c r="H105" s="2715"/>
      <c r="I105" s="2716"/>
      <c r="J105" s="2715"/>
      <c r="K105" s="2715"/>
      <c r="L105" s="2716"/>
      <c r="M105" s="2715"/>
      <c r="N105" s="2715"/>
      <c r="O105" s="2716"/>
      <c r="P105" s="2715"/>
      <c r="Q105" s="2715"/>
      <c r="R105" s="2717"/>
    </row>
    <row r="106" spans="2:18" s="907" customFormat="1">
      <c r="B106" s="2715"/>
      <c r="C106" s="2715"/>
      <c r="D106" s="2715"/>
      <c r="E106" s="2715"/>
      <c r="F106" s="2715"/>
      <c r="G106" s="2716"/>
      <c r="H106" s="2715"/>
      <c r="I106" s="2716"/>
      <c r="J106" s="2715"/>
      <c r="K106" s="2715"/>
      <c r="L106" s="2716"/>
      <c r="M106" s="2715"/>
      <c r="N106" s="2715"/>
      <c r="O106" s="2716"/>
      <c r="P106" s="2715"/>
      <c r="Q106" s="2715"/>
      <c r="R106" s="2717"/>
    </row>
    <row r="107" spans="2:18" s="907" customFormat="1">
      <c r="B107" s="2715"/>
      <c r="C107" s="2715"/>
      <c r="D107" s="2715"/>
      <c r="E107" s="2715"/>
      <c r="F107" s="2715"/>
      <c r="G107" s="2716"/>
      <c r="H107" s="2715"/>
      <c r="I107" s="2716"/>
      <c r="J107" s="2715"/>
      <c r="K107" s="2715"/>
      <c r="L107" s="2716"/>
      <c r="M107" s="2715"/>
      <c r="N107" s="2715"/>
      <c r="O107" s="2716"/>
      <c r="P107" s="2715"/>
      <c r="Q107" s="2715"/>
      <c r="R107" s="2717"/>
    </row>
    <row r="108" spans="2:18" s="907" customFormat="1">
      <c r="B108" s="2715"/>
      <c r="C108" s="2715"/>
      <c r="D108" s="2715"/>
      <c r="E108" s="2715"/>
      <c r="F108" s="2715"/>
      <c r="G108" s="2716"/>
      <c r="H108" s="2715"/>
      <c r="I108" s="2716"/>
      <c r="J108" s="2715"/>
      <c r="K108" s="2715"/>
      <c r="L108" s="2716"/>
      <c r="M108" s="2715"/>
      <c r="N108" s="2715"/>
      <c r="O108" s="2716"/>
      <c r="P108" s="2715"/>
      <c r="Q108" s="2715"/>
      <c r="R108" s="2717"/>
    </row>
    <row r="109" spans="2:18" s="907" customFormat="1">
      <c r="B109" s="2715"/>
      <c r="C109" s="2715"/>
      <c r="D109" s="2715"/>
      <c r="E109" s="2715"/>
      <c r="F109" s="2715"/>
      <c r="G109" s="2716"/>
      <c r="H109" s="2715"/>
      <c r="I109" s="2716"/>
      <c r="J109" s="2715"/>
      <c r="K109" s="2715"/>
      <c r="L109" s="2716"/>
      <c r="M109" s="2715"/>
      <c r="N109" s="2715"/>
      <c r="O109" s="2716"/>
      <c r="P109" s="2715"/>
      <c r="Q109" s="2715"/>
      <c r="R109" s="2717"/>
    </row>
    <row r="110" spans="2:18" s="907" customFormat="1">
      <c r="B110" s="2715"/>
      <c r="C110" s="2715"/>
      <c r="D110" s="2715"/>
      <c r="E110" s="2715"/>
      <c r="F110" s="2715"/>
      <c r="G110" s="2716"/>
      <c r="H110" s="2715"/>
      <c r="I110" s="2716"/>
      <c r="J110" s="2715"/>
      <c r="K110" s="2715"/>
      <c r="L110" s="2716"/>
      <c r="M110" s="2715"/>
      <c r="N110" s="2715"/>
      <c r="O110" s="2716"/>
      <c r="P110" s="2715"/>
      <c r="Q110" s="2715"/>
      <c r="R110" s="2717"/>
    </row>
    <row r="111" spans="2:18" s="907" customFormat="1">
      <c r="B111" s="2715"/>
      <c r="C111" s="2715"/>
      <c r="D111" s="2715"/>
      <c r="E111" s="2715"/>
      <c r="F111" s="2715"/>
      <c r="G111" s="2716"/>
      <c r="H111" s="2715"/>
      <c r="I111" s="2716"/>
      <c r="J111" s="2715"/>
      <c r="K111" s="2715"/>
      <c r="L111" s="2716"/>
      <c r="M111" s="2715"/>
      <c r="N111" s="2715"/>
      <c r="O111" s="2716"/>
      <c r="P111" s="2715"/>
      <c r="Q111" s="2715"/>
      <c r="R111" s="2717"/>
    </row>
    <row r="112" spans="2:18" s="907" customFormat="1">
      <c r="B112" s="2715"/>
      <c r="C112" s="2715"/>
      <c r="D112" s="2715"/>
      <c r="E112" s="2715"/>
      <c r="F112" s="2715"/>
      <c r="G112" s="2716"/>
      <c r="H112" s="2715"/>
      <c r="I112" s="2716"/>
      <c r="J112" s="2715"/>
      <c r="K112" s="2715"/>
      <c r="L112" s="2716"/>
      <c r="M112" s="2715"/>
      <c r="N112" s="2715"/>
      <c r="O112" s="2716"/>
      <c r="P112" s="2715"/>
      <c r="Q112" s="2715"/>
      <c r="R112" s="2717"/>
    </row>
    <row r="113" spans="2:18" s="907" customFormat="1">
      <c r="B113" s="2715"/>
      <c r="C113" s="2715"/>
      <c r="D113" s="2715"/>
      <c r="E113" s="2715"/>
      <c r="F113" s="2715"/>
      <c r="G113" s="2716"/>
      <c r="H113" s="2715"/>
      <c r="I113" s="2716"/>
      <c r="J113" s="2715"/>
      <c r="K113" s="2715"/>
      <c r="L113" s="2716"/>
      <c r="M113" s="2715"/>
      <c r="N113" s="2715"/>
      <c r="O113" s="2716"/>
      <c r="P113" s="2715"/>
      <c r="Q113" s="2715"/>
      <c r="R113" s="2717"/>
    </row>
    <row r="114" spans="2:18" s="907" customFormat="1">
      <c r="B114" s="2715"/>
      <c r="C114" s="2715"/>
      <c r="D114" s="2715"/>
      <c r="E114" s="2715"/>
      <c r="F114" s="2715"/>
      <c r="G114" s="2716"/>
      <c r="H114" s="2715"/>
      <c r="I114" s="2716"/>
      <c r="J114" s="2715"/>
      <c r="K114" s="2715"/>
      <c r="L114" s="2716"/>
      <c r="M114" s="2715"/>
      <c r="N114" s="2715"/>
      <c r="O114" s="2716"/>
      <c r="P114" s="2715"/>
      <c r="Q114" s="2715"/>
      <c r="R114" s="2717"/>
    </row>
    <row r="115" spans="2:18" s="907" customFormat="1">
      <c r="B115" s="2715"/>
      <c r="C115" s="2715"/>
      <c r="D115" s="2715"/>
      <c r="E115" s="2715"/>
      <c r="F115" s="2715"/>
      <c r="G115" s="2716"/>
      <c r="H115" s="2715"/>
      <c r="I115" s="2716"/>
      <c r="J115" s="2715"/>
      <c r="K115" s="2715"/>
      <c r="L115" s="2716"/>
      <c r="M115" s="2715"/>
      <c r="N115" s="2715"/>
      <c r="O115" s="2716"/>
      <c r="P115" s="2715"/>
      <c r="Q115" s="2715"/>
      <c r="R115" s="2717"/>
    </row>
    <row r="116" spans="2:18" s="907" customFormat="1">
      <c r="B116" s="2715"/>
      <c r="C116" s="2715"/>
      <c r="D116" s="2715"/>
      <c r="E116" s="2715"/>
      <c r="F116" s="2715"/>
      <c r="G116" s="2716"/>
      <c r="H116" s="2715"/>
      <c r="I116" s="2716"/>
      <c r="J116" s="2715"/>
      <c r="K116" s="2715"/>
      <c r="L116" s="2716"/>
      <c r="M116" s="2715"/>
      <c r="N116" s="2715"/>
      <c r="O116" s="2716"/>
      <c r="P116" s="2715"/>
      <c r="Q116" s="2715"/>
      <c r="R116" s="2717"/>
    </row>
    <row r="117" spans="2:18" s="907" customFormat="1">
      <c r="B117" s="2715"/>
      <c r="C117" s="2715"/>
      <c r="D117" s="2715"/>
      <c r="E117" s="2715"/>
      <c r="F117" s="2715"/>
      <c r="G117" s="2716"/>
      <c r="H117" s="2715"/>
      <c r="I117" s="2716"/>
      <c r="J117" s="2715"/>
      <c r="K117" s="2715"/>
      <c r="L117" s="2716"/>
      <c r="M117" s="2715"/>
      <c r="N117" s="2715"/>
      <c r="O117" s="2716"/>
      <c r="P117" s="2715"/>
      <c r="Q117" s="2715"/>
      <c r="R117" s="2717"/>
    </row>
    <row r="118" spans="2:18" s="907" customFormat="1">
      <c r="B118" s="2715"/>
      <c r="C118" s="2715"/>
      <c r="D118" s="2715"/>
      <c r="E118" s="2715"/>
      <c r="F118" s="2715"/>
      <c r="G118" s="2716"/>
      <c r="H118" s="2715"/>
      <c r="I118" s="2716"/>
      <c r="J118" s="2715"/>
      <c r="K118" s="2715"/>
      <c r="L118" s="2716"/>
      <c r="M118" s="2715"/>
      <c r="N118" s="2715"/>
      <c r="O118" s="2716"/>
      <c r="P118" s="2715"/>
      <c r="Q118" s="2715"/>
      <c r="R118" s="2717"/>
    </row>
    <row r="119" spans="2:18" s="907" customFormat="1">
      <c r="B119" s="2715"/>
      <c r="C119" s="2715"/>
      <c r="D119" s="2715"/>
      <c r="E119" s="2715"/>
      <c r="F119" s="2715"/>
      <c r="G119" s="2716"/>
      <c r="H119" s="2715"/>
      <c r="I119" s="2716"/>
      <c r="J119" s="2715"/>
      <c r="K119" s="2715"/>
      <c r="L119" s="2716"/>
      <c r="M119" s="2715"/>
      <c r="N119" s="2715"/>
      <c r="O119" s="2716"/>
      <c r="P119" s="2715"/>
      <c r="Q119" s="2715"/>
      <c r="R119" s="2717"/>
    </row>
    <row r="120" spans="2:18" s="907" customFormat="1">
      <c r="B120" s="2715"/>
      <c r="C120" s="2715"/>
      <c r="D120" s="2715"/>
      <c r="E120" s="2715"/>
      <c r="F120" s="2715"/>
      <c r="G120" s="2716"/>
      <c r="H120" s="2715"/>
      <c r="I120" s="2716"/>
      <c r="J120" s="2715"/>
      <c r="K120" s="2715"/>
      <c r="L120" s="2716"/>
      <c r="M120" s="2715"/>
      <c r="N120" s="2715"/>
      <c r="O120" s="2716"/>
      <c r="P120" s="2715"/>
      <c r="Q120" s="2715"/>
      <c r="R120" s="2717"/>
    </row>
    <row r="121" spans="2:18" s="907" customFormat="1">
      <c r="B121" s="2715"/>
      <c r="C121" s="2715"/>
      <c r="D121" s="2715"/>
      <c r="E121" s="2715"/>
      <c r="F121" s="2715"/>
      <c r="G121" s="2716"/>
      <c r="H121" s="2715"/>
      <c r="I121" s="2716"/>
      <c r="J121" s="2715"/>
      <c r="K121" s="2715"/>
      <c r="L121" s="2716"/>
      <c r="M121" s="2715"/>
      <c r="N121" s="2715"/>
      <c r="O121" s="2716"/>
      <c r="P121" s="2715"/>
      <c r="Q121" s="2715"/>
      <c r="R121" s="2717"/>
    </row>
    <row r="122" spans="2:18" s="907" customFormat="1">
      <c r="B122" s="2715"/>
      <c r="C122" s="2715"/>
      <c r="D122" s="2715"/>
      <c r="E122" s="2715"/>
      <c r="F122" s="2715"/>
      <c r="G122" s="2716"/>
      <c r="H122" s="2715"/>
      <c r="I122" s="2716"/>
      <c r="J122" s="2715"/>
      <c r="K122" s="2715"/>
      <c r="L122" s="2716"/>
      <c r="M122" s="2715"/>
      <c r="N122" s="2715"/>
      <c r="O122" s="2716"/>
      <c r="P122" s="2715"/>
      <c r="Q122" s="2715"/>
      <c r="R122" s="2717"/>
    </row>
    <row r="123" spans="2:18" s="907" customFormat="1">
      <c r="B123" s="2715"/>
      <c r="C123" s="2715"/>
      <c r="D123" s="2715"/>
      <c r="E123" s="2715"/>
      <c r="F123" s="2715"/>
      <c r="G123" s="2716"/>
      <c r="H123" s="2715"/>
      <c r="I123" s="2716"/>
      <c r="J123" s="2715"/>
      <c r="K123" s="2715"/>
      <c r="L123" s="2716"/>
      <c r="M123" s="2715"/>
      <c r="N123" s="2715"/>
      <c r="O123" s="2716"/>
      <c r="P123" s="2715"/>
      <c r="Q123" s="2715"/>
      <c r="R123" s="2717"/>
    </row>
    <row r="124" spans="2:18" s="907" customFormat="1">
      <c r="B124" s="2715"/>
      <c r="C124" s="2715"/>
      <c r="D124" s="2715"/>
      <c r="E124" s="2715"/>
      <c r="F124" s="2715"/>
      <c r="G124" s="2716"/>
      <c r="H124" s="2715"/>
      <c r="I124" s="2716"/>
      <c r="J124" s="2715"/>
      <c r="K124" s="2715"/>
      <c r="L124" s="2716"/>
      <c r="M124" s="2715"/>
      <c r="N124" s="2715"/>
      <c r="O124" s="2716"/>
      <c r="P124" s="2715"/>
      <c r="Q124" s="2715"/>
      <c r="R124" s="2717"/>
    </row>
    <row r="125" spans="2:18" s="907" customFormat="1">
      <c r="B125" s="2715"/>
      <c r="C125" s="2715"/>
      <c r="D125" s="2715"/>
      <c r="E125" s="2715"/>
      <c r="F125" s="2715"/>
      <c r="G125" s="2716"/>
      <c r="H125" s="2715"/>
      <c r="I125" s="2716"/>
      <c r="J125" s="2715"/>
      <c r="K125" s="2715"/>
      <c r="L125" s="2716"/>
      <c r="M125" s="2715"/>
      <c r="N125" s="2715"/>
      <c r="O125" s="2716"/>
      <c r="P125" s="2715"/>
      <c r="Q125" s="2715"/>
      <c r="R125" s="2717"/>
    </row>
    <row r="126" spans="2:18" s="907" customFormat="1">
      <c r="B126" s="2715"/>
      <c r="C126" s="2715"/>
      <c r="D126" s="2715"/>
      <c r="E126" s="2715"/>
      <c r="F126" s="2715"/>
      <c r="G126" s="2716"/>
      <c r="H126" s="2715"/>
      <c r="I126" s="2716"/>
      <c r="J126" s="2715"/>
      <c r="K126" s="2715"/>
      <c r="L126" s="2716"/>
      <c r="M126" s="2715"/>
      <c r="N126" s="2715"/>
      <c r="O126" s="2716"/>
      <c r="P126" s="2715"/>
      <c r="Q126" s="2715"/>
      <c r="R126" s="2717"/>
    </row>
    <row r="127" spans="2:18" s="907" customFormat="1">
      <c r="B127" s="2715"/>
      <c r="C127" s="2715"/>
      <c r="D127" s="2715"/>
      <c r="E127" s="2715"/>
      <c r="F127" s="2715"/>
      <c r="G127" s="2716"/>
      <c r="H127" s="2715"/>
      <c r="I127" s="2716"/>
      <c r="J127" s="2715"/>
      <c r="K127" s="2715"/>
      <c r="L127" s="2716"/>
      <c r="M127" s="2715"/>
      <c r="N127" s="2715"/>
      <c r="O127" s="2716"/>
      <c r="P127" s="2715"/>
      <c r="Q127" s="2715"/>
      <c r="R127" s="2717"/>
    </row>
    <row r="128" spans="2:18" s="907" customFormat="1">
      <c r="B128" s="2715"/>
      <c r="C128" s="2715"/>
      <c r="D128" s="2715"/>
      <c r="E128" s="2715"/>
      <c r="F128" s="2715"/>
      <c r="G128" s="2716"/>
      <c r="H128" s="2715"/>
      <c r="I128" s="2716"/>
      <c r="J128" s="2715"/>
      <c r="K128" s="2715"/>
      <c r="L128" s="2716"/>
      <c r="M128" s="2715"/>
      <c r="N128" s="2715"/>
      <c r="O128" s="2716"/>
      <c r="P128" s="2715"/>
      <c r="Q128" s="2715"/>
      <c r="R128" s="2717"/>
    </row>
    <row r="129" spans="2:18" s="907" customFormat="1">
      <c r="B129" s="2715"/>
      <c r="C129" s="2715"/>
      <c r="D129" s="2715"/>
      <c r="E129" s="2715"/>
      <c r="F129" s="2715"/>
      <c r="G129" s="2716"/>
      <c r="H129" s="2715"/>
      <c r="I129" s="2716"/>
      <c r="J129" s="2715"/>
      <c r="K129" s="2715"/>
      <c r="L129" s="2716"/>
      <c r="M129" s="2715"/>
      <c r="N129" s="2715"/>
      <c r="O129" s="2716"/>
      <c r="P129" s="2715"/>
      <c r="Q129" s="2715"/>
      <c r="R129" s="2717"/>
    </row>
    <row r="130" spans="2:18" s="907" customFormat="1">
      <c r="B130" s="2715"/>
      <c r="C130" s="2715"/>
      <c r="D130" s="2715"/>
      <c r="E130" s="2715"/>
      <c r="F130" s="2715"/>
      <c r="G130" s="2716"/>
      <c r="H130" s="2715"/>
      <c r="I130" s="2716"/>
      <c r="J130" s="2715"/>
      <c r="K130" s="2715"/>
      <c r="L130" s="2716"/>
      <c r="M130" s="2715"/>
      <c r="N130" s="2715"/>
      <c r="O130" s="2716"/>
      <c r="P130" s="2715"/>
      <c r="Q130" s="2715"/>
      <c r="R130" s="2717"/>
    </row>
    <row r="131" spans="2:18" s="907" customFormat="1">
      <c r="B131" s="2715"/>
      <c r="C131" s="2715"/>
      <c r="D131" s="2715"/>
      <c r="E131" s="2715"/>
      <c r="F131" s="2715"/>
      <c r="G131" s="2716"/>
      <c r="H131" s="2715"/>
      <c r="I131" s="2716"/>
      <c r="J131" s="2715"/>
      <c r="K131" s="2715"/>
      <c r="L131" s="2716"/>
      <c r="M131" s="2715"/>
      <c r="N131" s="2715"/>
      <c r="O131" s="2716"/>
      <c r="P131" s="2715"/>
      <c r="Q131" s="2715"/>
      <c r="R131" s="2717"/>
    </row>
    <row r="132" spans="2:18" s="907" customFormat="1">
      <c r="B132" s="2715"/>
      <c r="C132" s="2715"/>
      <c r="D132" s="2715"/>
      <c r="E132" s="2715"/>
      <c r="F132" s="2715"/>
      <c r="G132" s="2716"/>
      <c r="H132" s="2715"/>
      <c r="I132" s="2716"/>
      <c r="J132" s="2715"/>
      <c r="K132" s="2715"/>
      <c r="L132" s="2716"/>
      <c r="M132" s="2715"/>
      <c r="N132" s="2715"/>
      <c r="O132" s="2716"/>
      <c r="P132" s="2715"/>
      <c r="Q132" s="2715"/>
      <c r="R132" s="2717"/>
    </row>
    <row r="133" spans="2:18" s="907" customFormat="1">
      <c r="B133" s="2715"/>
      <c r="C133" s="2715"/>
      <c r="D133" s="2715"/>
      <c r="E133" s="2715"/>
      <c r="F133" s="2715"/>
      <c r="G133" s="2716"/>
      <c r="H133" s="2715"/>
      <c r="I133" s="2716"/>
      <c r="J133" s="2715"/>
      <c r="K133" s="2715"/>
      <c r="L133" s="2716"/>
      <c r="M133" s="2715"/>
      <c r="N133" s="2715"/>
      <c r="O133" s="2716"/>
      <c r="P133" s="2715"/>
      <c r="Q133" s="2715"/>
      <c r="R133" s="2717"/>
    </row>
    <row r="134" spans="2:18" s="907" customFormat="1">
      <c r="B134" s="2715"/>
      <c r="C134" s="2715"/>
      <c r="D134" s="2715"/>
      <c r="E134" s="2715"/>
      <c r="F134" s="2715"/>
      <c r="G134" s="2716"/>
      <c r="H134" s="2715"/>
      <c r="I134" s="2716"/>
      <c r="J134" s="2715"/>
      <c r="K134" s="2715"/>
      <c r="L134" s="2716"/>
      <c r="M134" s="2715"/>
      <c r="N134" s="2715"/>
      <c r="O134" s="2716"/>
      <c r="P134" s="2715"/>
      <c r="Q134" s="2715"/>
      <c r="R134" s="2717"/>
    </row>
    <row r="135" spans="2:18" s="907" customFormat="1">
      <c r="B135" s="2715"/>
      <c r="C135" s="2715"/>
      <c r="D135" s="2715"/>
      <c r="E135" s="2715"/>
      <c r="F135" s="2715"/>
      <c r="G135" s="2716"/>
      <c r="H135" s="2715"/>
      <c r="I135" s="2716"/>
      <c r="J135" s="2715"/>
      <c r="K135" s="2715"/>
      <c r="L135" s="2716"/>
      <c r="M135" s="2715"/>
      <c r="N135" s="2715"/>
      <c r="O135" s="2716"/>
      <c r="P135" s="2715"/>
      <c r="Q135" s="2715"/>
      <c r="R135" s="2717"/>
    </row>
    <row r="136" spans="2:18" s="907" customFormat="1">
      <c r="B136" s="2715"/>
      <c r="C136" s="2715"/>
      <c r="D136" s="2715"/>
      <c r="E136" s="2715"/>
      <c r="F136" s="2715"/>
      <c r="G136" s="2716"/>
      <c r="H136" s="2715"/>
      <c r="I136" s="2716"/>
      <c r="J136" s="2715"/>
      <c r="K136" s="2715"/>
      <c r="L136" s="2716"/>
      <c r="M136" s="2715"/>
      <c r="N136" s="2715"/>
      <c r="O136" s="2716"/>
      <c r="P136" s="2715"/>
      <c r="Q136" s="2715"/>
      <c r="R136" s="2717"/>
    </row>
    <row r="137" spans="2:18" s="907" customFormat="1">
      <c r="B137" s="2715"/>
      <c r="C137" s="2715"/>
      <c r="D137" s="2715"/>
      <c r="E137" s="2715"/>
      <c r="F137" s="2715"/>
      <c r="G137" s="2716"/>
      <c r="H137" s="2715"/>
      <c r="I137" s="2716"/>
      <c r="J137" s="2715"/>
      <c r="K137" s="2715"/>
      <c r="L137" s="2716"/>
      <c r="M137" s="2715"/>
      <c r="N137" s="2715"/>
      <c r="O137" s="2716"/>
      <c r="P137" s="2715"/>
      <c r="Q137" s="2715"/>
      <c r="R137" s="2717"/>
    </row>
    <row r="138" spans="2:18" s="907" customFormat="1">
      <c r="B138" s="2715"/>
      <c r="C138" s="2715"/>
      <c r="D138" s="2715"/>
      <c r="E138" s="2715"/>
      <c r="F138" s="2715"/>
      <c r="G138" s="2716"/>
      <c r="H138" s="2715"/>
      <c r="I138" s="2716"/>
      <c r="J138" s="2715"/>
      <c r="K138" s="2715"/>
      <c r="L138" s="2716"/>
      <c r="M138" s="2715"/>
      <c r="N138" s="2715"/>
      <c r="O138" s="2716"/>
      <c r="P138" s="2715"/>
      <c r="Q138" s="2715"/>
      <c r="R138" s="2717"/>
    </row>
    <row r="139" spans="2:18" s="907" customFormat="1">
      <c r="B139" s="2715"/>
      <c r="C139" s="2715"/>
      <c r="D139" s="2715"/>
      <c r="E139" s="2715"/>
      <c r="F139" s="2715"/>
      <c r="G139" s="2716"/>
      <c r="H139" s="2715"/>
      <c r="I139" s="2716"/>
      <c r="J139" s="2715"/>
      <c r="K139" s="2715"/>
      <c r="L139" s="2716"/>
      <c r="M139" s="2715"/>
      <c r="N139" s="2715"/>
      <c r="O139" s="2716"/>
      <c r="P139" s="2715"/>
      <c r="Q139" s="2715"/>
      <c r="R139" s="2717"/>
    </row>
    <row r="140" spans="2:18" s="907" customFormat="1">
      <c r="B140" s="2715"/>
      <c r="C140" s="2715"/>
      <c r="D140" s="2715"/>
      <c r="E140" s="2715"/>
      <c r="F140" s="2715"/>
      <c r="G140" s="2716"/>
      <c r="H140" s="2715"/>
      <c r="I140" s="2716"/>
      <c r="J140" s="2715"/>
      <c r="K140" s="2715"/>
      <c r="L140" s="2716"/>
      <c r="M140" s="2715"/>
      <c r="N140" s="2715"/>
      <c r="O140" s="2716"/>
      <c r="P140" s="2715"/>
      <c r="Q140" s="2715"/>
      <c r="R140" s="2717"/>
    </row>
    <row r="141" spans="2:18" s="907" customFormat="1">
      <c r="B141" s="2715"/>
      <c r="C141" s="2715"/>
      <c r="D141" s="2715"/>
      <c r="E141" s="2715"/>
      <c r="F141" s="2715"/>
      <c r="G141" s="2716"/>
      <c r="H141" s="2715"/>
      <c r="I141" s="2716"/>
      <c r="J141" s="2715"/>
      <c r="K141" s="2715"/>
      <c r="L141" s="2716"/>
      <c r="M141" s="2715"/>
      <c r="N141" s="2715"/>
      <c r="O141" s="2716"/>
      <c r="P141" s="2715"/>
      <c r="Q141" s="2715"/>
      <c r="R141" s="2717"/>
    </row>
    <row r="142" spans="2:18" s="907" customFormat="1">
      <c r="B142" s="2715"/>
      <c r="C142" s="2715"/>
      <c r="D142" s="2715"/>
      <c r="E142" s="2715"/>
      <c r="F142" s="2715"/>
      <c r="G142" s="2716"/>
      <c r="H142" s="2715"/>
      <c r="I142" s="2716"/>
      <c r="J142" s="2715"/>
      <c r="K142" s="2715"/>
      <c r="L142" s="2716"/>
      <c r="M142" s="2715"/>
      <c r="N142" s="2715"/>
      <c r="O142" s="2716"/>
      <c r="P142" s="2715"/>
      <c r="Q142" s="2715"/>
      <c r="R142" s="2717"/>
    </row>
    <row r="143" spans="2:18" s="907" customFormat="1">
      <c r="B143" s="2715"/>
      <c r="C143" s="2715"/>
      <c r="D143" s="2715"/>
      <c r="E143" s="2715"/>
      <c r="F143" s="2715"/>
      <c r="G143" s="2716"/>
      <c r="H143" s="2715"/>
      <c r="I143" s="2716"/>
      <c r="J143" s="2715"/>
      <c r="K143" s="2715"/>
      <c r="L143" s="2716"/>
      <c r="M143" s="2715"/>
      <c r="N143" s="2715"/>
      <c r="O143" s="2716"/>
      <c r="P143" s="2715"/>
      <c r="Q143" s="2715"/>
      <c r="R143" s="2717"/>
    </row>
    <row r="144" spans="2:18" s="907" customFormat="1">
      <c r="B144" s="2715"/>
      <c r="C144" s="2715"/>
      <c r="D144" s="2715"/>
      <c r="E144" s="2715"/>
      <c r="F144" s="2715"/>
      <c r="G144" s="2716"/>
      <c r="H144" s="2715"/>
      <c r="I144" s="2716"/>
      <c r="J144" s="2715"/>
      <c r="K144" s="2715"/>
      <c r="L144" s="2716"/>
      <c r="M144" s="2715"/>
      <c r="N144" s="2715"/>
      <c r="O144" s="2716"/>
      <c r="P144" s="2715"/>
      <c r="Q144" s="2715"/>
      <c r="R144" s="2717"/>
    </row>
    <row r="145" spans="2:18" s="907" customFormat="1">
      <c r="B145" s="2715"/>
      <c r="C145" s="2715"/>
      <c r="D145" s="2715"/>
      <c r="E145" s="2715"/>
      <c r="F145" s="2715"/>
      <c r="G145" s="2716"/>
      <c r="H145" s="2715"/>
      <c r="I145" s="2716"/>
      <c r="J145" s="2715"/>
      <c r="K145" s="2715"/>
      <c r="L145" s="2716"/>
      <c r="M145" s="2715"/>
      <c r="N145" s="2715"/>
      <c r="O145" s="2716"/>
      <c r="P145" s="2715"/>
      <c r="Q145" s="2715"/>
      <c r="R145" s="2717"/>
    </row>
    <row r="146" spans="2:18" s="907" customFormat="1">
      <c r="B146" s="2715"/>
      <c r="C146" s="2715"/>
      <c r="D146" s="2715"/>
      <c r="E146" s="2715"/>
      <c r="F146" s="2715"/>
      <c r="G146" s="2716"/>
      <c r="H146" s="2715"/>
      <c r="I146" s="2716"/>
      <c r="J146" s="2715"/>
      <c r="K146" s="2715"/>
      <c r="L146" s="2716"/>
      <c r="M146" s="2715"/>
      <c r="N146" s="2715"/>
      <c r="O146" s="2716"/>
      <c r="P146" s="2715"/>
      <c r="Q146" s="2715"/>
      <c r="R146" s="2717"/>
    </row>
    <row r="147" spans="2:18" s="907" customFormat="1">
      <c r="B147" s="2715"/>
      <c r="C147" s="2715"/>
      <c r="D147" s="2715"/>
      <c r="E147" s="2715"/>
      <c r="F147" s="2715"/>
      <c r="G147" s="2716"/>
      <c r="H147" s="2715"/>
      <c r="I147" s="2716"/>
      <c r="J147" s="2715"/>
      <c r="K147" s="2715"/>
      <c r="L147" s="2716"/>
      <c r="M147" s="2715"/>
      <c r="N147" s="2715"/>
      <c r="O147" s="2716"/>
      <c r="P147" s="2715"/>
      <c r="Q147" s="2715"/>
      <c r="R147" s="2717"/>
    </row>
    <row r="148" spans="2:18" s="907" customFormat="1">
      <c r="B148" s="2715"/>
      <c r="C148" s="2715"/>
      <c r="D148" s="2715"/>
      <c r="E148" s="2715"/>
      <c r="F148" s="2715"/>
      <c r="G148" s="2716"/>
      <c r="H148" s="2715"/>
      <c r="I148" s="2716"/>
      <c r="J148" s="2715"/>
      <c r="K148" s="2715"/>
      <c r="L148" s="2716"/>
      <c r="M148" s="2715"/>
      <c r="N148" s="2715"/>
      <c r="O148" s="2716"/>
      <c r="P148" s="2715"/>
      <c r="Q148" s="2715"/>
      <c r="R148" s="2717"/>
    </row>
    <row r="149" spans="2:18" s="907" customFormat="1">
      <c r="B149" s="2715"/>
      <c r="C149" s="2715"/>
      <c r="D149" s="2715"/>
      <c r="E149" s="2715"/>
      <c r="F149" s="2715"/>
      <c r="G149" s="2716"/>
      <c r="H149" s="2715"/>
      <c r="I149" s="2716"/>
      <c r="J149" s="2715"/>
      <c r="K149" s="2715"/>
      <c r="L149" s="2716"/>
      <c r="M149" s="2715"/>
      <c r="N149" s="2715"/>
      <c r="O149" s="2716"/>
      <c r="P149" s="2715"/>
      <c r="Q149" s="2715"/>
      <c r="R149" s="2717"/>
    </row>
    <row r="150" spans="2:18" s="907" customFormat="1">
      <c r="B150" s="2715"/>
      <c r="C150" s="2715"/>
      <c r="D150" s="2715"/>
      <c r="E150" s="2715"/>
      <c r="F150" s="2715"/>
      <c r="G150" s="2716"/>
      <c r="H150" s="2715"/>
      <c r="I150" s="2716"/>
      <c r="J150" s="2715"/>
      <c r="K150" s="2715"/>
      <c r="L150" s="2716"/>
      <c r="M150" s="2715"/>
      <c r="N150" s="2715"/>
      <c r="O150" s="2716"/>
      <c r="P150" s="2715"/>
      <c r="Q150" s="2715"/>
      <c r="R150" s="2717"/>
    </row>
    <row r="151" spans="2:18" s="907" customFormat="1">
      <c r="B151" s="2715"/>
      <c r="C151" s="2715"/>
      <c r="D151" s="2715"/>
      <c r="E151" s="2715"/>
      <c r="F151" s="2715"/>
      <c r="G151" s="2716"/>
      <c r="H151" s="2715"/>
      <c r="I151" s="2716"/>
      <c r="J151" s="2715"/>
      <c r="K151" s="2715"/>
      <c r="L151" s="2716"/>
      <c r="M151" s="2715"/>
      <c r="N151" s="2715"/>
      <c r="O151" s="2716"/>
      <c r="P151" s="2715"/>
      <c r="Q151" s="2715"/>
      <c r="R151" s="2717"/>
    </row>
    <row r="152" spans="2:18" s="907" customFormat="1">
      <c r="B152" s="2715"/>
      <c r="C152" s="2715"/>
      <c r="D152" s="2715"/>
      <c r="E152" s="2715"/>
      <c r="F152" s="2715"/>
      <c r="G152" s="2716"/>
      <c r="H152" s="2715"/>
      <c r="I152" s="2716"/>
      <c r="J152" s="2715"/>
      <c r="K152" s="2715"/>
      <c r="L152" s="2716"/>
      <c r="M152" s="2715"/>
      <c r="N152" s="2715"/>
      <c r="O152" s="2716"/>
      <c r="P152" s="2715"/>
      <c r="Q152" s="2715"/>
      <c r="R152" s="2717"/>
    </row>
    <row r="153" spans="2:18" s="907" customFormat="1">
      <c r="B153" s="2715"/>
      <c r="C153" s="2715"/>
      <c r="D153" s="2715"/>
      <c r="E153" s="2715"/>
      <c r="F153" s="2715"/>
      <c r="G153" s="2716"/>
      <c r="H153" s="2715"/>
      <c r="I153" s="2716"/>
      <c r="J153" s="2715"/>
      <c r="K153" s="2715"/>
      <c r="L153" s="2716"/>
      <c r="M153" s="2715"/>
      <c r="N153" s="2715"/>
      <c r="O153" s="2716"/>
      <c r="P153" s="2715"/>
      <c r="Q153" s="2715"/>
      <c r="R153" s="2717"/>
    </row>
    <row r="154" spans="2:18" s="907" customFormat="1">
      <c r="B154" s="2715"/>
      <c r="C154" s="2715"/>
      <c r="D154" s="2715"/>
      <c r="E154" s="2715"/>
      <c r="F154" s="2715"/>
      <c r="G154" s="2716"/>
      <c r="H154" s="2715"/>
      <c r="I154" s="2716"/>
      <c r="J154" s="2715"/>
      <c r="K154" s="2715"/>
      <c r="L154" s="2716"/>
      <c r="M154" s="2715"/>
      <c r="N154" s="2715"/>
      <c r="O154" s="2716"/>
      <c r="P154" s="2715"/>
      <c r="Q154" s="2715"/>
      <c r="R154" s="2717"/>
    </row>
    <row r="155" spans="2:18" s="907" customFormat="1">
      <c r="B155" s="2715"/>
      <c r="C155" s="2715"/>
      <c r="D155" s="2715"/>
      <c r="E155" s="2715"/>
      <c r="F155" s="2715"/>
      <c r="G155" s="2716"/>
      <c r="H155" s="2715"/>
      <c r="I155" s="2716"/>
      <c r="J155" s="2715"/>
      <c r="K155" s="2715"/>
      <c r="L155" s="2716"/>
      <c r="M155" s="2715"/>
      <c r="N155" s="2715"/>
      <c r="O155" s="2716"/>
      <c r="P155" s="2715"/>
      <c r="Q155" s="2715"/>
      <c r="R155" s="2717"/>
    </row>
    <row r="156" spans="2:18" s="907" customFormat="1">
      <c r="B156" s="2715"/>
      <c r="C156" s="2715"/>
      <c r="D156" s="2715"/>
      <c r="E156" s="2715"/>
      <c r="F156" s="2715"/>
      <c r="G156" s="2716"/>
      <c r="H156" s="2715"/>
      <c r="I156" s="2716"/>
      <c r="J156" s="2715"/>
      <c r="K156" s="2715"/>
      <c r="L156" s="2716"/>
      <c r="M156" s="2715"/>
      <c r="N156" s="2715"/>
      <c r="O156" s="2716"/>
      <c r="P156" s="2715"/>
      <c r="Q156" s="2715"/>
      <c r="R156" s="2717"/>
    </row>
    <row r="157" spans="2:18" s="907" customFormat="1">
      <c r="B157" s="2715"/>
      <c r="C157" s="2715"/>
      <c r="D157" s="2715"/>
      <c r="E157" s="2715"/>
      <c r="F157" s="2715"/>
      <c r="G157" s="2716"/>
      <c r="H157" s="2715"/>
      <c r="I157" s="2716"/>
      <c r="J157" s="2715"/>
      <c r="K157" s="2715"/>
      <c r="L157" s="2716"/>
      <c r="M157" s="2715"/>
      <c r="N157" s="2715"/>
      <c r="O157" s="2716"/>
      <c r="P157" s="2715"/>
      <c r="Q157" s="2715"/>
      <c r="R157" s="2717"/>
    </row>
    <row r="158" spans="2:18" s="907" customFormat="1">
      <c r="B158" s="2715"/>
      <c r="C158" s="2715"/>
      <c r="D158" s="2715"/>
      <c r="E158" s="2715"/>
      <c r="F158" s="2715"/>
      <c r="G158" s="2716"/>
      <c r="H158" s="2715"/>
      <c r="I158" s="2716"/>
      <c r="J158" s="2715"/>
      <c r="K158" s="2715"/>
      <c r="L158" s="2716"/>
      <c r="M158" s="2715"/>
      <c r="N158" s="2715"/>
      <c r="O158" s="2716"/>
      <c r="P158" s="2715"/>
      <c r="Q158" s="2715"/>
      <c r="R158" s="2717"/>
    </row>
    <row r="159" spans="2:18" s="907" customFormat="1">
      <c r="B159" s="2715"/>
      <c r="C159" s="2715"/>
      <c r="D159" s="2715"/>
      <c r="E159" s="2715"/>
      <c r="F159" s="2715"/>
      <c r="G159" s="2716"/>
      <c r="H159" s="2715"/>
      <c r="I159" s="2716"/>
      <c r="J159" s="2715"/>
      <c r="K159" s="2715"/>
      <c r="L159" s="2716"/>
      <c r="M159" s="2715"/>
      <c r="N159" s="2715"/>
      <c r="O159" s="2716"/>
      <c r="P159" s="2715"/>
      <c r="Q159" s="2715"/>
      <c r="R159" s="2717"/>
    </row>
    <row r="160" spans="2:18" s="907" customFormat="1">
      <c r="B160" s="2715"/>
      <c r="C160" s="2715"/>
      <c r="D160" s="2715"/>
      <c r="E160" s="2715"/>
      <c r="F160" s="2715"/>
      <c r="G160" s="2716"/>
      <c r="H160" s="2715"/>
      <c r="I160" s="2716"/>
      <c r="J160" s="2715"/>
      <c r="K160" s="2715"/>
      <c r="L160" s="2716"/>
      <c r="M160" s="2715"/>
      <c r="N160" s="2715"/>
      <c r="O160" s="2716"/>
      <c r="P160" s="2715"/>
      <c r="Q160" s="2715"/>
      <c r="R160" s="2717"/>
    </row>
    <row r="161" spans="2:18" s="907" customFormat="1">
      <c r="B161" s="2715"/>
      <c r="C161" s="2715"/>
      <c r="D161" s="2715"/>
      <c r="E161" s="2715"/>
      <c r="F161" s="2715"/>
      <c r="G161" s="2716"/>
      <c r="H161" s="2715"/>
      <c r="I161" s="2716"/>
      <c r="J161" s="2715"/>
      <c r="K161" s="2715"/>
      <c r="L161" s="2716"/>
      <c r="M161" s="2715"/>
      <c r="N161" s="2715"/>
      <c r="O161" s="2716"/>
      <c r="P161" s="2715"/>
      <c r="Q161" s="2715"/>
      <c r="R161" s="2717"/>
    </row>
    <row r="162" spans="2:18" s="907" customFormat="1">
      <c r="B162" s="2715"/>
      <c r="C162" s="2715"/>
      <c r="D162" s="2715"/>
      <c r="E162" s="2715"/>
      <c r="F162" s="2715"/>
      <c r="G162" s="2716"/>
      <c r="H162" s="2715"/>
      <c r="I162" s="2716"/>
      <c r="J162" s="2715"/>
      <c r="K162" s="2715"/>
      <c r="L162" s="2716"/>
      <c r="M162" s="2715"/>
      <c r="N162" s="2715"/>
      <c r="O162" s="2716"/>
      <c r="P162" s="2715"/>
      <c r="Q162" s="2715"/>
      <c r="R162" s="2717"/>
    </row>
    <row r="163" spans="2:18" s="907" customFormat="1">
      <c r="B163" s="2715"/>
      <c r="C163" s="2715"/>
      <c r="D163" s="2715"/>
      <c r="E163" s="2715"/>
      <c r="F163" s="2715"/>
      <c r="G163" s="2716"/>
      <c r="H163" s="2715"/>
      <c r="I163" s="2716"/>
      <c r="J163" s="2715"/>
      <c r="K163" s="2715"/>
      <c r="L163" s="2716"/>
      <c r="M163" s="2715"/>
      <c r="N163" s="2715"/>
      <c r="O163" s="2716"/>
      <c r="P163" s="2715"/>
      <c r="Q163" s="2715"/>
      <c r="R163" s="2717"/>
    </row>
    <row r="164" spans="2:18" s="907" customFormat="1">
      <c r="B164" s="2715"/>
      <c r="C164" s="2715"/>
      <c r="D164" s="2715"/>
      <c r="E164" s="2715"/>
      <c r="F164" s="2715"/>
      <c r="G164" s="2716"/>
      <c r="H164" s="2715"/>
      <c r="I164" s="2716"/>
      <c r="J164" s="2715"/>
      <c r="K164" s="2715"/>
      <c r="L164" s="2716"/>
      <c r="M164" s="2715"/>
      <c r="N164" s="2715"/>
      <c r="O164" s="2716"/>
      <c r="P164" s="2715"/>
      <c r="Q164" s="2715"/>
      <c r="R164" s="2717"/>
    </row>
    <row r="165" spans="2:18" s="907" customFormat="1">
      <c r="B165" s="2715"/>
      <c r="C165" s="2715"/>
      <c r="D165" s="2715"/>
      <c r="E165" s="2715"/>
      <c r="F165" s="2715"/>
      <c r="G165" s="2716"/>
      <c r="H165" s="2715"/>
      <c r="I165" s="2716"/>
      <c r="J165" s="2715"/>
      <c r="K165" s="2715"/>
      <c r="L165" s="2716"/>
      <c r="M165" s="2715"/>
      <c r="N165" s="2715"/>
      <c r="O165" s="2716"/>
      <c r="P165" s="2715"/>
      <c r="Q165" s="2715"/>
      <c r="R165" s="2717"/>
    </row>
    <row r="166" spans="2:18" s="907" customFormat="1">
      <c r="B166" s="2715"/>
      <c r="C166" s="2715"/>
      <c r="D166" s="2715"/>
      <c r="E166" s="2715"/>
      <c r="F166" s="2715"/>
      <c r="G166" s="2716"/>
      <c r="H166" s="2715"/>
      <c r="I166" s="2716"/>
      <c r="J166" s="2715"/>
      <c r="K166" s="2715"/>
      <c r="L166" s="2716"/>
      <c r="M166" s="2715"/>
      <c r="N166" s="2715"/>
      <c r="O166" s="2716"/>
      <c r="P166" s="2715"/>
      <c r="Q166" s="2715"/>
      <c r="R166" s="2717"/>
    </row>
    <row r="167" spans="2:18" s="907" customFormat="1">
      <c r="B167" s="2715"/>
      <c r="C167" s="2715"/>
      <c r="D167" s="2715"/>
      <c r="E167" s="2715"/>
      <c r="F167" s="2715"/>
      <c r="G167" s="2716"/>
      <c r="H167" s="2715"/>
      <c r="I167" s="2716"/>
      <c r="J167" s="2715"/>
      <c r="K167" s="2715"/>
      <c r="L167" s="2716"/>
      <c r="M167" s="2715"/>
      <c r="N167" s="2715"/>
      <c r="O167" s="2716"/>
      <c r="P167" s="2715"/>
      <c r="Q167" s="2715"/>
      <c r="R167" s="2717"/>
    </row>
    <row r="168" spans="2:18" s="907" customFormat="1">
      <c r="B168" s="2715"/>
      <c r="C168" s="2715"/>
      <c r="D168" s="2715"/>
      <c r="E168" s="2715"/>
      <c r="F168" s="2715"/>
      <c r="G168" s="2716"/>
      <c r="H168" s="2715"/>
      <c r="I168" s="2716"/>
      <c r="J168" s="2715"/>
      <c r="K168" s="2715"/>
      <c r="L168" s="2716"/>
      <c r="M168" s="2715"/>
      <c r="N168" s="2715"/>
      <c r="O168" s="2716"/>
      <c r="P168" s="2715"/>
      <c r="Q168" s="2715"/>
      <c r="R168" s="2717"/>
    </row>
    <row r="169" spans="2:18" s="907" customFormat="1">
      <c r="B169" s="2715"/>
      <c r="C169" s="2715"/>
      <c r="D169" s="2715"/>
      <c r="E169" s="2715"/>
      <c r="F169" s="2715"/>
      <c r="G169" s="2716"/>
      <c r="H169" s="2715"/>
      <c r="I169" s="2716"/>
      <c r="J169" s="2715"/>
      <c r="K169" s="2715"/>
      <c r="L169" s="2716"/>
      <c r="M169" s="2715"/>
      <c r="N169" s="2715"/>
      <c r="O169" s="2716"/>
      <c r="P169" s="2715"/>
      <c r="Q169" s="2715"/>
      <c r="R169" s="2717"/>
    </row>
    <row r="170" spans="2:18" s="907" customFormat="1">
      <c r="B170" s="2715"/>
      <c r="C170" s="2715"/>
      <c r="D170" s="2715"/>
      <c r="E170" s="2715"/>
      <c r="F170" s="2715"/>
      <c r="G170" s="2716"/>
      <c r="H170" s="2715"/>
      <c r="I170" s="2716"/>
      <c r="J170" s="2715"/>
      <c r="K170" s="2715"/>
      <c r="L170" s="2716"/>
      <c r="M170" s="2715"/>
      <c r="N170" s="2715"/>
      <c r="O170" s="2716"/>
      <c r="P170" s="2715"/>
      <c r="Q170" s="2715"/>
      <c r="R170" s="2717"/>
    </row>
    <row r="171" spans="2:18" s="907" customFormat="1">
      <c r="B171" s="2715"/>
      <c r="C171" s="2715"/>
      <c r="D171" s="2715"/>
      <c r="E171" s="2715"/>
      <c r="F171" s="2715"/>
      <c r="G171" s="2716"/>
      <c r="H171" s="2715"/>
      <c r="I171" s="2716"/>
      <c r="J171" s="2715"/>
      <c r="K171" s="2715"/>
      <c r="L171" s="2716"/>
      <c r="M171" s="2715"/>
      <c r="N171" s="2715"/>
      <c r="O171" s="2716"/>
      <c r="P171" s="2715"/>
      <c r="Q171" s="2715"/>
      <c r="R171" s="2717"/>
    </row>
    <row r="172" spans="2:18" s="907" customFormat="1">
      <c r="B172" s="2715"/>
      <c r="C172" s="2715"/>
      <c r="D172" s="2715"/>
      <c r="E172" s="2715"/>
      <c r="F172" s="2715"/>
      <c r="G172" s="2716"/>
      <c r="H172" s="2715"/>
      <c r="I172" s="2716"/>
      <c r="J172" s="2715"/>
      <c r="K172" s="2715"/>
      <c r="L172" s="2716"/>
      <c r="M172" s="2715"/>
      <c r="N172" s="2715"/>
      <c r="O172" s="2716"/>
      <c r="P172" s="2715"/>
      <c r="Q172" s="2715"/>
      <c r="R172" s="2717"/>
    </row>
    <row r="173" spans="2:18" s="907" customFormat="1">
      <c r="B173" s="2715"/>
      <c r="C173" s="2715"/>
      <c r="D173" s="2715"/>
      <c r="E173" s="2715"/>
      <c r="F173" s="2715"/>
      <c r="G173" s="2716"/>
      <c r="H173" s="2715"/>
      <c r="I173" s="2716"/>
      <c r="J173" s="2715"/>
      <c r="K173" s="2715"/>
      <c r="L173" s="2716"/>
      <c r="M173" s="2715"/>
      <c r="N173" s="2715"/>
      <c r="O173" s="2716"/>
      <c r="P173" s="2715"/>
      <c r="Q173" s="2715"/>
      <c r="R173" s="2717"/>
    </row>
    <row r="174" spans="2:18" s="907" customFormat="1">
      <c r="B174" s="2715"/>
      <c r="C174" s="2715"/>
      <c r="D174" s="2715"/>
      <c r="E174" s="2715"/>
      <c r="F174" s="2715"/>
      <c r="G174" s="2716"/>
      <c r="H174" s="2715"/>
      <c r="I174" s="2716"/>
      <c r="J174" s="2715"/>
      <c r="K174" s="2715"/>
      <c r="L174" s="2716"/>
      <c r="M174" s="2715"/>
      <c r="N174" s="2715"/>
      <c r="O174" s="2716"/>
      <c r="P174" s="2715"/>
      <c r="Q174" s="2715"/>
      <c r="R174" s="2717"/>
    </row>
    <row r="175" spans="2:18" s="907" customFormat="1">
      <c r="B175" s="2715"/>
      <c r="C175" s="2715"/>
      <c r="D175" s="2715"/>
      <c r="E175" s="2715"/>
      <c r="F175" s="2715"/>
      <c r="G175" s="2716"/>
      <c r="H175" s="2715"/>
      <c r="I175" s="2716"/>
      <c r="J175" s="2715"/>
      <c r="K175" s="2715"/>
      <c r="L175" s="2716"/>
      <c r="M175" s="2715"/>
      <c r="N175" s="2715"/>
      <c r="O175" s="2716"/>
      <c r="P175" s="2715"/>
      <c r="Q175" s="2715"/>
      <c r="R175" s="2717"/>
    </row>
    <row r="176" spans="2:18" s="907" customFormat="1">
      <c r="B176" s="2715"/>
      <c r="C176" s="2715"/>
      <c r="D176" s="2715"/>
      <c r="E176" s="2715"/>
      <c r="F176" s="2715"/>
      <c r="G176" s="2716"/>
      <c r="H176" s="2715"/>
      <c r="I176" s="2716"/>
      <c r="J176" s="2715"/>
      <c r="K176" s="2715"/>
      <c r="L176" s="2716"/>
      <c r="M176" s="2715"/>
      <c r="N176" s="2715"/>
      <c r="O176" s="2716"/>
      <c r="P176" s="2715"/>
      <c r="Q176" s="2715"/>
      <c r="R176" s="2717"/>
    </row>
    <row r="177" spans="1:18" s="907" customFormat="1">
      <c r="B177" s="2715"/>
      <c r="C177" s="2715"/>
      <c r="D177" s="2715"/>
      <c r="E177" s="2715"/>
      <c r="F177" s="2715"/>
      <c r="G177" s="2716"/>
      <c r="H177" s="2715"/>
      <c r="I177" s="2716"/>
      <c r="J177" s="2715"/>
      <c r="K177" s="2715"/>
      <c r="L177" s="2716"/>
      <c r="M177" s="2715"/>
      <c r="N177" s="2715"/>
      <c r="O177" s="2716"/>
      <c r="P177" s="2715"/>
      <c r="Q177" s="2715"/>
      <c r="R177" s="2717"/>
    </row>
    <row r="178" spans="1:18" s="907" customFormat="1">
      <c r="B178" s="2715"/>
      <c r="C178" s="2715"/>
      <c r="D178" s="2715"/>
      <c r="E178" s="2715"/>
      <c r="F178" s="2715"/>
      <c r="G178" s="2716"/>
      <c r="H178" s="2715"/>
      <c r="I178" s="2716"/>
      <c r="J178" s="2715"/>
      <c r="K178" s="2715"/>
      <c r="L178" s="2716"/>
      <c r="M178" s="2715"/>
      <c r="N178" s="2715"/>
      <c r="O178" s="2716"/>
      <c r="P178" s="2715"/>
      <c r="Q178" s="2715"/>
      <c r="R178" s="2717"/>
    </row>
    <row r="179" spans="1:18" s="907" customFormat="1">
      <c r="B179" s="2715"/>
      <c r="C179" s="2715"/>
      <c r="D179" s="2715"/>
      <c r="E179" s="2715"/>
      <c r="F179" s="2715"/>
      <c r="G179" s="2716"/>
      <c r="H179" s="2715"/>
      <c r="I179" s="2716"/>
      <c r="J179" s="2715"/>
      <c r="K179" s="2715"/>
      <c r="L179" s="2716"/>
      <c r="M179" s="2715"/>
      <c r="N179" s="2715"/>
      <c r="O179" s="2716"/>
      <c r="P179" s="2715"/>
      <c r="Q179" s="2715"/>
      <c r="R179" s="2717"/>
    </row>
    <row r="180" spans="1:18" s="907" customFormat="1">
      <c r="B180" s="2715"/>
      <c r="C180" s="2715"/>
      <c r="D180" s="2715"/>
      <c r="E180" s="2715"/>
      <c r="F180" s="2715"/>
      <c r="G180" s="2716"/>
      <c r="H180" s="2715"/>
      <c r="I180" s="2716"/>
      <c r="J180" s="2715"/>
      <c r="K180" s="2715"/>
      <c r="L180" s="2716"/>
      <c r="M180" s="2715"/>
      <c r="N180" s="2715"/>
      <c r="O180" s="2716"/>
      <c r="P180" s="2715"/>
      <c r="Q180" s="2715"/>
      <c r="R180" s="2717"/>
    </row>
    <row r="181" spans="1:18" s="907" customFormat="1">
      <c r="B181" s="2715"/>
      <c r="C181" s="2715"/>
      <c r="D181" s="2715"/>
      <c r="E181" s="2715"/>
      <c r="F181" s="2715"/>
      <c r="G181" s="2716"/>
      <c r="H181" s="2715"/>
      <c r="I181" s="2716"/>
      <c r="J181" s="2715"/>
      <c r="K181" s="2715"/>
      <c r="L181" s="2716"/>
      <c r="M181" s="2715"/>
      <c r="N181" s="2715"/>
      <c r="O181" s="2716"/>
      <c r="P181" s="2715"/>
      <c r="Q181" s="2715"/>
      <c r="R181" s="2717"/>
    </row>
    <row r="182" spans="1:18" s="907" customFormat="1">
      <c r="B182" s="2715"/>
      <c r="C182" s="2715"/>
      <c r="D182" s="2715"/>
      <c r="E182" s="2715"/>
      <c r="F182" s="2715"/>
      <c r="G182" s="2716"/>
      <c r="H182" s="2715"/>
      <c r="I182" s="2716"/>
      <c r="J182" s="2715"/>
      <c r="K182" s="2715"/>
      <c r="L182" s="2716"/>
      <c r="M182" s="2715"/>
      <c r="N182" s="2715"/>
      <c r="O182" s="2716"/>
      <c r="P182" s="2715"/>
      <c r="Q182" s="2715"/>
      <c r="R182" s="2717"/>
    </row>
    <row r="183" spans="1:18" s="907" customFormat="1">
      <c r="B183" s="2715"/>
      <c r="C183" s="2715"/>
      <c r="D183" s="2715"/>
      <c r="E183" s="2715"/>
      <c r="F183" s="2715"/>
      <c r="G183" s="2716"/>
      <c r="H183" s="2715"/>
      <c r="I183" s="2716"/>
      <c r="J183" s="2715"/>
      <c r="K183" s="2715"/>
      <c r="L183" s="2716"/>
      <c r="M183" s="2715"/>
      <c r="N183" s="2715"/>
      <c r="O183" s="2716"/>
      <c r="P183" s="2715"/>
      <c r="Q183" s="2715"/>
      <c r="R183" s="2717"/>
    </row>
    <row r="184" spans="1:18" s="907" customFormat="1">
      <c r="B184" s="2715"/>
      <c r="C184" s="2715"/>
      <c r="D184" s="2715"/>
      <c r="E184" s="2715"/>
      <c r="F184" s="2715"/>
      <c r="G184" s="2716"/>
      <c r="H184" s="2715"/>
      <c r="I184" s="2716"/>
      <c r="J184" s="2715"/>
      <c r="K184" s="2715"/>
      <c r="L184" s="2716"/>
      <c r="M184" s="2715"/>
      <c r="N184" s="2715"/>
      <c r="O184" s="2716"/>
      <c r="P184" s="2715"/>
      <c r="Q184" s="2715"/>
      <c r="R184" s="2717"/>
    </row>
    <row r="185" spans="1:18" s="907"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7"/>
      <c r="B186" s="2715"/>
      <c r="C186" s="2715"/>
      <c r="E186" s="2715"/>
      <c r="F186" s="2715"/>
      <c r="G186" s="2716"/>
    </row>
    <row r="187" spans="1:18">
      <c r="A187" s="907"/>
      <c r="B187" s="2715"/>
      <c r="C187" s="2715"/>
      <c r="E187" s="2715"/>
      <c r="F187" s="2715"/>
      <c r="G187" s="2716"/>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4" sqref="E14"/>
    </sheetView>
  </sheetViews>
  <sheetFormatPr defaultColWidth="9" defaultRowHeight="13.5"/>
  <cols>
    <col min="1" max="1" width="25" style="2737" customWidth="1"/>
    <col min="2" max="9" width="15.75" style="2737" customWidth="1"/>
    <col min="10" max="16384" width="9" style="2737"/>
  </cols>
  <sheetData>
    <row r="1" spans="1:11" ht="16.5">
      <c r="A1" s="2736" t="s">
        <v>1331</v>
      </c>
      <c r="B1" s="2736">
        <f>SUM(B14:B23)</f>
        <v>47689.05</v>
      </c>
      <c r="C1" s="2913"/>
      <c r="D1" s="2913"/>
      <c r="E1" s="2913"/>
      <c r="F1" s="2913"/>
      <c r="G1" s="2914"/>
      <c r="H1" s="2915"/>
      <c r="I1" s="2915"/>
      <c r="J1" s="2915"/>
      <c r="K1" s="2915"/>
    </row>
    <row r="2" spans="1:11" ht="16.5">
      <c r="A2" s="2736" t="s">
        <v>1319</v>
      </c>
      <c r="B2" s="2736">
        <f>SUM(C14:C23)</f>
        <v>5933.24</v>
      </c>
      <c r="C2" s="2913"/>
      <c r="D2" s="2913"/>
      <c r="E2" s="2913"/>
      <c r="F2" s="2913"/>
      <c r="G2" s="2914"/>
      <c r="H2" s="2915"/>
      <c r="I2" s="2915"/>
      <c r="J2" s="2915"/>
      <c r="K2" s="2915"/>
    </row>
    <row r="3" spans="1:11" ht="16.5">
      <c r="A3" s="2736" t="s">
        <v>1328</v>
      </c>
      <c r="B3" s="2738">
        <f>项目基本情况!D3</f>
        <v>42914</v>
      </c>
      <c r="C3" s="2913"/>
      <c r="D3" s="2913"/>
      <c r="E3" s="2913"/>
      <c r="F3" s="2913"/>
      <c r="G3" s="2914"/>
      <c r="H3" s="2915"/>
      <c r="I3" s="2915"/>
      <c r="J3" s="2915"/>
      <c r="K3" s="2915"/>
    </row>
    <row r="4" spans="1:11" ht="33">
      <c r="A4" s="2736" t="s">
        <v>1327</v>
      </c>
      <c r="B4" s="2736" t="s">
        <v>1326</v>
      </c>
      <c r="C4" s="2736" t="s">
        <v>1325</v>
      </c>
      <c r="D4" s="2736" t="s">
        <v>1324</v>
      </c>
      <c r="E4" s="2913"/>
      <c r="F4" s="2914"/>
      <c r="G4" s="2914"/>
      <c r="H4" s="2915"/>
      <c r="I4" s="2915"/>
      <c r="J4" s="2915"/>
      <c r="K4" s="2915"/>
    </row>
    <row r="5" spans="1:11" ht="16.5">
      <c r="A5" s="2736" t="s">
        <v>1323</v>
      </c>
      <c r="B5" s="2736">
        <f ca="1">SUM(D14:D23)</f>
        <v>179559</v>
      </c>
      <c r="C5" s="2736">
        <f ca="1">ROUND(B5*10000/$B$1,0)</f>
        <v>37652</v>
      </c>
      <c r="D5" s="2736">
        <f ca="1">ROUND(B5*10000/$B$2,0)</f>
        <v>302632</v>
      </c>
      <c r="E5" s="2913"/>
      <c r="F5" s="2914"/>
      <c r="G5" s="2914"/>
      <c r="H5" s="2915"/>
      <c r="I5" s="2915"/>
      <c r="J5" s="2915"/>
      <c r="K5" s="2915"/>
    </row>
    <row r="6" spans="1:11" ht="16.5">
      <c r="A6" s="2736" t="s">
        <v>1322</v>
      </c>
      <c r="B6" s="2736">
        <f ca="1">SUM(G14:G23)</f>
        <v>179559</v>
      </c>
      <c r="C6" s="2736">
        <f ca="1">ROUND(B6*10000/$B$1,0)</f>
        <v>37652</v>
      </c>
      <c r="D6" s="2736">
        <f ca="1">ROUND(B6*10000/$B$2,0)</f>
        <v>302632</v>
      </c>
      <c r="E6" s="2913"/>
      <c r="F6" s="2914"/>
      <c r="G6" s="2914"/>
      <c r="H6" s="2915"/>
      <c r="I6" s="2915"/>
      <c r="J6" s="2915"/>
      <c r="K6" s="2915"/>
    </row>
    <row r="7" spans="1:11" ht="16.5">
      <c r="A7" s="2736" t="s">
        <v>1330</v>
      </c>
      <c r="B7" s="2736">
        <f>SUM(H14:H23)</f>
        <v>0</v>
      </c>
      <c r="C7" s="2736">
        <f>ROUND(B7*10000/$B$1,0)</f>
        <v>0</v>
      </c>
      <c r="D7" s="2736">
        <f>ROUND(B7*10000/$B$2,0)</f>
        <v>0</v>
      </c>
      <c r="E7" s="2913"/>
      <c r="F7" s="2914"/>
      <c r="G7" s="2914"/>
      <c r="H7" s="2915"/>
      <c r="I7" s="2915"/>
      <c r="J7" s="2915"/>
      <c r="K7" s="2915"/>
    </row>
    <row r="8" spans="1:11" ht="16.5">
      <c r="A8" s="2736" t="s">
        <v>1252</v>
      </c>
      <c r="B8" s="2736">
        <f>SUM(I14:I23)</f>
        <v>0</v>
      </c>
      <c r="C8" s="2736">
        <f>ROUND(B8*10000/$B$1,0)</f>
        <v>0</v>
      </c>
      <c r="D8" s="2736">
        <f>ROUND(B8*10000/$B$2,0)</f>
        <v>0</v>
      </c>
      <c r="E8" s="2913"/>
      <c r="F8" s="2914"/>
      <c r="G8" s="2914"/>
      <c r="H8" s="2915"/>
      <c r="I8" s="2915"/>
      <c r="J8" s="2915"/>
      <c r="K8" s="2915"/>
    </row>
    <row r="9" spans="1:11" ht="16.5">
      <c r="A9" s="2736" t="s">
        <v>1321</v>
      </c>
      <c r="B9" s="2744"/>
      <c r="C9" s="2913"/>
      <c r="D9" s="2913"/>
      <c r="E9" s="2913"/>
      <c r="F9" s="2914"/>
      <c r="G9" s="2914"/>
      <c r="H9" s="2915"/>
      <c r="I9" s="2915"/>
      <c r="J9" s="2915"/>
      <c r="K9" s="2915"/>
    </row>
    <row r="10" spans="1:11" ht="16.5">
      <c r="A10" s="2736" t="s">
        <v>1320</v>
      </c>
      <c r="B10" s="2744"/>
      <c r="C10" s="2913"/>
      <c r="D10" s="2913"/>
      <c r="E10" s="2913"/>
      <c r="F10" s="2914"/>
      <c r="G10" s="2914"/>
      <c r="H10" s="2915"/>
      <c r="I10" s="2915"/>
      <c r="J10" s="2915"/>
      <c r="K10" s="2915"/>
    </row>
    <row r="11" spans="1:11" ht="16.5">
      <c r="A11" s="2736" t="s">
        <v>1336</v>
      </c>
      <c r="B11" s="2744"/>
      <c r="C11" s="2913"/>
      <c r="D11" s="2913"/>
      <c r="E11" s="2913"/>
      <c r="F11" s="2914"/>
      <c r="G11" s="2914"/>
      <c r="H11" s="2915"/>
      <c r="I11" s="2915"/>
      <c r="J11" s="2915"/>
      <c r="K11" s="2915"/>
    </row>
    <row r="12" spans="1:11" ht="16.5">
      <c r="A12" s="2913"/>
      <c r="B12" s="2913"/>
      <c r="C12" s="2913"/>
      <c r="D12" s="2913"/>
      <c r="E12" s="2913"/>
      <c r="F12" s="2914"/>
      <c r="G12" s="2914"/>
      <c r="H12" s="2915"/>
      <c r="I12" s="2915"/>
      <c r="J12" s="2915"/>
      <c r="K12" s="2915"/>
    </row>
    <row r="13" spans="1:11" ht="33">
      <c r="A13" s="2739" t="s">
        <v>1335</v>
      </c>
      <c r="B13" s="2740" t="s">
        <v>1332</v>
      </c>
      <c r="C13" s="2740" t="s">
        <v>1334</v>
      </c>
      <c r="D13" s="2740" t="s">
        <v>1333</v>
      </c>
      <c r="E13" s="2736" t="s">
        <v>1325</v>
      </c>
      <c r="F13" s="2736" t="s">
        <v>1324</v>
      </c>
      <c r="G13" s="2740" t="s">
        <v>1318</v>
      </c>
      <c r="H13" s="2740" t="s">
        <v>1329</v>
      </c>
      <c r="I13" s="2740" t="s">
        <v>1317</v>
      </c>
      <c r="J13" s="2914"/>
      <c r="K13" s="2915"/>
    </row>
    <row r="14" spans="1:11" ht="16.5">
      <c r="A14" s="2741" t="s">
        <v>1316</v>
      </c>
      <c r="B14" s="2742">
        <f>结果表!B118</f>
        <v>47689.05</v>
      </c>
      <c r="C14" s="2742">
        <f>结果表!C118</f>
        <v>5933.24</v>
      </c>
      <c r="D14" s="2742">
        <f ca="1">结果表!H118</f>
        <v>179559</v>
      </c>
      <c r="E14" s="2742">
        <f ca="1">ROUND(D14*10000/B14,0)</f>
        <v>37652</v>
      </c>
      <c r="F14" s="2742">
        <f ca="1">ROUND(D14*10000/C14,0)</f>
        <v>302632</v>
      </c>
      <c r="G14" s="2742">
        <f ca="1">结果表!D122</f>
        <v>179559</v>
      </c>
      <c r="H14" s="2742" t="str">
        <f>结果表!D124</f>
        <v>——</v>
      </c>
      <c r="I14" s="2742" t="str">
        <f>结果表!D126</f>
        <v>——</v>
      </c>
      <c r="J14" s="2914"/>
      <c r="K14" s="2915"/>
    </row>
    <row r="15" spans="1:11" ht="16.5">
      <c r="A15" s="2741" t="s">
        <v>1315</v>
      </c>
      <c r="B15" s="2743"/>
      <c r="C15" s="2743"/>
      <c r="D15" s="2743"/>
      <c r="E15" s="2742" t="e">
        <f t="shared" ref="E15:E23" si="0">ROUND(D15*10000/B15,0)</f>
        <v>#DIV/0!</v>
      </c>
      <c r="F15" s="2742" t="e">
        <f t="shared" ref="F15:F23" si="1">ROUND(D15*10000/C15,0)</f>
        <v>#DIV/0!</v>
      </c>
      <c r="G15" s="1500"/>
      <c r="H15" s="1500"/>
      <c r="I15" s="2743"/>
      <c r="J15" s="2914"/>
      <c r="K15" s="2915"/>
    </row>
    <row r="16" spans="1:11" ht="16.5">
      <c r="A16" s="2741" t="s">
        <v>1314</v>
      </c>
      <c r="B16" s="2743"/>
      <c r="C16" s="2743"/>
      <c r="D16" s="2743"/>
      <c r="E16" s="2742" t="e">
        <f t="shared" si="0"/>
        <v>#DIV/0!</v>
      </c>
      <c r="F16" s="2742" t="e">
        <f t="shared" si="1"/>
        <v>#DIV/0!</v>
      </c>
      <c r="G16" s="1500"/>
      <c r="H16" s="1500"/>
      <c r="I16" s="2743"/>
      <c r="J16" s="2915"/>
      <c r="K16" s="2915"/>
    </row>
    <row r="17" spans="1:11" ht="16.5">
      <c r="A17" s="2741" t="s">
        <v>1313</v>
      </c>
      <c r="B17" s="2743"/>
      <c r="C17" s="2743"/>
      <c r="D17" s="2743"/>
      <c r="E17" s="2742" t="e">
        <f t="shared" si="0"/>
        <v>#DIV/0!</v>
      </c>
      <c r="F17" s="2742" t="e">
        <f t="shared" si="1"/>
        <v>#DIV/0!</v>
      </c>
      <c r="G17" s="1500"/>
      <c r="H17" s="1500"/>
      <c r="I17" s="2743"/>
      <c r="J17" s="2915"/>
      <c r="K17" s="2915"/>
    </row>
    <row r="18" spans="1:11" ht="16.5">
      <c r="A18" s="2741" t="s">
        <v>1312</v>
      </c>
      <c r="B18" s="2743"/>
      <c r="C18" s="2743"/>
      <c r="D18" s="2743"/>
      <c r="E18" s="2742" t="e">
        <f t="shared" si="0"/>
        <v>#DIV/0!</v>
      </c>
      <c r="F18" s="2742" t="e">
        <f t="shared" si="1"/>
        <v>#DIV/0!</v>
      </c>
      <c r="G18" s="2743"/>
      <c r="H18" s="2743"/>
      <c r="I18" s="2743"/>
      <c r="J18" s="2915"/>
      <c r="K18" s="2915"/>
    </row>
    <row r="19" spans="1:11" ht="16.5">
      <c r="A19" s="2741" t="s">
        <v>1311</v>
      </c>
      <c r="B19" s="2743"/>
      <c r="C19" s="2743"/>
      <c r="D19" s="2743"/>
      <c r="E19" s="2742" t="e">
        <f t="shared" si="0"/>
        <v>#DIV/0!</v>
      </c>
      <c r="F19" s="2742" t="e">
        <f t="shared" si="1"/>
        <v>#DIV/0!</v>
      </c>
      <c r="G19" s="2743"/>
      <c r="H19" s="2743"/>
      <c r="I19" s="2743"/>
      <c r="J19" s="2915"/>
      <c r="K19" s="2915"/>
    </row>
    <row r="20" spans="1:11" ht="16.5">
      <c r="A20" s="2741" t="s">
        <v>1310</v>
      </c>
      <c r="B20" s="2743"/>
      <c r="C20" s="2743"/>
      <c r="D20" s="2743"/>
      <c r="E20" s="2742" t="e">
        <f t="shared" si="0"/>
        <v>#DIV/0!</v>
      </c>
      <c r="F20" s="2742" t="e">
        <f t="shared" si="1"/>
        <v>#DIV/0!</v>
      </c>
      <c r="G20" s="2743"/>
      <c r="H20" s="2743"/>
      <c r="I20" s="2743"/>
      <c r="J20" s="2915"/>
      <c r="K20" s="2915"/>
    </row>
    <row r="21" spans="1:11" ht="16.5">
      <c r="A21" s="2741" t="s">
        <v>1309</v>
      </c>
      <c r="B21" s="2743"/>
      <c r="C21" s="2743"/>
      <c r="D21" s="2743"/>
      <c r="E21" s="2742" t="e">
        <f t="shared" si="0"/>
        <v>#DIV/0!</v>
      </c>
      <c r="F21" s="2742" t="e">
        <f t="shared" si="1"/>
        <v>#DIV/0!</v>
      </c>
      <c r="G21" s="2743"/>
      <c r="H21" s="2743"/>
      <c r="I21" s="2743"/>
      <c r="J21" s="2915"/>
      <c r="K21" s="2915"/>
    </row>
    <row r="22" spans="1:11" ht="16.5">
      <c r="A22" s="2741" t="s">
        <v>1308</v>
      </c>
      <c r="B22" s="2743"/>
      <c r="C22" s="2743"/>
      <c r="D22" s="2743"/>
      <c r="E22" s="2742" t="e">
        <f t="shared" si="0"/>
        <v>#DIV/0!</v>
      </c>
      <c r="F22" s="2742" t="e">
        <f t="shared" si="1"/>
        <v>#DIV/0!</v>
      </c>
      <c r="G22" s="2743"/>
      <c r="H22" s="2743"/>
      <c r="I22" s="2743"/>
      <c r="J22" s="2915"/>
      <c r="K22" s="2915"/>
    </row>
    <row r="23" spans="1:11" ht="16.5">
      <c r="A23" s="2741" t="s">
        <v>1307</v>
      </c>
      <c r="B23" s="2743"/>
      <c r="C23" s="2743"/>
      <c r="D23" s="2743"/>
      <c r="E23" s="2744" t="e">
        <f t="shared" si="0"/>
        <v>#DIV/0!</v>
      </c>
      <c r="F23" s="2744" t="e">
        <f t="shared" si="1"/>
        <v>#DIV/0!</v>
      </c>
      <c r="G23" s="2743"/>
      <c r="H23" s="2743"/>
      <c r="I23" s="2743"/>
      <c r="J23" s="2915"/>
      <c r="K23" s="2915"/>
    </row>
    <row r="24" spans="1:11">
      <c r="A24" s="2915"/>
      <c r="B24" s="2915"/>
      <c r="C24" s="2915"/>
      <c r="D24" s="2915"/>
      <c r="E24" s="2915"/>
      <c r="F24" s="2915"/>
      <c r="G24" s="2915"/>
      <c r="H24" s="2915"/>
      <c r="I24" s="2915"/>
      <c r="J24" s="2915"/>
      <c r="K24" s="2915"/>
    </row>
    <row r="25" spans="1:11">
      <c r="A25" s="2915"/>
      <c r="B25" s="2915"/>
      <c r="C25" s="2915"/>
      <c r="D25" s="2915"/>
      <c r="E25" s="2915"/>
      <c r="F25" s="2915"/>
      <c r="G25" s="2915"/>
      <c r="H25" s="2915"/>
      <c r="I25" s="2915"/>
      <c r="J25" s="2915"/>
      <c r="K25" s="2915"/>
    </row>
    <row r="26" spans="1:11">
      <c r="A26" s="2915"/>
      <c r="B26" s="2915"/>
      <c r="C26" s="2915"/>
      <c r="D26" s="2915"/>
      <c r="E26" s="2915"/>
      <c r="F26" s="2915"/>
      <c r="G26" s="2915"/>
      <c r="H26" s="2915"/>
      <c r="I26" s="2915"/>
      <c r="J26" s="2915"/>
      <c r="K26" s="2915"/>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P45"/>
  <sheetViews>
    <sheetView workbookViewId="0">
      <selection activeCell="O12" sqref="O12"/>
    </sheetView>
  </sheetViews>
  <sheetFormatPr defaultRowHeight="13.5"/>
  <cols>
    <col min="1" max="1" width="6.375" style="3077" customWidth="1"/>
    <col min="2" max="2" width="19.375" style="3121" customWidth="1"/>
    <col min="3" max="3" width="7" style="3077" customWidth="1"/>
    <col min="4" max="4" width="3.25" style="3077" customWidth="1"/>
    <col min="5" max="5" width="7.375" style="3077" customWidth="1"/>
    <col min="6" max="6" width="3.5" style="3077" customWidth="1"/>
    <col min="7" max="7" width="19.375" style="3122" customWidth="1"/>
    <col min="8" max="8" width="19.5" style="3077" customWidth="1"/>
    <col min="9" max="9" width="10.625" style="3077" customWidth="1"/>
    <col min="10" max="10" width="10.5" style="3073" customWidth="1"/>
    <col min="11" max="11" width="4.875" style="3073" customWidth="1"/>
    <col min="12" max="12" width="16.375" style="3073" customWidth="1"/>
    <col min="13" max="16" width="8.125" style="3077" customWidth="1"/>
    <col min="17" max="256" width="9" style="3077"/>
    <col min="257" max="257" width="6.375" style="3077" customWidth="1"/>
    <col min="258" max="258" width="19.375" style="3077" customWidth="1"/>
    <col min="259" max="259" width="7" style="3077" customWidth="1"/>
    <col min="260" max="260" width="3.25" style="3077" customWidth="1"/>
    <col min="261" max="261" width="7.375" style="3077" customWidth="1"/>
    <col min="262" max="262" width="3.5" style="3077" customWidth="1"/>
    <col min="263" max="263" width="19.375" style="3077" customWidth="1"/>
    <col min="264" max="264" width="19.5" style="3077" customWidth="1"/>
    <col min="265" max="265" width="8.625" style="3077" customWidth="1"/>
    <col min="266" max="266" width="10.5" style="3077" customWidth="1"/>
    <col min="267" max="267" width="4.875" style="3077" customWidth="1"/>
    <col min="268" max="268" width="16.375" style="3077" customWidth="1"/>
    <col min="269" max="272" width="8.125" style="3077" customWidth="1"/>
    <col min="273" max="512" width="9" style="3077"/>
    <col min="513" max="513" width="6.375" style="3077" customWidth="1"/>
    <col min="514" max="514" width="19.375" style="3077" customWidth="1"/>
    <col min="515" max="515" width="7" style="3077" customWidth="1"/>
    <col min="516" max="516" width="3.25" style="3077" customWidth="1"/>
    <col min="517" max="517" width="7.375" style="3077" customWidth="1"/>
    <col min="518" max="518" width="3.5" style="3077" customWidth="1"/>
    <col min="519" max="519" width="19.375" style="3077" customWidth="1"/>
    <col min="520" max="520" width="19.5" style="3077" customWidth="1"/>
    <col min="521" max="521" width="8.625" style="3077" customWidth="1"/>
    <col min="522" max="522" width="10.5" style="3077" customWidth="1"/>
    <col min="523" max="523" width="4.875" style="3077" customWidth="1"/>
    <col min="524" max="524" width="16.375" style="3077" customWidth="1"/>
    <col min="525" max="528" width="8.125" style="3077" customWidth="1"/>
    <col min="529" max="768" width="9" style="3077"/>
    <col min="769" max="769" width="6.375" style="3077" customWidth="1"/>
    <col min="770" max="770" width="19.375" style="3077" customWidth="1"/>
    <col min="771" max="771" width="7" style="3077" customWidth="1"/>
    <col min="772" max="772" width="3.25" style="3077" customWidth="1"/>
    <col min="773" max="773" width="7.375" style="3077" customWidth="1"/>
    <col min="774" max="774" width="3.5" style="3077" customWidth="1"/>
    <col min="775" max="775" width="19.375" style="3077" customWidth="1"/>
    <col min="776" max="776" width="19.5" style="3077" customWidth="1"/>
    <col min="777" max="777" width="8.625" style="3077" customWidth="1"/>
    <col min="778" max="778" width="10.5" style="3077" customWidth="1"/>
    <col min="779" max="779" width="4.875" style="3077" customWidth="1"/>
    <col min="780" max="780" width="16.375" style="3077" customWidth="1"/>
    <col min="781" max="784" width="8.125" style="3077" customWidth="1"/>
    <col min="785" max="1024" width="9" style="3077"/>
    <col min="1025" max="1025" width="6.375" style="3077" customWidth="1"/>
    <col min="1026" max="1026" width="19.375" style="3077" customWidth="1"/>
    <col min="1027" max="1027" width="7" style="3077" customWidth="1"/>
    <col min="1028" max="1028" width="3.25" style="3077" customWidth="1"/>
    <col min="1029" max="1029" width="7.375" style="3077" customWidth="1"/>
    <col min="1030" max="1030" width="3.5" style="3077" customWidth="1"/>
    <col min="1031" max="1031" width="19.375" style="3077" customWidth="1"/>
    <col min="1032" max="1032" width="19.5" style="3077" customWidth="1"/>
    <col min="1033" max="1033" width="8.625" style="3077" customWidth="1"/>
    <col min="1034" max="1034" width="10.5" style="3077" customWidth="1"/>
    <col min="1035" max="1035" width="4.875" style="3077" customWidth="1"/>
    <col min="1036" max="1036" width="16.375" style="3077" customWidth="1"/>
    <col min="1037" max="1040" width="8.125" style="3077" customWidth="1"/>
    <col min="1041" max="1280" width="9" style="3077"/>
    <col min="1281" max="1281" width="6.375" style="3077" customWidth="1"/>
    <col min="1282" max="1282" width="19.375" style="3077" customWidth="1"/>
    <col min="1283" max="1283" width="7" style="3077" customWidth="1"/>
    <col min="1284" max="1284" width="3.25" style="3077" customWidth="1"/>
    <col min="1285" max="1285" width="7.375" style="3077" customWidth="1"/>
    <col min="1286" max="1286" width="3.5" style="3077" customWidth="1"/>
    <col min="1287" max="1287" width="19.375" style="3077" customWidth="1"/>
    <col min="1288" max="1288" width="19.5" style="3077" customWidth="1"/>
    <col min="1289" max="1289" width="8.625" style="3077" customWidth="1"/>
    <col min="1290" max="1290" width="10.5" style="3077" customWidth="1"/>
    <col min="1291" max="1291" width="4.875" style="3077" customWidth="1"/>
    <col min="1292" max="1292" width="16.375" style="3077" customWidth="1"/>
    <col min="1293" max="1296" width="8.125" style="3077" customWidth="1"/>
    <col min="1297" max="1536" width="9" style="3077"/>
    <col min="1537" max="1537" width="6.375" style="3077" customWidth="1"/>
    <col min="1538" max="1538" width="19.375" style="3077" customWidth="1"/>
    <col min="1539" max="1539" width="7" style="3077" customWidth="1"/>
    <col min="1540" max="1540" width="3.25" style="3077" customWidth="1"/>
    <col min="1541" max="1541" width="7.375" style="3077" customWidth="1"/>
    <col min="1542" max="1542" width="3.5" style="3077" customWidth="1"/>
    <col min="1543" max="1543" width="19.375" style="3077" customWidth="1"/>
    <col min="1544" max="1544" width="19.5" style="3077" customWidth="1"/>
    <col min="1545" max="1545" width="8.625" style="3077" customWidth="1"/>
    <col min="1546" max="1546" width="10.5" style="3077" customWidth="1"/>
    <col min="1547" max="1547" width="4.875" style="3077" customWidth="1"/>
    <col min="1548" max="1548" width="16.375" style="3077" customWidth="1"/>
    <col min="1549" max="1552" width="8.125" style="3077" customWidth="1"/>
    <col min="1553" max="1792" width="9" style="3077"/>
    <col min="1793" max="1793" width="6.375" style="3077" customWidth="1"/>
    <col min="1794" max="1794" width="19.375" style="3077" customWidth="1"/>
    <col min="1795" max="1795" width="7" style="3077" customWidth="1"/>
    <col min="1796" max="1796" width="3.25" style="3077" customWidth="1"/>
    <col min="1797" max="1797" width="7.375" style="3077" customWidth="1"/>
    <col min="1798" max="1798" width="3.5" style="3077" customWidth="1"/>
    <col min="1799" max="1799" width="19.375" style="3077" customWidth="1"/>
    <col min="1800" max="1800" width="19.5" style="3077" customWidth="1"/>
    <col min="1801" max="1801" width="8.625" style="3077" customWidth="1"/>
    <col min="1802" max="1802" width="10.5" style="3077" customWidth="1"/>
    <col min="1803" max="1803" width="4.875" style="3077" customWidth="1"/>
    <col min="1804" max="1804" width="16.375" style="3077" customWidth="1"/>
    <col min="1805" max="1808" width="8.125" style="3077" customWidth="1"/>
    <col min="1809" max="2048" width="9" style="3077"/>
    <col min="2049" max="2049" width="6.375" style="3077" customWidth="1"/>
    <col min="2050" max="2050" width="19.375" style="3077" customWidth="1"/>
    <col min="2051" max="2051" width="7" style="3077" customWidth="1"/>
    <col min="2052" max="2052" width="3.25" style="3077" customWidth="1"/>
    <col min="2053" max="2053" width="7.375" style="3077" customWidth="1"/>
    <col min="2054" max="2054" width="3.5" style="3077" customWidth="1"/>
    <col min="2055" max="2055" width="19.375" style="3077" customWidth="1"/>
    <col min="2056" max="2056" width="19.5" style="3077" customWidth="1"/>
    <col min="2057" max="2057" width="8.625" style="3077" customWidth="1"/>
    <col min="2058" max="2058" width="10.5" style="3077" customWidth="1"/>
    <col min="2059" max="2059" width="4.875" style="3077" customWidth="1"/>
    <col min="2060" max="2060" width="16.375" style="3077" customWidth="1"/>
    <col min="2061" max="2064" width="8.125" style="3077" customWidth="1"/>
    <col min="2065" max="2304" width="9" style="3077"/>
    <col min="2305" max="2305" width="6.375" style="3077" customWidth="1"/>
    <col min="2306" max="2306" width="19.375" style="3077" customWidth="1"/>
    <col min="2307" max="2307" width="7" style="3077" customWidth="1"/>
    <col min="2308" max="2308" width="3.25" style="3077" customWidth="1"/>
    <col min="2309" max="2309" width="7.375" style="3077" customWidth="1"/>
    <col min="2310" max="2310" width="3.5" style="3077" customWidth="1"/>
    <col min="2311" max="2311" width="19.375" style="3077" customWidth="1"/>
    <col min="2312" max="2312" width="19.5" style="3077" customWidth="1"/>
    <col min="2313" max="2313" width="8.625" style="3077" customWidth="1"/>
    <col min="2314" max="2314" width="10.5" style="3077" customWidth="1"/>
    <col min="2315" max="2315" width="4.875" style="3077" customWidth="1"/>
    <col min="2316" max="2316" width="16.375" style="3077" customWidth="1"/>
    <col min="2317" max="2320" width="8.125" style="3077" customWidth="1"/>
    <col min="2321" max="2560" width="9" style="3077"/>
    <col min="2561" max="2561" width="6.375" style="3077" customWidth="1"/>
    <col min="2562" max="2562" width="19.375" style="3077" customWidth="1"/>
    <col min="2563" max="2563" width="7" style="3077" customWidth="1"/>
    <col min="2564" max="2564" width="3.25" style="3077" customWidth="1"/>
    <col min="2565" max="2565" width="7.375" style="3077" customWidth="1"/>
    <col min="2566" max="2566" width="3.5" style="3077" customWidth="1"/>
    <col min="2567" max="2567" width="19.375" style="3077" customWidth="1"/>
    <col min="2568" max="2568" width="19.5" style="3077" customWidth="1"/>
    <col min="2569" max="2569" width="8.625" style="3077" customWidth="1"/>
    <col min="2570" max="2570" width="10.5" style="3077" customWidth="1"/>
    <col min="2571" max="2571" width="4.875" style="3077" customWidth="1"/>
    <col min="2572" max="2572" width="16.375" style="3077" customWidth="1"/>
    <col min="2573" max="2576" width="8.125" style="3077" customWidth="1"/>
    <col min="2577" max="2816" width="9" style="3077"/>
    <col min="2817" max="2817" width="6.375" style="3077" customWidth="1"/>
    <col min="2818" max="2818" width="19.375" style="3077" customWidth="1"/>
    <col min="2819" max="2819" width="7" style="3077" customWidth="1"/>
    <col min="2820" max="2820" width="3.25" style="3077" customWidth="1"/>
    <col min="2821" max="2821" width="7.375" style="3077" customWidth="1"/>
    <col min="2822" max="2822" width="3.5" style="3077" customWidth="1"/>
    <col min="2823" max="2823" width="19.375" style="3077" customWidth="1"/>
    <col min="2824" max="2824" width="19.5" style="3077" customWidth="1"/>
    <col min="2825" max="2825" width="8.625" style="3077" customWidth="1"/>
    <col min="2826" max="2826" width="10.5" style="3077" customWidth="1"/>
    <col min="2827" max="2827" width="4.875" style="3077" customWidth="1"/>
    <col min="2828" max="2828" width="16.375" style="3077" customWidth="1"/>
    <col min="2829" max="2832" width="8.125" style="3077" customWidth="1"/>
    <col min="2833" max="3072" width="9" style="3077"/>
    <col min="3073" max="3073" width="6.375" style="3077" customWidth="1"/>
    <col min="3074" max="3074" width="19.375" style="3077" customWidth="1"/>
    <col min="3075" max="3075" width="7" style="3077" customWidth="1"/>
    <col min="3076" max="3076" width="3.25" style="3077" customWidth="1"/>
    <col min="3077" max="3077" width="7.375" style="3077" customWidth="1"/>
    <col min="3078" max="3078" width="3.5" style="3077" customWidth="1"/>
    <col min="3079" max="3079" width="19.375" style="3077" customWidth="1"/>
    <col min="3080" max="3080" width="19.5" style="3077" customWidth="1"/>
    <col min="3081" max="3081" width="8.625" style="3077" customWidth="1"/>
    <col min="3082" max="3082" width="10.5" style="3077" customWidth="1"/>
    <col min="3083" max="3083" width="4.875" style="3077" customWidth="1"/>
    <col min="3084" max="3084" width="16.375" style="3077" customWidth="1"/>
    <col min="3085" max="3088" width="8.125" style="3077" customWidth="1"/>
    <col min="3089" max="3328" width="9" style="3077"/>
    <col min="3329" max="3329" width="6.375" style="3077" customWidth="1"/>
    <col min="3330" max="3330" width="19.375" style="3077" customWidth="1"/>
    <col min="3331" max="3331" width="7" style="3077" customWidth="1"/>
    <col min="3332" max="3332" width="3.25" style="3077" customWidth="1"/>
    <col min="3333" max="3333" width="7.375" style="3077" customWidth="1"/>
    <col min="3334" max="3334" width="3.5" style="3077" customWidth="1"/>
    <col min="3335" max="3335" width="19.375" style="3077" customWidth="1"/>
    <col min="3336" max="3336" width="19.5" style="3077" customWidth="1"/>
    <col min="3337" max="3337" width="8.625" style="3077" customWidth="1"/>
    <col min="3338" max="3338" width="10.5" style="3077" customWidth="1"/>
    <col min="3339" max="3339" width="4.875" style="3077" customWidth="1"/>
    <col min="3340" max="3340" width="16.375" style="3077" customWidth="1"/>
    <col min="3341" max="3344" width="8.125" style="3077" customWidth="1"/>
    <col min="3345" max="3584" width="9" style="3077"/>
    <col min="3585" max="3585" width="6.375" style="3077" customWidth="1"/>
    <col min="3586" max="3586" width="19.375" style="3077" customWidth="1"/>
    <col min="3587" max="3587" width="7" style="3077" customWidth="1"/>
    <col min="3588" max="3588" width="3.25" style="3077" customWidth="1"/>
    <col min="3589" max="3589" width="7.375" style="3077" customWidth="1"/>
    <col min="3590" max="3590" width="3.5" style="3077" customWidth="1"/>
    <col min="3591" max="3591" width="19.375" style="3077" customWidth="1"/>
    <col min="3592" max="3592" width="19.5" style="3077" customWidth="1"/>
    <col min="3593" max="3593" width="8.625" style="3077" customWidth="1"/>
    <col min="3594" max="3594" width="10.5" style="3077" customWidth="1"/>
    <col min="3595" max="3595" width="4.875" style="3077" customWidth="1"/>
    <col min="3596" max="3596" width="16.375" style="3077" customWidth="1"/>
    <col min="3597" max="3600" width="8.125" style="3077" customWidth="1"/>
    <col min="3601" max="3840" width="9" style="3077"/>
    <col min="3841" max="3841" width="6.375" style="3077" customWidth="1"/>
    <col min="3842" max="3842" width="19.375" style="3077" customWidth="1"/>
    <col min="3843" max="3843" width="7" style="3077" customWidth="1"/>
    <col min="3844" max="3844" width="3.25" style="3077" customWidth="1"/>
    <col min="3845" max="3845" width="7.375" style="3077" customWidth="1"/>
    <col min="3846" max="3846" width="3.5" style="3077" customWidth="1"/>
    <col min="3847" max="3847" width="19.375" style="3077" customWidth="1"/>
    <col min="3848" max="3848" width="19.5" style="3077" customWidth="1"/>
    <col min="3849" max="3849" width="8.625" style="3077" customWidth="1"/>
    <col min="3850" max="3850" width="10.5" style="3077" customWidth="1"/>
    <col min="3851" max="3851" width="4.875" style="3077" customWidth="1"/>
    <col min="3852" max="3852" width="16.375" style="3077" customWidth="1"/>
    <col min="3853" max="3856" width="8.125" style="3077" customWidth="1"/>
    <col min="3857" max="4096" width="9" style="3077"/>
    <col min="4097" max="4097" width="6.375" style="3077" customWidth="1"/>
    <col min="4098" max="4098" width="19.375" style="3077" customWidth="1"/>
    <col min="4099" max="4099" width="7" style="3077" customWidth="1"/>
    <col min="4100" max="4100" width="3.25" style="3077" customWidth="1"/>
    <col min="4101" max="4101" width="7.375" style="3077" customWidth="1"/>
    <col min="4102" max="4102" width="3.5" style="3077" customWidth="1"/>
    <col min="4103" max="4103" width="19.375" style="3077" customWidth="1"/>
    <col min="4104" max="4104" width="19.5" style="3077" customWidth="1"/>
    <col min="4105" max="4105" width="8.625" style="3077" customWidth="1"/>
    <col min="4106" max="4106" width="10.5" style="3077" customWidth="1"/>
    <col min="4107" max="4107" width="4.875" style="3077" customWidth="1"/>
    <col min="4108" max="4108" width="16.375" style="3077" customWidth="1"/>
    <col min="4109" max="4112" width="8.125" style="3077" customWidth="1"/>
    <col min="4113" max="4352" width="9" style="3077"/>
    <col min="4353" max="4353" width="6.375" style="3077" customWidth="1"/>
    <col min="4354" max="4354" width="19.375" style="3077" customWidth="1"/>
    <col min="4355" max="4355" width="7" style="3077" customWidth="1"/>
    <col min="4356" max="4356" width="3.25" style="3077" customWidth="1"/>
    <col min="4357" max="4357" width="7.375" style="3077" customWidth="1"/>
    <col min="4358" max="4358" width="3.5" style="3077" customWidth="1"/>
    <col min="4359" max="4359" width="19.375" style="3077" customWidth="1"/>
    <col min="4360" max="4360" width="19.5" style="3077" customWidth="1"/>
    <col min="4361" max="4361" width="8.625" style="3077" customWidth="1"/>
    <col min="4362" max="4362" width="10.5" style="3077" customWidth="1"/>
    <col min="4363" max="4363" width="4.875" style="3077" customWidth="1"/>
    <col min="4364" max="4364" width="16.375" style="3077" customWidth="1"/>
    <col min="4365" max="4368" width="8.125" style="3077" customWidth="1"/>
    <col min="4369" max="4608" width="9" style="3077"/>
    <col min="4609" max="4609" width="6.375" style="3077" customWidth="1"/>
    <col min="4610" max="4610" width="19.375" style="3077" customWidth="1"/>
    <col min="4611" max="4611" width="7" style="3077" customWidth="1"/>
    <col min="4612" max="4612" width="3.25" style="3077" customWidth="1"/>
    <col min="4613" max="4613" width="7.375" style="3077" customWidth="1"/>
    <col min="4614" max="4614" width="3.5" style="3077" customWidth="1"/>
    <col min="4615" max="4615" width="19.375" style="3077" customWidth="1"/>
    <col min="4616" max="4616" width="19.5" style="3077" customWidth="1"/>
    <col min="4617" max="4617" width="8.625" style="3077" customWidth="1"/>
    <col min="4618" max="4618" width="10.5" style="3077" customWidth="1"/>
    <col min="4619" max="4619" width="4.875" style="3077" customWidth="1"/>
    <col min="4620" max="4620" width="16.375" style="3077" customWidth="1"/>
    <col min="4621" max="4624" width="8.125" style="3077" customWidth="1"/>
    <col min="4625" max="4864" width="9" style="3077"/>
    <col min="4865" max="4865" width="6.375" style="3077" customWidth="1"/>
    <col min="4866" max="4866" width="19.375" style="3077" customWidth="1"/>
    <col min="4867" max="4867" width="7" style="3077" customWidth="1"/>
    <col min="4868" max="4868" width="3.25" style="3077" customWidth="1"/>
    <col min="4869" max="4869" width="7.375" style="3077" customWidth="1"/>
    <col min="4870" max="4870" width="3.5" style="3077" customWidth="1"/>
    <col min="4871" max="4871" width="19.375" style="3077" customWidth="1"/>
    <col min="4872" max="4872" width="19.5" style="3077" customWidth="1"/>
    <col min="4873" max="4873" width="8.625" style="3077" customWidth="1"/>
    <col min="4874" max="4874" width="10.5" style="3077" customWidth="1"/>
    <col min="4875" max="4875" width="4.875" style="3077" customWidth="1"/>
    <col min="4876" max="4876" width="16.375" style="3077" customWidth="1"/>
    <col min="4877" max="4880" width="8.125" style="3077" customWidth="1"/>
    <col min="4881" max="5120" width="9" style="3077"/>
    <col min="5121" max="5121" width="6.375" style="3077" customWidth="1"/>
    <col min="5122" max="5122" width="19.375" style="3077" customWidth="1"/>
    <col min="5123" max="5123" width="7" style="3077" customWidth="1"/>
    <col min="5124" max="5124" width="3.25" style="3077" customWidth="1"/>
    <col min="5125" max="5125" width="7.375" style="3077" customWidth="1"/>
    <col min="5126" max="5126" width="3.5" style="3077" customWidth="1"/>
    <col min="5127" max="5127" width="19.375" style="3077" customWidth="1"/>
    <col min="5128" max="5128" width="19.5" style="3077" customWidth="1"/>
    <col min="5129" max="5129" width="8.625" style="3077" customWidth="1"/>
    <col min="5130" max="5130" width="10.5" style="3077" customWidth="1"/>
    <col min="5131" max="5131" width="4.875" style="3077" customWidth="1"/>
    <col min="5132" max="5132" width="16.375" style="3077" customWidth="1"/>
    <col min="5133" max="5136" width="8.125" style="3077" customWidth="1"/>
    <col min="5137" max="5376" width="9" style="3077"/>
    <col min="5377" max="5377" width="6.375" style="3077" customWidth="1"/>
    <col min="5378" max="5378" width="19.375" style="3077" customWidth="1"/>
    <col min="5379" max="5379" width="7" style="3077" customWidth="1"/>
    <col min="5380" max="5380" width="3.25" style="3077" customWidth="1"/>
    <col min="5381" max="5381" width="7.375" style="3077" customWidth="1"/>
    <col min="5382" max="5382" width="3.5" style="3077" customWidth="1"/>
    <col min="5383" max="5383" width="19.375" style="3077" customWidth="1"/>
    <col min="5384" max="5384" width="19.5" style="3077" customWidth="1"/>
    <col min="5385" max="5385" width="8.625" style="3077" customWidth="1"/>
    <col min="5386" max="5386" width="10.5" style="3077" customWidth="1"/>
    <col min="5387" max="5387" width="4.875" style="3077" customWidth="1"/>
    <col min="5388" max="5388" width="16.375" style="3077" customWidth="1"/>
    <col min="5389" max="5392" width="8.125" style="3077" customWidth="1"/>
    <col min="5393" max="5632" width="9" style="3077"/>
    <col min="5633" max="5633" width="6.375" style="3077" customWidth="1"/>
    <col min="5634" max="5634" width="19.375" style="3077" customWidth="1"/>
    <col min="5635" max="5635" width="7" style="3077" customWidth="1"/>
    <col min="5636" max="5636" width="3.25" style="3077" customWidth="1"/>
    <col min="5637" max="5637" width="7.375" style="3077" customWidth="1"/>
    <col min="5638" max="5638" width="3.5" style="3077" customWidth="1"/>
    <col min="5639" max="5639" width="19.375" style="3077" customWidth="1"/>
    <col min="5640" max="5640" width="19.5" style="3077" customWidth="1"/>
    <col min="5641" max="5641" width="8.625" style="3077" customWidth="1"/>
    <col min="5642" max="5642" width="10.5" style="3077" customWidth="1"/>
    <col min="5643" max="5643" width="4.875" style="3077" customWidth="1"/>
    <col min="5644" max="5644" width="16.375" style="3077" customWidth="1"/>
    <col min="5645" max="5648" width="8.125" style="3077" customWidth="1"/>
    <col min="5649" max="5888" width="9" style="3077"/>
    <col min="5889" max="5889" width="6.375" style="3077" customWidth="1"/>
    <col min="5890" max="5890" width="19.375" style="3077" customWidth="1"/>
    <col min="5891" max="5891" width="7" style="3077" customWidth="1"/>
    <col min="5892" max="5892" width="3.25" style="3077" customWidth="1"/>
    <col min="5893" max="5893" width="7.375" style="3077" customWidth="1"/>
    <col min="5894" max="5894" width="3.5" style="3077" customWidth="1"/>
    <col min="5895" max="5895" width="19.375" style="3077" customWidth="1"/>
    <col min="5896" max="5896" width="19.5" style="3077" customWidth="1"/>
    <col min="5897" max="5897" width="8.625" style="3077" customWidth="1"/>
    <col min="5898" max="5898" width="10.5" style="3077" customWidth="1"/>
    <col min="5899" max="5899" width="4.875" style="3077" customWidth="1"/>
    <col min="5900" max="5900" width="16.375" style="3077" customWidth="1"/>
    <col min="5901" max="5904" width="8.125" style="3077" customWidth="1"/>
    <col min="5905" max="6144" width="9" style="3077"/>
    <col min="6145" max="6145" width="6.375" style="3077" customWidth="1"/>
    <col min="6146" max="6146" width="19.375" style="3077" customWidth="1"/>
    <col min="6147" max="6147" width="7" style="3077" customWidth="1"/>
    <col min="6148" max="6148" width="3.25" style="3077" customWidth="1"/>
    <col min="6149" max="6149" width="7.375" style="3077" customWidth="1"/>
    <col min="6150" max="6150" width="3.5" style="3077" customWidth="1"/>
    <col min="6151" max="6151" width="19.375" style="3077" customWidth="1"/>
    <col min="6152" max="6152" width="19.5" style="3077" customWidth="1"/>
    <col min="6153" max="6153" width="8.625" style="3077" customWidth="1"/>
    <col min="6154" max="6154" width="10.5" style="3077" customWidth="1"/>
    <col min="6155" max="6155" width="4.875" style="3077" customWidth="1"/>
    <col min="6156" max="6156" width="16.375" style="3077" customWidth="1"/>
    <col min="6157" max="6160" width="8.125" style="3077" customWidth="1"/>
    <col min="6161" max="6400" width="9" style="3077"/>
    <col min="6401" max="6401" width="6.375" style="3077" customWidth="1"/>
    <col min="6402" max="6402" width="19.375" style="3077" customWidth="1"/>
    <col min="6403" max="6403" width="7" style="3077" customWidth="1"/>
    <col min="6404" max="6404" width="3.25" style="3077" customWidth="1"/>
    <col min="6405" max="6405" width="7.375" style="3077" customWidth="1"/>
    <col min="6406" max="6406" width="3.5" style="3077" customWidth="1"/>
    <col min="6407" max="6407" width="19.375" style="3077" customWidth="1"/>
    <col min="6408" max="6408" width="19.5" style="3077" customWidth="1"/>
    <col min="6409" max="6409" width="8.625" style="3077" customWidth="1"/>
    <col min="6410" max="6410" width="10.5" style="3077" customWidth="1"/>
    <col min="6411" max="6411" width="4.875" style="3077" customWidth="1"/>
    <col min="6412" max="6412" width="16.375" style="3077" customWidth="1"/>
    <col min="6413" max="6416" width="8.125" style="3077" customWidth="1"/>
    <col min="6417" max="6656" width="9" style="3077"/>
    <col min="6657" max="6657" width="6.375" style="3077" customWidth="1"/>
    <col min="6658" max="6658" width="19.375" style="3077" customWidth="1"/>
    <col min="6659" max="6659" width="7" style="3077" customWidth="1"/>
    <col min="6660" max="6660" width="3.25" style="3077" customWidth="1"/>
    <col min="6661" max="6661" width="7.375" style="3077" customWidth="1"/>
    <col min="6662" max="6662" width="3.5" style="3077" customWidth="1"/>
    <col min="6663" max="6663" width="19.375" style="3077" customWidth="1"/>
    <col min="6664" max="6664" width="19.5" style="3077" customWidth="1"/>
    <col min="6665" max="6665" width="8.625" style="3077" customWidth="1"/>
    <col min="6666" max="6666" width="10.5" style="3077" customWidth="1"/>
    <col min="6667" max="6667" width="4.875" style="3077" customWidth="1"/>
    <col min="6668" max="6668" width="16.375" style="3077" customWidth="1"/>
    <col min="6669" max="6672" width="8.125" style="3077" customWidth="1"/>
    <col min="6673" max="6912" width="9" style="3077"/>
    <col min="6913" max="6913" width="6.375" style="3077" customWidth="1"/>
    <col min="6914" max="6914" width="19.375" style="3077" customWidth="1"/>
    <col min="6915" max="6915" width="7" style="3077" customWidth="1"/>
    <col min="6916" max="6916" width="3.25" style="3077" customWidth="1"/>
    <col min="6917" max="6917" width="7.375" style="3077" customWidth="1"/>
    <col min="6918" max="6918" width="3.5" style="3077" customWidth="1"/>
    <col min="6919" max="6919" width="19.375" style="3077" customWidth="1"/>
    <col min="6920" max="6920" width="19.5" style="3077" customWidth="1"/>
    <col min="6921" max="6921" width="8.625" style="3077" customWidth="1"/>
    <col min="6922" max="6922" width="10.5" style="3077" customWidth="1"/>
    <col min="6923" max="6923" width="4.875" style="3077" customWidth="1"/>
    <col min="6924" max="6924" width="16.375" style="3077" customWidth="1"/>
    <col min="6925" max="6928" width="8.125" style="3077" customWidth="1"/>
    <col min="6929" max="7168" width="9" style="3077"/>
    <col min="7169" max="7169" width="6.375" style="3077" customWidth="1"/>
    <col min="7170" max="7170" width="19.375" style="3077" customWidth="1"/>
    <col min="7171" max="7171" width="7" style="3077" customWidth="1"/>
    <col min="7172" max="7172" width="3.25" style="3077" customWidth="1"/>
    <col min="7173" max="7173" width="7.375" style="3077" customWidth="1"/>
    <col min="7174" max="7174" width="3.5" style="3077" customWidth="1"/>
    <col min="7175" max="7175" width="19.375" style="3077" customWidth="1"/>
    <col min="7176" max="7176" width="19.5" style="3077" customWidth="1"/>
    <col min="7177" max="7177" width="8.625" style="3077" customWidth="1"/>
    <col min="7178" max="7178" width="10.5" style="3077" customWidth="1"/>
    <col min="7179" max="7179" width="4.875" style="3077" customWidth="1"/>
    <col min="7180" max="7180" width="16.375" style="3077" customWidth="1"/>
    <col min="7181" max="7184" width="8.125" style="3077" customWidth="1"/>
    <col min="7185" max="7424" width="9" style="3077"/>
    <col min="7425" max="7425" width="6.375" style="3077" customWidth="1"/>
    <col min="7426" max="7426" width="19.375" style="3077" customWidth="1"/>
    <col min="7427" max="7427" width="7" style="3077" customWidth="1"/>
    <col min="7428" max="7428" width="3.25" style="3077" customWidth="1"/>
    <col min="7429" max="7429" width="7.375" style="3077" customWidth="1"/>
    <col min="7430" max="7430" width="3.5" style="3077" customWidth="1"/>
    <col min="7431" max="7431" width="19.375" style="3077" customWidth="1"/>
    <col min="7432" max="7432" width="19.5" style="3077" customWidth="1"/>
    <col min="7433" max="7433" width="8.625" style="3077" customWidth="1"/>
    <col min="7434" max="7434" width="10.5" style="3077" customWidth="1"/>
    <col min="7435" max="7435" width="4.875" style="3077" customWidth="1"/>
    <col min="7436" max="7436" width="16.375" style="3077" customWidth="1"/>
    <col min="7437" max="7440" width="8.125" style="3077" customWidth="1"/>
    <col min="7441" max="7680" width="9" style="3077"/>
    <col min="7681" max="7681" width="6.375" style="3077" customWidth="1"/>
    <col min="7682" max="7682" width="19.375" style="3077" customWidth="1"/>
    <col min="7683" max="7683" width="7" style="3077" customWidth="1"/>
    <col min="7684" max="7684" width="3.25" style="3077" customWidth="1"/>
    <col min="7685" max="7685" width="7.375" style="3077" customWidth="1"/>
    <col min="7686" max="7686" width="3.5" style="3077" customWidth="1"/>
    <col min="7687" max="7687" width="19.375" style="3077" customWidth="1"/>
    <col min="7688" max="7688" width="19.5" style="3077" customWidth="1"/>
    <col min="7689" max="7689" width="8.625" style="3077" customWidth="1"/>
    <col min="7690" max="7690" width="10.5" style="3077" customWidth="1"/>
    <col min="7691" max="7691" width="4.875" style="3077" customWidth="1"/>
    <col min="7692" max="7692" width="16.375" style="3077" customWidth="1"/>
    <col min="7693" max="7696" width="8.125" style="3077" customWidth="1"/>
    <col min="7697" max="7936" width="9" style="3077"/>
    <col min="7937" max="7937" width="6.375" style="3077" customWidth="1"/>
    <col min="7938" max="7938" width="19.375" style="3077" customWidth="1"/>
    <col min="7939" max="7939" width="7" style="3077" customWidth="1"/>
    <col min="7940" max="7940" width="3.25" style="3077" customWidth="1"/>
    <col min="7941" max="7941" width="7.375" style="3077" customWidth="1"/>
    <col min="7942" max="7942" width="3.5" style="3077" customWidth="1"/>
    <col min="7943" max="7943" width="19.375" style="3077" customWidth="1"/>
    <col min="7944" max="7944" width="19.5" style="3077" customWidth="1"/>
    <col min="7945" max="7945" width="8.625" style="3077" customWidth="1"/>
    <col min="7946" max="7946" width="10.5" style="3077" customWidth="1"/>
    <col min="7947" max="7947" width="4.875" style="3077" customWidth="1"/>
    <col min="7948" max="7948" width="16.375" style="3077" customWidth="1"/>
    <col min="7949" max="7952" width="8.125" style="3077" customWidth="1"/>
    <col min="7953" max="8192" width="9" style="3077"/>
    <col min="8193" max="8193" width="6.375" style="3077" customWidth="1"/>
    <col min="8194" max="8194" width="19.375" style="3077" customWidth="1"/>
    <col min="8195" max="8195" width="7" style="3077" customWidth="1"/>
    <col min="8196" max="8196" width="3.25" style="3077" customWidth="1"/>
    <col min="8197" max="8197" width="7.375" style="3077" customWidth="1"/>
    <col min="8198" max="8198" width="3.5" style="3077" customWidth="1"/>
    <col min="8199" max="8199" width="19.375" style="3077" customWidth="1"/>
    <col min="8200" max="8200" width="19.5" style="3077" customWidth="1"/>
    <col min="8201" max="8201" width="8.625" style="3077" customWidth="1"/>
    <col min="8202" max="8202" width="10.5" style="3077" customWidth="1"/>
    <col min="8203" max="8203" width="4.875" style="3077" customWidth="1"/>
    <col min="8204" max="8204" width="16.375" style="3077" customWidth="1"/>
    <col min="8205" max="8208" width="8.125" style="3077" customWidth="1"/>
    <col min="8209" max="8448" width="9" style="3077"/>
    <col min="8449" max="8449" width="6.375" style="3077" customWidth="1"/>
    <col min="8450" max="8450" width="19.375" style="3077" customWidth="1"/>
    <col min="8451" max="8451" width="7" style="3077" customWidth="1"/>
    <col min="8452" max="8452" width="3.25" style="3077" customWidth="1"/>
    <col min="8453" max="8453" width="7.375" style="3077" customWidth="1"/>
    <col min="8454" max="8454" width="3.5" style="3077" customWidth="1"/>
    <col min="8455" max="8455" width="19.375" style="3077" customWidth="1"/>
    <col min="8456" max="8456" width="19.5" style="3077" customWidth="1"/>
    <col min="8457" max="8457" width="8.625" style="3077" customWidth="1"/>
    <col min="8458" max="8458" width="10.5" style="3077" customWidth="1"/>
    <col min="8459" max="8459" width="4.875" style="3077" customWidth="1"/>
    <col min="8460" max="8460" width="16.375" style="3077" customWidth="1"/>
    <col min="8461" max="8464" width="8.125" style="3077" customWidth="1"/>
    <col min="8465" max="8704" width="9" style="3077"/>
    <col min="8705" max="8705" width="6.375" style="3077" customWidth="1"/>
    <col min="8706" max="8706" width="19.375" style="3077" customWidth="1"/>
    <col min="8707" max="8707" width="7" style="3077" customWidth="1"/>
    <col min="8708" max="8708" width="3.25" style="3077" customWidth="1"/>
    <col min="8709" max="8709" width="7.375" style="3077" customWidth="1"/>
    <col min="8710" max="8710" width="3.5" style="3077" customWidth="1"/>
    <col min="8711" max="8711" width="19.375" style="3077" customWidth="1"/>
    <col min="8712" max="8712" width="19.5" style="3077" customWidth="1"/>
    <col min="8713" max="8713" width="8.625" style="3077" customWidth="1"/>
    <col min="8714" max="8714" width="10.5" style="3077" customWidth="1"/>
    <col min="8715" max="8715" width="4.875" style="3077" customWidth="1"/>
    <col min="8716" max="8716" width="16.375" style="3077" customWidth="1"/>
    <col min="8717" max="8720" width="8.125" style="3077" customWidth="1"/>
    <col min="8721" max="8960" width="9" style="3077"/>
    <col min="8961" max="8961" width="6.375" style="3077" customWidth="1"/>
    <col min="8962" max="8962" width="19.375" style="3077" customWidth="1"/>
    <col min="8963" max="8963" width="7" style="3077" customWidth="1"/>
    <col min="8964" max="8964" width="3.25" style="3077" customWidth="1"/>
    <col min="8965" max="8965" width="7.375" style="3077" customWidth="1"/>
    <col min="8966" max="8966" width="3.5" style="3077" customWidth="1"/>
    <col min="8967" max="8967" width="19.375" style="3077" customWidth="1"/>
    <col min="8968" max="8968" width="19.5" style="3077" customWidth="1"/>
    <col min="8969" max="8969" width="8.625" style="3077" customWidth="1"/>
    <col min="8970" max="8970" width="10.5" style="3077" customWidth="1"/>
    <col min="8971" max="8971" width="4.875" style="3077" customWidth="1"/>
    <col min="8972" max="8972" width="16.375" style="3077" customWidth="1"/>
    <col min="8973" max="8976" width="8.125" style="3077" customWidth="1"/>
    <col min="8977" max="9216" width="9" style="3077"/>
    <col min="9217" max="9217" width="6.375" style="3077" customWidth="1"/>
    <col min="9218" max="9218" width="19.375" style="3077" customWidth="1"/>
    <col min="9219" max="9219" width="7" style="3077" customWidth="1"/>
    <col min="9220" max="9220" width="3.25" style="3077" customWidth="1"/>
    <col min="9221" max="9221" width="7.375" style="3077" customWidth="1"/>
    <col min="9222" max="9222" width="3.5" style="3077" customWidth="1"/>
    <col min="9223" max="9223" width="19.375" style="3077" customWidth="1"/>
    <col min="9224" max="9224" width="19.5" style="3077" customWidth="1"/>
    <col min="9225" max="9225" width="8.625" style="3077" customWidth="1"/>
    <col min="9226" max="9226" width="10.5" style="3077" customWidth="1"/>
    <col min="9227" max="9227" width="4.875" style="3077" customWidth="1"/>
    <col min="9228" max="9228" width="16.375" style="3077" customWidth="1"/>
    <col min="9229" max="9232" width="8.125" style="3077" customWidth="1"/>
    <col min="9233" max="9472" width="9" style="3077"/>
    <col min="9473" max="9473" width="6.375" style="3077" customWidth="1"/>
    <col min="9474" max="9474" width="19.375" style="3077" customWidth="1"/>
    <col min="9475" max="9475" width="7" style="3077" customWidth="1"/>
    <col min="9476" max="9476" width="3.25" style="3077" customWidth="1"/>
    <col min="9477" max="9477" width="7.375" style="3077" customWidth="1"/>
    <col min="9478" max="9478" width="3.5" style="3077" customWidth="1"/>
    <col min="9479" max="9479" width="19.375" style="3077" customWidth="1"/>
    <col min="9480" max="9480" width="19.5" style="3077" customWidth="1"/>
    <col min="9481" max="9481" width="8.625" style="3077" customWidth="1"/>
    <col min="9482" max="9482" width="10.5" style="3077" customWidth="1"/>
    <col min="9483" max="9483" width="4.875" style="3077" customWidth="1"/>
    <col min="9484" max="9484" width="16.375" style="3077" customWidth="1"/>
    <col min="9485" max="9488" width="8.125" style="3077" customWidth="1"/>
    <col min="9489" max="9728" width="9" style="3077"/>
    <col min="9729" max="9729" width="6.375" style="3077" customWidth="1"/>
    <col min="9730" max="9730" width="19.375" style="3077" customWidth="1"/>
    <col min="9731" max="9731" width="7" style="3077" customWidth="1"/>
    <col min="9732" max="9732" width="3.25" style="3077" customWidth="1"/>
    <col min="9733" max="9733" width="7.375" style="3077" customWidth="1"/>
    <col min="9734" max="9734" width="3.5" style="3077" customWidth="1"/>
    <col min="9735" max="9735" width="19.375" style="3077" customWidth="1"/>
    <col min="9736" max="9736" width="19.5" style="3077" customWidth="1"/>
    <col min="9737" max="9737" width="8.625" style="3077" customWidth="1"/>
    <col min="9738" max="9738" width="10.5" style="3077" customWidth="1"/>
    <col min="9739" max="9739" width="4.875" style="3077" customWidth="1"/>
    <col min="9740" max="9740" width="16.375" style="3077" customWidth="1"/>
    <col min="9741" max="9744" width="8.125" style="3077" customWidth="1"/>
    <col min="9745" max="9984" width="9" style="3077"/>
    <col min="9985" max="9985" width="6.375" style="3077" customWidth="1"/>
    <col min="9986" max="9986" width="19.375" style="3077" customWidth="1"/>
    <col min="9987" max="9987" width="7" style="3077" customWidth="1"/>
    <col min="9988" max="9988" width="3.25" style="3077" customWidth="1"/>
    <col min="9989" max="9989" width="7.375" style="3077" customWidth="1"/>
    <col min="9990" max="9990" width="3.5" style="3077" customWidth="1"/>
    <col min="9991" max="9991" width="19.375" style="3077" customWidth="1"/>
    <col min="9992" max="9992" width="19.5" style="3077" customWidth="1"/>
    <col min="9993" max="9993" width="8.625" style="3077" customWidth="1"/>
    <col min="9994" max="9994" width="10.5" style="3077" customWidth="1"/>
    <col min="9995" max="9995" width="4.875" style="3077" customWidth="1"/>
    <col min="9996" max="9996" width="16.375" style="3077" customWidth="1"/>
    <col min="9997" max="10000" width="8.125" style="3077" customWidth="1"/>
    <col min="10001" max="10240" width="9" style="3077"/>
    <col min="10241" max="10241" width="6.375" style="3077" customWidth="1"/>
    <col min="10242" max="10242" width="19.375" style="3077" customWidth="1"/>
    <col min="10243" max="10243" width="7" style="3077" customWidth="1"/>
    <col min="10244" max="10244" width="3.25" style="3077" customWidth="1"/>
    <col min="10245" max="10245" width="7.375" style="3077" customWidth="1"/>
    <col min="10246" max="10246" width="3.5" style="3077" customWidth="1"/>
    <col min="10247" max="10247" width="19.375" style="3077" customWidth="1"/>
    <col min="10248" max="10248" width="19.5" style="3077" customWidth="1"/>
    <col min="10249" max="10249" width="8.625" style="3077" customWidth="1"/>
    <col min="10250" max="10250" width="10.5" style="3077" customWidth="1"/>
    <col min="10251" max="10251" width="4.875" style="3077" customWidth="1"/>
    <col min="10252" max="10252" width="16.375" style="3077" customWidth="1"/>
    <col min="10253" max="10256" width="8.125" style="3077" customWidth="1"/>
    <col min="10257" max="10496" width="9" style="3077"/>
    <col min="10497" max="10497" width="6.375" style="3077" customWidth="1"/>
    <col min="10498" max="10498" width="19.375" style="3077" customWidth="1"/>
    <col min="10499" max="10499" width="7" style="3077" customWidth="1"/>
    <col min="10500" max="10500" width="3.25" style="3077" customWidth="1"/>
    <col min="10501" max="10501" width="7.375" style="3077" customWidth="1"/>
    <col min="10502" max="10502" width="3.5" style="3077" customWidth="1"/>
    <col min="10503" max="10503" width="19.375" style="3077" customWidth="1"/>
    <col min="10504" max="10504" width="19.5" style="3077" customWidth="1"/>
    <col min="10505" max="10505" width="8.625" style="3077" customWidth="1"/>
    <col min="10506" max="10506" width="10.5" style="3077" customWidth="1"/>
    <col min="10507" max="10507" width="4.875" style="3077" customWidth="1"/>
    <col min="10508" max="10508" width="16.375" style="3077" customWidth="1"/>
    <col min="10509" max="10512" width="8.125" style="3077" customWidth="1"/>
    <col min="10513" max="10752" width="9" style="3077"/>
    <col min="10753" max="10753" width="6.375" style="3077" customWidth="1"/>
    <col min="10754" max="10754" width="19.375" style="3077" customWidth="1"/>
    <col min="10755" max="10755" width="7" style="3077" customWidth="1"/>
    <col min="10756" max="10756" width="3.25" style="3077" customWidth="1"/>
    <col min="10757" max="10757" width="7.375" style="3077" customWidth="1"/>
    <col min="10758" max="10758" width="3.5" style="3077" customWidth="1"/>
    <col min="10759" max="10759" width="19.375" style="3077" customWidth="1"/>
    <col min="10760" max="10760" width="19.5" style="3077" customWidth="1"/>
    <col min="10761" max="10761" width="8.625" style="3077" customWidth="1"/>
    <col min="10762" max="10762" width="10.5" style="3077" customWidth="1"/>
    <col min="10763" max="10763" width="4.875" style="3077" customWidth="1"/>
    <col min="10764" max="10764" width="16.375" style="3077" customWidth="1"/>
    <col min="10765" max="10768" width="8.125" style="3077" customWidth="1"/>
    <col min="10769" max="11008" width="9" style="3077"/>
    <col min="11009" max="11009" width="6.375" style="3077" customWidth="1"/>
    <col min="11010" max="11010" width="19.375" style="3077" customWidth="1"/>
    <col min="11011" max="11011" width="7" style="3077" customWidth="1"/>
    <col min="11012" max="11012" width="3.25" style="3077" customWidth="1"/>
    <col min="11013" max="11013" width="7.375" style="3077" customWidth="1"/>
    <col min="11014" max="11014" width="3.5" style="3077" customWidth="1"/>
    <col min="11015" max="11015" width="19.375" style="3077" customWidth="1"/>
    <col min="11016" max="11016" width="19.5" style="3077" customWidth="1"/>
    <col min="11017" max="11017" width="8.625" style="3077" customWidth="1"/>
    <col min="11018" max="11018" width="10.5" style="3077" customWidth="1"/>
    <col min="11019" max="11019" width="4.875" style="3077" customWidth="1"/>
    <col min="11020" max="11020" width="16.375" style="3077" customWidth="1"/>
    <col min="11021" max="11024" width="8.125" style="3077" customWidth="1"/>
    <col min="11025" max="11264" width="9" style="3077"/>
    <col min="11265" max="11265" width="6.375" style="3077" customWidth="1"/>
    <col min="11266" max="11266" width="19.375" style="3077" customWidth="1"/>
    <col min="11267" max="11267" width="7" style="3077" customWidth="1"/>
    <col min="11268" max="11268" width="3.25" style="3077" customWidth="1"/>
    <col min="11269" max="11269" width="7.375" style="3077" customWidth="1"/>
    <col min="11270" max="11270" width="3.5" style="3077" customWidth="1"/>
    <col min="11271" max="11271" width="19.375" style="3077" customWidth="1"/>
    <col min="11272" max="11272" width="19.5" style="3077" customWidth="1"/>
    <col min="11273" max="11273" width="8.625" style="3077" customWidth="1"/>
    <col min="11274" max="11274" width="10.5" style="3077" customWidth="1"/>
    <col min="11275" max="11275" width="4.875" style="3077" customWidth="1"/>
    <col min="11276" max="11276" width="16.375" style="3077" customWidth="1"/>
    <col min="11277" max="11280" width="8.125" style="3077" customWidth="1"/>
    <col min="11281" max="11520" width="9" style="3077"/>
    <col min="11521" max="11521" width="6.375" style="3077" customWidth="1"/>
    <col min="11522" max="11522" width="19.375" style="3077" customWidth="1"/>
    <col min="11523" max="11523" width="7" style="3077" customWidth="1"/>
    <col min="11524" max="11524" width="3.25" style="3077" customWidth="1"/>
    <col min="11525" max="11525" width="7.375" style="3077" customWidth="1"/>
    <col min="11526" max="11526" width="3.5" style="3077" customWidth="1"/>
    <col min="11527" max="11527" width="19.375" style="3077" customWidth="1"/>
    <col min="11528" max="11528" width="19.5" style="3077" customWidth="1"/>
    <col min="11529" max="11529" width="8.625" style="3077" customWidth="1"/>
    <col min="11530" max="11530" width="10.5" style="3077" customWidth="1"/>
    <col min="11531" max="11531" width="4.875" style="3077" customWidth="1"/>
    <col min="11532" max="11532" width="16.375" style="3077" customWidth="1"/>
    <col min="11533" max="11536" width="8.125" style="3077" customWidth="1"/>
    <col min="11537" max="11776" width="9" style="3077"/>
    <col min="11777" max="11777" width="6.375" style="3077" customWidth="1"/>
    <col min="11778" max="11778" width="19.375" style="3077" customWidth="1"/>
    <col min="11779" max="11779" width="7" style="3077" customWidth="1"/>
    <col min="11780" max="11780" width="3.25" style="3077" customWidth="1"/>
    <col min="11781" max="11781" width="7.375" style="3077" customWidth="1"/>
    <col min="11782" max="11782" width="3.5" style="3077" customWidth="1"/>
    <col min="11783" max="11783" width="19.375" style="3077" customWidth="1"/>
    <col min="11784" max="11784" width="19.5" style="3077" customWidth="1"/>
    <col min="11785" max="11785" width="8.625" style="3077" customWidth="1"/>
    <col min="11786" max="11786" width="10.5" style="3077" customWidth="1"/>
    <col min="11787" max="11787" width="4.875" style="3077" customWidth="1"/>
    <col min="11788" max="11788" width="16.375" style="3077" customWidth="1"/>
    <col min="11789" max="11792" width="8.125" style="3077" customWidth="1"/>
    <col min="11793" max="12032" width="9" style="3077"/>
    <col min="12033" max="12033" width="6.375" style="3077" customWidth="1"/>
    <col min="12034" max="12034" width="19.375" style="3077" customWidth="1"/>
    <col min="12035" max="12035" width="7" style="3077" customWidth="1"/>
    <col min="12036" max="12036" width="3.25" style="3077" customWidth="1"/>
    <col min="12037" max="12037" width="7.375" style="3077" customWidth="1"/>
    <col min="12038" max="12038" width="3.5" style="3077" customWidth="1"/>
    <col min="12039" max="12039" width="19.375" style="3077" customWidth="1"/>
    <col min="12040" max="12040" width="19.5" style="3077" customWidth="1"/>
    <col min="12041" max="12041" width="8.625" style="3077" customWidth="1"/>
    <col min="12042" max="12042" width="10.5" style="3077" customWidth="1"/>
    <col min="12043" max="12043" width="4.875" style="3077" customWidth="1"/>
    <col min="12044" max="12044" width="16.375" style="3077" customWidth="1"/>
    <col min="12045" max="12048" width="8.125" style="3077" customWidth="1"/>
    <col min="12049" max="12288" width="9" style="3077"/>
    <col min="12289" max="12289" width="6.375" style="3077" customWidth="1"/>
    <col min="12290" max="12290" width="19.375" style="3077" customWidth="1"/>
    <col min="12291" max="12291" width="7" style="3077" customWidth="1"/>
    <col min="12292" max="12292" width="3.25" style="3077" customWidth="1"/>
    <col min="12293" max="12293" width="7.375" style="3077" customWidth="1"/>
    <col min="12294" max="12294" width="3.5" style="3077" customWidth="1"/>
    <col min="12295" max="12295" width="19.375" style="3077" customWidth="1"/>
    <col min="12296" max="12296" width="19.5" style="3077" customWidth="1"/>
    <col min="12297" max="12297" width="8.625" style="3077" customWidth="1"/>
    <col min="12298" max="12298" width="10.5" style="3077" customWidth="1"/>
    <col min="12299" max="12299" width="4.875" style="3077" customWidth="1"/>
    <col min="12300" max="12300" width="16.375" style="3077" customWidth="1"/>
    <col min="12301" max="12304" width="8.125" style="3077" customWidth="1"/>
    <col min="12305" max="12544" width="9" style="3077"/>
    <col min="12545" max="12545" width="6.375" style="3077" customWidth="1"/>
    <col min="12546" max="12546" width="19.375" style="3077" customWidth="1"/>
    <col min="12547" max="12547" width="7" style="3077" customWidth="1"/>
    <col min="12548" max="12548" width="3.25" style="3077" customWidth="1"/>
    <col min="12549" max="12549" width="7.375" style="3077" customWidth="1"/>
    <col min="12550" max="12550" width="3.5" style="3077" customWidth="1"/>
    <col min="12551" max="12551" width="19.375" style="3077" customWidth="1"/>
    <col min="12552" max="12552" width="19.5" style="3077" customWidth="1"/>
    <col min="12553" max="12553" width="8.625" style="3077" customWidth="1"/>
    <col min="12554" max="12554" width="10.5" style="3077" customWidth="1"/>
    <col min="12555" max="12555" width="4.875" style="3077" customWidth="1"/>
    <col min="12556" max="12556" width="16.375" style="3077" customWidth="1"/>
    <col min="12557" max="12560" width="8.125" style="3077" customWidth="1"/>
    <col min="12561" max="12800" width="9" style="3077"/>
    <col min="12801" max="12801" width="6.375" style="3077" customWidth="1"/>
    <col min="12802" max="12802" width="19.375" style="3077" customWidth="1"/>
    <col min="12803" max="12803" width="7" style="3077" customWidth="1"/>
    <col min="12804" max="12804" width="3.25" style="3077" customWidth="1"/>
    <col min="12805" max="12805" width="7.375" style="3077" customWidth="1"/>
    <col min="12806" max="12806" width="3.5" style="3077" customWidth="1"/>
    <col min="12807" max="12807" width="19.375" style="3077" customWidth="1"/>
    <col min="12808" max="12808" width="19.5" style="3077" customWidth="1"/>
    <col min="12809" max="12809" width="8.625" style="3077" customWidth="1"/>
    <col min="12810" max="12810" width="10.5" style="3077" customWidth="1"/>
    <col min="12811" max="12811" width="4.875" style="3077" customWidth="1"/>
    <col min="12812" max="12812" width="16.375" style="3077" customWidth="1"/>
    <col min="12813" max="12816" width="8.125" style="3077" customWidth="1"/>
    <col min="12817" max="13056" width="9" style="3077"/>
    <col min="13057" max="13057" width="6.375" style="3077" customWidth="1"/>
    <col min="13058" max="13058" width="19.375" style="3077" customWidth="1"/>
    <col min="13059" max="13059" width="7" style="3077" customWidth="1"/>
    <col min="13060" max="13060" width="3.25" style="3077" customWidth="1"/>
    <col min="13061" max="13061" width="7.375" style="3077" customWidth="1"/>
    <col min="13062" max="13062" width="3.5" style="3077" customWidth="1"/>
    <col min="13063" max="13063" width="19.375" style="3077" customWidth="1"/>
    <col min="13064" max="13064" width="19.5" style="3077" customWidth="1"/>
    <col min="13065" max="13065" width="8.625" style="3077" customWidth="1"/>
    <col min="13066" max="13066" width="10.5" style="3077" customWidth="1"/>
    <col min="13067" max="13067" width="4.875" style="3077" customWidth="1"/>
    <col min="13068" max="13068" width="16.375" style="3077" customWidth="1"/>
    <col min="13069" max="13072" width="8.125" style="3077" customWidth="1"/>
    <col min="13073" max="13312" width="9" style="3077"/>
    <col min="13313" max="13313" width="6.375" style="3077" customWidth="1"/>
    <col min="13314" max="13314" width="19.375" style="3077" customWidth="1"/>
    <col min="13315" max="13315" width="7" style="3077" customWidth="1"/>
    <col min="13316" max="13316" width="3.25" style="3077" customWidth="1"/>
    <col min="13317" max="13317" width="7.375" style="3077" customWidth="1"/>
    <col min="13318" max="13318" width="3.5" style="3077" customWidth="1"/>
    <col min="13319" max="13319" width="19.375" style="3077" customWidth="1"/>
    <col min="13320" max="13320" width="19.5" style="3077" customWidth="1"/>
    <col min="13321" max="13321" width="8.625" style="3077" customWidth="1"/>
    <col min="13322" max="13322" width="10.5" style="3077" customWidth="1"/>
    <col min="13323" max="13323" width="4.875" style="3077" customWidth="1"/>
    <col min="13324" max="13324" width="16.375" style="3077" customWidth="1"/>
    <col min="13325" max="13328" width="8.125" style="3077" customWidth="1"/>
    <col min="13329" max="13568" width="9" style="3077"/>
    <col min="13569" max="13569" width="6.375" style="3077" customWidth="1"/>
    <col min="13570" max="13570" width="19.375" style="3077" customWidth="1"/>
    <col min="13571" max="13571" width="7" style="3077" customWidth="1"/>
    <col min="13572" max="13572" width="3.25" style="3077" customWidth="1"/>
    <col min="13573" max="13573" width="7.375" style="3077" customWidth="1"/>
    <col min="13574" max="13574" width="3.5" style="3077" customWidth="1"/>
    <col min="13575" max="13575" width="19.375" style="3077" customWidth="1"/>
    <col min="13576" max="13576" width="19.5" style="3077" customWidth="1"/>
    <col min="13577" max="13577" width="8.625" style="3077" customWidth="1"/>
    <col min="13578" max="13578" width="10.5" style="3077" customWidth="1"/>
    <col min="13579" max="13579" width="4.875" style="3077" customWidth="1"/>
    <col min="13580" max="13580" width="16.375" style="3077" customWidth="1"/>
    <col min="13581" max="13584" width="8.125" style="3077" customWidth="1"/>
    <col min="13585" max="13824" width="9" style="3077"/>
    <col min="13825" max="13825" width="6.375" style="3077" customWidth="1"/>
    <col min="13826" max="13826" width="19.375" style="3077" customWidth="1"/>
    <col min="13827" max="13827" width="7" style="3077" customWidth="1"/>
    <col min="13828" max="13828" width="3.25" style="3077" customWidth="1"/>
    <col min="13829" max="13829" width="7.375" style="3077" customWidth="1"/>
    <col min="13830" max="13830" width="3.5" style="3077" customWidth="1"/>
    <col min="13831" max="13831" width="19.375" style="3077" customWidth="1"/>
    <col min="13832" max="13832" width="19.5" style="3077" customWidth="1"/>
    <col min="13833" max="13833" width="8.625" style="3077" customWidth="1"/>
    <col min="13834" max="13834" width="10.5" style="3077" customWidth="1"/>
    <col min="13835" max="13835" width="4.875" style="3077" customWidth="1"/>
    <col min="13836" max="13836" width="16.375" style="3077" customWidth="1"/>
    <col min="13837" max="13840" width="8.125" style="3077" customWidth="1"/>
    <col min="13841" max="14080" width="9" style="3077"/>
    <col min="14081" max="14081" width="6.375" style="3077" customWidth="1"/>
    <col min="14082" max="14082" width="19.375" style="3077" customWidth="1"/>
    <col min="14083" max="14083" width="7" style="3077" customWidth="1"/>
    <col min="14084" max="14084" width="3.25" style="3077" customWidth="1"/>
    <col min="14085" max="14085" width="7.375" style="3077" customWidth="1"/>
    <col min="14086" max="14086" width="3.5" style="3077" customWidth="1"/>
    <col min="14087" max="14087" width="19.375" style="3077" customWidth="1"/>
    <col min="14088" max="14088" width="19.5" style="3077" customWidth="1"/>
    <col min="14089" max="14089" width="8.625" style="3077" customWidth="1"/>
    <col min="14090" max="14090" width="10.5" style="3077" customWidth="1"/>
    <col min="14091" max="14091" width="4.875" style="3077" customWidth="1"/>
    <col min="14092" max="14092" width="16.375" style="3077" customWidth="1"/>
    <col min="14093" max="14096" width="8.125" style="3077" customWidth="1"/>
    <col min="14097" max="14336" width="9" style="3077"/>
    <col min="14337" max="14337" width="6.375" style="3077" customWidth="1"/>
    <col min="14338" max="14338" width="19.375" style="3077" customWidth="1"/>
    <col min="14339" max="14339" width="7" style="3077" customWidth="1"/>
    <col min="14340" max="14340" width="3.25" style="3077" customWidth="1"/>
    <col min="14341" max="14341" width="7.375" style="3077" customWidth="1"/>
    <col min="14342" max="14342" width="3.5" style="3077" customWidth="1"/>
    <col min="14343" max="14343" width="19.375" style="3077" customWidth="1"/>
    <col min="14344" max="14344" width="19.5" style="3077" customWidth="1"/>
    <col min="14345" max="14345" width="8.625" style="3077" customWidth="1"/>
    <col min="14346" max="14346" width="10.5" style="3077" customWidth="1"/>
    <col min="14347" max="14347" width="4.875" style="3077" customWidth="1"/>
    <col min="14348" max="14348" width="16.375" style="3077" customWidth="1"/>
    <col min="14349" max="14352" width="8.125" style="3077" customWidth="1"/>
    <col min="14353" max="14592" width="9" style="3077"/>
    <col min="14593" max="14593" width="6.375" style="3077" customWidth="1"/>
    <col min="14594" max="14594" width="19.375" style="3077" customWidth="1"/>
    <col min="14595" max="14595" width="7" style="3077" customWidth="1"/>
    <col min="14596" max="14596" width="3.25" style="3077" customWidth="1"/>
    <col min="14597" max="14597" width="7.375" style="3077" customWidth="1"/>
    <col min="14598" max="14598" width="3.5" style="3077" customWidth="1"/>
    <col min="14599" max="14599" width="19.375" style="3077" customWidth="1"/>
    <col min="14600" max="14600" width="19.5" style="3077" customWidth="1"/>
    <col min="14601" max="14601" width="8.625" style="3077" customWidth="1"/>
    <col min="14602" max="14602" width="10.5" style="3077" customWidth="1"/>
    <col min="14603" max="14603" width="4.875" style="3077" customWidth="1"/>
    <col min="14604" max="14604" width="16.375" style="3077" customWidth="1"/>
    <col min="14605" max="14608" width="8.125" style="3077" customWidth="1"/>
    <col min="14609" max="14848" width="9" style="3077"/>
    <col min="14849" max="14849" width="6.375" style="3077" customWidth="1"/>
    <col min="14850" max="14850" width="19.375" style="3077" customWidth="1"/>
    <col min="14851" max="14851" width="7" style="3077" customWidth="1"/>
    <col min="14852" max="14852" width="3.25" style="3077" customWidth="1"/>
    <col min="14853" max="14853" width="7.375" style="3077" customWidth="1"/>
    <col min="14854" max="14854" width="3.5" style="3077" customWidth="1"/>
    <col min="14855" max="14855" width="19.375" style="3077" customWidth="1"/>
    <col min="14856" max="14856" width="19.5" style="3077" customWidth="1"/>
    <col min="14857" max="14857" width="8.625" style="3077" customWidth="1"/>
    <col min="14858" max="14858" width="10.5" style="3077" customWidth="1"/>
    <col min="14859" max="14859" width="4.875" style="3077" customWidth="1"/>
    <col min="14860" max="14860" width="16.375" style="3077" customWidth="1"/>
    <col min="14861" max="14864" width="8.125" style="3077" customWidth="1"/>
    <col min="14865" max="15104" width="9" style="3077"/>
    <col min="15105" max="15105" width="6.375" style="3077" customWidth="1"/>
    <col min="15106" max="15106" width="19.375" style="3077" customWidth="1"/>
    <col min="15107" max="15107" width="7" style="3077" customWidth="1"/>
    <col min="15108" max="15108" width="3.25" style="3077" customWidth="1"/>
    <col min="15109" max="15109" width="7.375" style="3077" customWidth="1"/>
    <col min="15110" max="15110" width="3.5" style="3077" customWidth="1"/>
    <col min="15111" max="15111" width="19.375" style="3077" customWidth="1"/>
    <col min="15112" max="15112" width="19.5" style="3077" customWidth="1"/>
    <col min="15113" max="15113" width="8.625" style="3077" customWidth="1"/>
    <col min="15114" max="15114" width="10.5" style="3077" customWidth="1"/>
    <col min="15115" max="15115" width="4.875" style="3077" customWidth="1"/>
    <col min="15116" max="15116" width="16.375" style="3077" customWidth="1"/>
    <col min="15117" max="15120" width="8.125" style="3077" customWidth="1"/>
    <col min="15121" max="15360" width="9" style="3077"/>
    <col min="15361" max="15361" width="6.375" style="3077" customWidth="1"/>
    <col min="15362" max="15362" width="19.375" style="3077" customWidth="1"/>
    <col min="15363" max="15363" width="7" style="3077" customWidth="1"/>
    <col min="15364" max="15364" width="3.25" style="3077" customWidth="1"/>
    <col min="15365" max="15365" width="7.375" style="3077" customWidth="1"/>
    <col min="15366" max="15366" width="3.5" style="3077" customWidth="1"/>
    <col min="15367" max="15367" width="19.375" style="3077" customWidth="1"/>
    <col min="15368" max="15368" width="19.5" style="3077" customWidth="1"/>
    <col min="15369" max="15369" width="8.625" style="3077" customWidth="1"/>
    <col min="15370" max="15370" width="10.5" style="3077" customWidth="1"/>
    <col min="15371" max="15371" width="4.875" style="3077" customWidth="1"/>
    <col min="15372" max="15372" width="16.375" style="3077" customWidth="1"/>
    <col min="15373" max="15376" width="8.125" style="3077" customWidth="1"/>
    <col min="15377" max="15616" width="9" style="3077"/>
    <col min="15617" max="15617" width="6.375" style="3077" customWidth="1"/>
    <col min="15618" max="15618" width="19.375" style="3077" customWidth="1"/>
    <col min="15619" max="15619" width="7" style="3077" customWidth="1"/>
    <col min="15620" max="15620" width="3.25" style="3077" customWidth="1"/>
    <col min="15621" max="15621" width="7.375" style="3077" customWidth="1"/>
    <col min="15622" max="15622" width="3.5" style="3077" customWidth="1"/>
    <col min="15623" max="15623" width="19.375" style="3077" customWidth="1"/>
    <col min="15624" max="15624" width="19.5" style="3077" customWidth="1"/>
    <col min="15625" max="15625" width="8.625" style="3077" customWidth="1"/>
    <col min="15626" max="15626" width="10.5" style="3077" customWidth="1"/>
    <col min="15627" max="15627" width="4.875" style="3077" customWidth="1"/>
    <col min="15628" max="15628" width="16.375" style="3077" customWidth="1"/>
    <col min="15629" max="15632" width="8.125" style="3077" customWidth="1"/>
    <col min="15633" max="15872" width="9" style="3077"/>
    <col min="15873" max="15873" width="6.375" style="3077" customWidth="1"/>
    <col min="15874" max="15874" width="19.375" style="3077" customWidth="1"/>
    <col min="15875" max="15875" width="7" style="3077" customWidth="1"/>
    <col min="15876" max="15876" width="3.25" style="3077" customWidth="1"/>
    <col min="15877" max="15877" width="7.375" style="3077" customWidth="1"/>
    <col min="15878" max="15878" width="3.5" style="3077" customWidth="1"/>
    <col min="15879" max="15879" width="19.375" style="3077" customWidth="1"/>
    <col min="15880" max="15880" width="19.5" style="3077" customWidth="1"/>
    <col min="15881" max="15881" width="8.625" style="3077" customWidth="1"/>
    <col min="15882" max="15882" width="10.5" style="3077" customWidth="1"/>
    <col min="15883" max="15883" width="4.875" style="3077" customWidth="1"/>
    <col min="15884" max="15884" width="16.375" style="3077" customWidth="1"/>
    <col min="15885" max="15888" width="8.125" style="3077" customWidth="1"/>
    <col min="15889" max="16128" width="9" style="3077"/>
    <col min="16129" max="16129" width="6.375" style="3077" customWidth="1"/>
    <col min="16130" max="16130" width="19.375" style="3077" customWidth="1"/>
    <col min="16131" max="16131" width="7" style="3077" customWidth="1"/>
    <col min="16132" max="16132" width="3.25" style="3077" customWidth="1"/>
    <col min="16133" max="16133" width="7.375" style="3077" customWidth="1"/>
    <col min="16134" max="16134" width="3.5" style="3077" customWidth="1"/>
    <col min="16135" max="16135" width="19.375" style="3077" customWidth="1"/>
    <col min="16136" max="16136" width="19.5" style="3077" customWidth="1"/>
    <col min="16137" max="16137" width="8.625" style="3077" customWidth="1"/>
    <col min="16138" max="16138" width="10.5" style="3077" customWidth="1"/>
    <col min="16139" max="16139" width="4.875" style="3077" customWidth="1"/>
    <col min="16140" max="16140" width="16.375" style="3077" customWidth="1"/>
    <col min="16141" max="16144" width="8.125" style="3077" customWidth="1"/>
    <col min="16145" max="16384" width="9" style="3077"/>
  </cols>
  <sheetData>
    <row r="1" spans="1:16">
      <c r="A1" s="3595" t="s">
        <v>3107</v>
      </c>
      <c r="B1" s="3595"/>
      <c r="C1" s="3595"/>
      <c r="D1" s="3595"/>
      <c r="E1" s="3595"/>
      <c r="F1" s="3595"/>
      <c r="G1" s="3595"/>
      <c r="H1" s="3595"/>
      <c r="I1" s="3595"/>
      <c r="K1" s="3596" t="s">
        <v>3108</v>
      </c>
      <c r="L1" s="3074" t="s">
        <v>3109</v>
      </c>
      <c r="M1" s="3075">
        <v>0</v>
      </c>
      <c r="N1" s="3076"/>
      <c r="O1" s="3076"/>
    </row>
    <row r="2" spans="1:16" ht="15.75" customHeight="1">
      <c r="A2" s="3078" t="s">
        <v>608</v>
      </c>
      <c r="B2" s="3079" t="s">
        <v>3110</v>
      </c>
      <c r="C2" s="3597" t="s">
        <v>3111</v>
      </c>
      <c r="D2" s="3598"/>
      <c r="E2" s="3598"/>
      <c r="F2" s="3599"/>
      <c r="G2" s="3080" t="s">
        <v>3112</v>
      </c>
      <c r="H2" s="3600" t="s">
        <v>1048</v>
      </c>
      <c r="I2" s="3600"/>
      <c r="K2" s="3596"/>
      <c r="L2" s="3074" t="s">
        <v>3113</v>
      </c>
      <c r="M2" s="3081" t="s">
        <v>3114</v>
      </c>
      <c r="N2" s="3082">
        <v>2011</v>
      </c>
      <c r="O2" s="3082"/>
    </row>
    <row r="3" spans="1:16">
      <c r="A3" s="3080" t="s">
        <v>3115</v>
      </c>
      <c r="B3" s="3083" t="s">
        <v>3116</v>
      </c>
      <c r="C3" s="3597">
        <f ca="1">结果表!G20*结果一览表!I3</f>
        <v>1795588110.6000001</v>
      </c>
      <c r="D3" s="3598"/>
      <c r="E3" s="3598"/>
      <c r="F3" s="3599"/>
      <c r="G3" s="3080" t="s">
        <v>3117</v>
      </c>
      <c r="H3" s="3083" t="s">
        <v>3118</v>
      </c>
      <c r="I3" s="3084">
        <f>'数据-汇总表'!E3</f>
        <v>47689.05</v>
      </c>
      <c r="K3" s="3596"/>
      <c r="L3" s="3074" t="s">
        <v>3119</v>
      </c>
      <c r="M3" s="3081" t="s">
        <v>3120</v>
      </c>
      <c r="N3" s="3082"/>
      <c r="O3" s="3082"/>
    </row>
    <row r="4" spans="1:16">
      <c r="A4" s="3600" t="s">
        <v>3121</v>
      </c>
      <c r="B4" s="3601" t="s">
        <v>3122</v>
      </c>
      <c r="C4" s="3602">
        <f ca="1">ROUND(C3*(I4-I6)/(1-((1+I6)/(1+I4))^I5),0)</f>
        <v>122856377</v>
      </c>
      <c r="D4" s="3603"/>
      <c r="E4" s="3603"/>
      <c r="F4" s="3604"/>
      <c r="G4" s="3600" t="s">
        <v>3123</v>
      </c>
      <c r="H4" s="3085" t="s">
        <v>3124</v>
      </c>
      <c r="I4" s="3086">
        <f>'数据-取费表'!J6</f>
        <v>7.4999999999999997E-2</v>
      </c>
      <c r="K4" s="3596"/>
      <c r="L4" s="3074" t="s">
        <v>1049</v>
      </c>
      <c r="M4" s="3087">
        <f>ROUND(1-(1-M1)*M2/M3,2)</f>
        <v>0.83</v>
      </c>
      <c r="N4" s="3082"/>
      <c r="O4" s="3082"/>
    </row>
    <row r="5" spans="1:16" s="3091" customFormat="1" ht="18" customHeight="1">
      <c r="A5" s="3600"/>
      <c r="B5" s="3601"/>
      <c r="C5" s="3605"/>
      <c r="D5" s="3606"/>
      <c r="E5" s="3606"/>
      <c r="F5" s="3607"/>
      <c r="G5" s="3600"/>
      <c r="H5" s="3083" t="s">
        <v>3125</v>
      </c>
      <c r="I5" s="3088">
        <f>'数据-取费表'!F6</f>
        <v>25.07</v>
      </c>
      <c r="J5" s="3089"/>
      <c r="K5" s="3596"/>
      <c r="L5" s="3074" t="s">
        <v>3126</v>
      </c>
      <c r="M5" s="3090">
        <v>0.5</v>
      </c>
      <c r="N5" s="3082"/>
      <c r="O5" s="3082"/>
    </row>
    <row r="6" spans="1:16" s="3091" customFormat="1" ht="18" customHeight="1">
      <c r="A6" s="3600"/>
      <c r="B6" s="3601"/>
      <c r="C6" s="3608"/>
      <c r="D6" s="3609"/>
      <c r="E6" s="3609"/>
      <c r="F6" s="3610"/>
      <c r="G6" s="3600"/>
      <c r="H6" s="3083" t="s">
        <v>3127</v>
      </c>
      <c r="I6" s="3086">
        <f>'数据-取费表'!V6</f>
        <v>0.03</v>
      </c>
      <c r="J6" s="3092"/>
      <c r="K6" s="3611" t="s">
        <v>3128</v>
      </c>
      <c r="L6" s="3093" t="s">
        <v>3129</v>
      </c>
      <c r="M6" s="3094" t="s">
        <v>3130</v>
      </c>
      <c r="N6" s="3094" t="s">
        <v>3131</v>
      </c>
      <c r="O6" s="3094" t="s">
        <v>3132</v>
      </c>
      <c r="P6" s="3094" t="s">
        <v>3133</v>
      </c>
    </row>
    <row r="7" spans="1:16" s="3091" customFormat="1" ht="18" customHeight="1">
      <c r="A7" s="3080" t="s">
        <v>3134</v>
      </c>
      <c r="B7" s="3083" t="s">
        <v>3135</v>
      </c>
      <c r="C7" s="3597">
        <f ca="1">ROUND(C23*I7,0)</f>
        <v>231629915</v>
      </c>
      <c r="D7" s="3598"/>
      <c r="E7" s="3598"/>
      <c r="F7" s="3599"/>
      <c r="G7" s="3080" t="s">
        <v>3136</v>
      </c>
      <c r="H7" s="3083" t="s">
        <v>3137</v>
      </c>
      <c r="I7" s="3095">
        <f>'数据-取费表'!N6</f>
        <v>0.8</v>
      </c>
      <c r="K7" s="3611"/>
      <c r="L7" s="3093" t="s">
        <v>3138</v>
      </c>
      <c r="M7" s="3094">
        <v>100</v>
      </c>
      <c r="N7" s="3094" t="s">
        <v>3139</v>
      </c>
      <c r="O7" s="3094">
        <v>90</v>
      </c>
      <c r="P7" s="3096">
        <v>0.3</v>
      </c>
    </row>
    <row r="8" spans="1:16" s="3091" customFormat="1" ht="18" customHeight="1">
      <c r="A8" s="3078" t="s">
        <v>3140</v>
      </c>
      <c r="B8" s="3083" t="s">
        <v>3141</v>
      </c>
      <c r="C8" s="3597">
        <f>ROUND(I8*I3,0)</f>
        <v>190756200</v>
      </c>
      <c r="D8" s="3598"/>
      <c r="E8" s="3598"/>
      <c r="F8" s="3599"/>
      <c r="G8" s="3080" t="s">
        <v>3142</v>
      </c>
      <c r="H8" s="3083" t="s">
        <v>3143</v>
      </c>
      <c r="I8" s="3080">
        <f>'数据-取费表'!L6</f>
        <v>4000</v>
      </c>
      <c r="J8" s="3097">
        <f>D35</f>
        <v>11.7</v>
      </c>
      <c r="K8" s="3611"/>
      <c r="L8" s="3093" t="s">
        <v>3144</v>
      </c>
      <c r="M8" s="3094">
        <v>100</v>
      </c>
      <c r="N8" s="3094" t="s">
        <v>3139</v>
      </c>
      <c r="O8" s="3094">
        <v>90</v>
      </c>
      <c r="P8" s="3096">
        <v>0.5</v>
      </c>
    </row>
    <row r="9" spans="1:16" s="3091" customFormat="1" ht="18" customHeight="1">
      <c r="A9" s="3078" t="s">
        <v>3145</v>
      </c>
      <c r="B9" s="3083" t="s">
        <v>3146</v>
      </c>
      <c r="C9" s="3597">
        <f>ROUND(C8*H9,0)</f>
        <v>5722686</v>
      </c>
      <c r="D9" s="3598"/>
      <c r="E9" s="3598"/>
      <c r="F9" s="3599"/>
      <c r="G9" s="3080" t="s">
        <v>3147</v>
      </c>
      <c r="H9" s="3612">
        <f>'数据-取费表'!B33</f>
        <v>0.03</v>
      </c>
      <c r="I9" s="3612"/>
      <c r="J9" s="3097">
        <f ca="1">D36</f>
        <v>10.82</v>
      </c>
      <c r="K9" s="3611"/>
      <c r="L9" s="3093" t="s">
        <v>3148</v>
      </c>
      <c r="M9" s="3094">
        <v>100</v>
      </c>
      <c r="N9" s="3094" t="s">
        <v>3139</v>
      </c>
      <c r="O9" s="3094">
        <v>90</v>
      </c>
      <c r="P9" s="3096">
        <f>1-P7-P8</f>
        <v>0.19999999999999996</v>
      </c>
    </row>
    <row r="10" spans="1:16" s="3091" customFormat="1" ht="18" customHeight="1">
      <c r="A10" s="3078" t="s">
        <v>3149</v>
      </c>
      <c r="B10" s="3083" t="s">
        <v>3150</v>
      </c>
      <c r="C10" s="3597">
        <f>ROUND(C8*H10,0)</f>
        <v>0</v>
      </c>
      <c r="D10" s="3598"/>
      <c r="E10" s="3598"/>
      <c r="F10" s="3599"/>
      <c r="G10" s="3080" t="s">
        <v>3147</v>
      </c>
      <c r="H10" s="3612">
        <f>'数据-取费表'!B34</f>
        <v>0</v>
      </c>
      <c r="I10" s="3612"/>
      <c r="J10" s="3097">
        <f ca="1">D37</f>
        <v>11.26</v>
      </c>
      <c r="K10" s="3611"/>
      <c r="L10" s="3098" t="s">
        <v>3126</v>
      </c>
      <c r="M10" s="3099">
        <f>1-M5</f>
        <v>0.5</v>
      </c>
      <c r="N10" s="3094" t="s">
        <v>1049</v>
      </c>
      <c r="O10" s="3100">
        <f>ROUND((O7*P7+O8*P8+O9*P9)/100,2)</f>
        <v>0.9</v>
      </c>
      <c r="P10" s="3101"/>
    </row>
    <row r="11" spans="1:16" s="3091" customFormat="1" ht="29.25" customHeight="1">
      <c r="A11" s="3078" t="s">
        <v>3151</v>
      </c>
      <c r="B11" s="3083" t="s">
        <v>3152</v>
      </c>
      <c r="C11" s="3597">
        <f>ROUND(I11*I3,0)</f>
        <v>9537810</v>
      </c>
      <c r="D11" s="3598"/>
      <c r="E11" s="3598"/>
      <c r="F11" s="3599"/>
      <c r="G11" s="3080" t="s">
        <v>3153</v>
      </c>
      <c r="H11" s="3083" t="s">
        <v>3154</v>
      </c>
      <c r="I11" s="3080">
        <f>'数据-取费表'!B35</f>
        <v>200</v>
      </c>
      <c r="J11" s="3089"/>
      <c r="K11" s="3073"/>
      <c r="L11" s="3073"/>
    </row>
    <row r="12" spans="1:16" s="3091" customFormat="1" ht="18" customHeight="1">
      <c r="A12" s="3078" t="s">
        <v>3155</v>
      </c>
      <c r="B12" s="3083" t="s">
        <v>3156</v>
      </c>
      <c r="C12" s="3597">
        <f>ROUND(C8*H12,0)</f>
        <v>2861343</v>
      </c>
      <c r="D12" s="3598"/>
      <c r="E12" s="3598"/>
      <c r="F12" s="3599"/>
      <c r="G12" s="3080" t="s">
        <v>3147</v>
      </c>
      <c r="H12" s="3612">
        <f>'数据-取费表'!B36</f>
        <v>1.4999999999999999E-2</v>
      </c>
      <c r="I12" s="3612"/>
      <c r="J12" s="3102" t="s">
        <v>3157</v>
      </c>
      <c r="L12" s="3103"/>
    </row>
    <row r="13" spans="1:16" s="3091" customFormat="1" ht="18" customHeight="1">
      <c r="A13" s="3078" t="s">
        <v>1103</v>
      </c>
      <c r="B13" s="3083" t="s">
        <v>3158</v>
      </c>
      <c r="C13" s="3597">
        <f>SUM(C8:F12)</f>
        <v>208878039</v>
      </c>
      <c r="D13" s="3598"/>
      <c r="E13" s="3598"/>
      <c r="F13" s="3599"/>
      <c r="G13" s="3600" t="s">
        <v>3159</v>
      </c>
      <c r="H13" s="3600"/>
      <c r="I13" s="3600"/>
      <c r="J13" s="3102" t="s">
        <v>3498</v>
      </c>
      <c r="L13" s="3103"/>
    </row>
    <row r="14" spans="1:16" s="3091" customFormat="1" ht="18" customHeight="1">
      <c r="A14" s="3078" t="s">
        <v>3069</v>
      </c>
      <c r="B14" s="3083" t="s">
        <v>3160</v>
      </c>
      <c r="C14" s="3597">
        <f>ROUND(C13*H14,0)</f>
        <v>4177561</v>
      </c>
      <c r="D14" s="3598"/>
      <c r="E14" s="3598"/>
      <c r="F14" s="3599"/>
      <c r="G14" s="3080" t="s">
        <v>3161</v>
      </c>
      <c r="H14" s="3612">
        <f>'数据-取费表'!B37</f>
        <v>0.02</v>
      </c>
      <c r="I14" s="3612"/>
      <c r="J14" s="3089"/>
      <c r="L14" s="3103"/>
    </row>
    <row r="15" spans="1:16" s="3091" customFormat="1" ht="18" customHeight="1">
      <c r="A15" s="3078" t="s">
        <v>998</v>
      </c>
      <c r="B15" s="3083" t="s">
        <v>3162</v>
      </c>
      <c r="C15" s="3617">
        <f>H15</f>
        <v>0.02</v>
      </c>
      <c r="D15" s="3618"/>
      <c r="E15" s="3615" t="str">
        <f>E18</f>
        <v>V</v>
      </c>
      <c r="F15" s="3616"/>
      <c r="G15" s="3080" t="s">
        <v>3163</v>
      </c>
      <c r="H15" s="3612">
        <f>'数据-取费表'!B38</f>
        <v>0.02</v>
      </c>
      <c r="I15" s="3612"/>
      <c r="J15" s="3104"/>
      <c r="K15" s="3105"/>
    </row>
    <row r="16" spans="1:16" s="3091" customFormat="1" ht="18" customHeight="1">
      <c r="A16" s="3106" t="s">
        <v>999</v>
      </c>
      <c r="B16" s="3107" t="s">
        <v>3164</v>
      </c>
      <c r="C16" s="3108">
        <f ca="1">C17</f>
        <v>11185419</v>
      </c>
      <c r="D16" s="3109" t="s">
        <v>3165</v>
      </c>
      <c r="E16" s="3110">
        <f ca="1">C18</f>
        <v>1.0499999999999999E-3</v>
      </c>
      <c r="F16" s="3111" t="str">
        <f>E18</f>
        <v>V</v>
      </c>
      <c r="G16" s="3597" t="s">
        <v>3166</v>
      </c>
      <c r="H16" s="3598"/>
      <c r="I16" s="3599"/>
      <c r="J16" s="3089"/>
      <c r="K16" s="3073"/>
    </row>
    <row r="17" spans="1:12" s="3091" customFormat="1" ht="18" customHeight="1">
      <c r="A17" s="3078" t="s">
        <v>3167</v>
      </c>
      <c r="B17" s="3083" t="s">
        <v>3168</v>
      </c>
      <c r="C17" s="3597">
        <f ca="1">ROUND((C13+C14)*I18*(I17/2),0)</f>
        <v>11185419</v>
      </c>
      <c r="D17" s="3598"/>
      <c r="E17" s="3598"/>
      <c r="F17" s="3599"/>
      <c r="G17" s="3108" t="s">
        <v>3169</v>
      </c>
      <c r="H17" s="3083" t="s">
        <v>3170</v>
      </c>
      <c r="I17" s="3080">
        <f>'数据-取费表'!B20</f>
        <v>2</v>
      </c>
      <c r="J17" s="3102" t="s">
        <v>3171</v>
      </c>
      <c r="K17" s="3073"/>
      <c r="L17" s="3073"/>
    </row>
    <row r="18" spans="1:12" s="3091" customFormat="1" ht="18" customHeight="1">
      <c r="A18" s="3078" t="s">
        <v>3172</v>
      </c>
      <c r="B18" s="3083" t="s">
        <v>3173</v>
      </c>
      <c r="C18" s="3613">
        <f ca="1">H15*I18*I17/2</f>
        <v>1.0499999999999999E-3</v>
      </c>
      <c r="D18" s="3614"/>
      <c r="E18" s="3615" t="s">
        <v>3174</v>
      </c>
      <c r="F18" s="3616"/>
      <c r="G18" s="3108" t="s">
        <v>3175</v>
      </c>
      <c r="H18" s="3083" t="s">
        <v>3176</v>
      </c>
      <c r="I18" s="3112">
        <f ca="1">'数据-取费表'!B40</f>
        <v>5.2499999999999998E-2</v>
      </c>
      <c r="J18" s="3102" t="s">
        <v>3177</v>
      </c>
      <c r="K18" s="3073"/>
      <c r="L18" s="3073"/>
    </row>
    <row r="19" spans="1:12" s="3091" customFormat="1" ht="27" customHeight="1">
      <c r="A19" s="3078" t="s">
        <v>1000</v>
      </c>
      <c r="B19" s="3083" t="s">
        <v>3178</v>
      </c>
      <c r="C19" s="3108">
        <f>C20</f>
        <v>42611120</v>
      </c>
      <c r="D19" s="3109" t="s">
        <v>3165</v>
      </c>
      <c r="E19" s="3109">
        <f>C21</f>
        <v>4.0000000000000001E-3</v>
      </c>
      <c r="F19" s="3111" t="str">
        <f>E21</f>
        <v>V</v>
      </c>
      <c r="G19" s="3597" t="s">
        <v>3179</v>
      </c>
      <c r="H19" s="3598"/>
      <c r="I19" s="3599"/>
      <c r="J19" s="3089"/>
      <c r="K19" s="3073"/>
      <c r="L19" s="3073"/>
    </row>
    <row r="20" spans="1:12" s="3091" customFormat="1" ht="26.25" customHeight="1">
      <c r="A20" s="3078" t="s">
        <v>3180</v>
      </c>
      <c r="B20" s="3083" t="s">
        <v>3181</v>
      </c>
      <c r="C20" s="3597">
        <f>ROUND((C13+C14)*I20,0)</f>
        <v>42611120</v>
      </c>
      <c r="D20" s="3598"/>
      <c r="E20" s="3598"/>
      <c r="F20" s="3599"/>
      <c r="G20" s="3080" t="s">
        <v>3182</v>
      </c>
      <c r="H20" s="3621" t="s">
        <v>3183</v>
      </c>
      <c r="I20" s="3623">
        <f>'数据-取费表'!Q6</f>
        <v>0.2</v>
      </c>
      <c r="J20" s="3102" t="s">
        <v>3184</v>
      </c>
      <c r="K20" s="3073"/>
      <c r="L20" s="3073"/>
    </row>
    <row r="21" spans="1:12" s="3091" customFormat="1" ht="27" customHeight="1">
      <c r="A21" s="3078" t="s">
        <v>3180</v>
      </c>
      <c r="B21" s="3083" t="s">
        <v>3185</v>
      </c>
      <c r="C21" s="3617">
        <f>H15*I20</f>
        <v>4.0000000000000001E-3</v>
      </c>
      <c r="D21" s="3618"/>
      <c r="E21" s="3615" t="s">
        <v>3174</v>
      </c>
      <c r="F21" s="3616"/>
      <c r="G21" s="3080" t="s">
        <v>3186</v>
      </c>
      <c r="H21" s="3622"/>
      <c r="I21" s="3623"/>
      <c r="J21" s="3089"/>
      <c r="K21" s="3073"/>
      <c r="L21" s="3073"/>
    </row>
    <row r="22" spans="1:12" s="3091" customFormat="1" ht="18" customHeight="1">
      <c r="A22" s="3078" t="s">
        <v>1001</v>
      </c>
      <c r="B22" s="3083" t="s">
        <v>3187</v>
      </c>
      <c r="C22" s="3617">
        <f>ROUND(H22/1.05,4)</f>
        <v>5.33E-2</v>
      </c>
      <c r="D22" s="3618"/>
      <c r="E22" s="3615" t="s">
        <v>3174</v>
      </c>
      <c r="F22" s="3616"/>
      <c r="G22" s="3080" t="s">
        <v>3188</v>
      </c>
      <c r="H22" s="3612">
        <v>5.6000000000000001E-2</v>
      </c>
      <c r="I22" s="3612"/>
      <c r="J22" s="3113"/>
      <c r="K22" s="3073"/>
      <c r="L22" s="3073"/>
    </row>
    <row r="23" spans="1:12" s="3091" customFormat="1" ht="18" customHeight="1">
      <c r="A23" s="3078" t="s">
        <v>3080</v>
      </c>
      <c r="B23" s="3083" t="s">
        <v>3189</v>
      </c>
      <c r="C23" s="3597">
        <f ca="1">ROUND((C13+C14+C17+C20)/(1-H15-C18-C21-C22),0)</f>
        <v>289537394</v>
      </c>
      <c r="D23" s="3598"/>
      <c r="E23" s="3598"/>
      <c r="F23" s="3599"/>
      <c r="G23" s="3597" t="s">
        <v>3190</v>
      </c>
      <c r="H23" s="3598"/>
      <c r="I23" s="3599"/>
      <c r="J23" s="3113"/>
      <c r="K23" s="3073"/>
      <c r="L23" s="3073"/>
    </row>
    <row r="24" spans="1:12" s="3091" customFormat="1" ht="18" customHeight="1">
      <c r="A24" s="3078" t="s">
        <v>3191</v>
      </c>
      <c r="B24" s="3083" t="s">
        <v>3192</v>
      </c>
      <c r="C24" s="3114">
        <f ca="1">C26+C27</f>
        <v>6254008</v>
      </c>
      <c r="D24" s="3115" t="s">
        <v>3193</v>
      </c>
      <c r="E24" s="3619">
        <f>H25+H28</f>
        <v>0.1933</v>
      </c>
      <c r="F24" s="3620"/>
      <c r="G24" s="3600" t="s">
        <v>3194</v>
      </c>
      <c r="H24" s="3600"/>
      <c r="I24" s="3600"/>
      <c r="J24" s="3113"/>
      <c r="K24" s="3073"/>
      <c r="L24" s="3073"/>
    </row>
    <row r="25" spans="1:12" s="3091" customFormat="1" ht="18" customHeight="1">
      <c r="A25" s="3078" t="s">
        <v>1103</v>
      </c>
      <c r="B25" s="3083" t="s">
        <v>3195</v>
      </c>
      <c r="C25" s="3617" t="s">
        <v>3196</v>
      </c>
      <c r="D25" s="3618"/>
      <c r="E25" s="3619">
        <f>H25</f>
        <v>0.17330000000000001</v>
      </c>
      <c r="F25" s="3620"/>
      <c r="G25" s="3080" t="s">
        <v>3197</v>
      </c>
      <c r="H25" s="3624">
        <f>ROUND(5.6%/1.05+12%,4)</f>
        <v>0.17330000000000001</v>
      </c>
      <c r="I25" s="3624"/>
      <c r="J25" s="3104"/>
      <c r="K25" s="3073"/>
      <c r="L25" s="3073"/>
    </row>
    <row r="26" spans="1:12" s="3091" customFormat="1" ht="18" customHeight="1">
      <c r="A26" s="3078" t="s">
        <v>3069</v>
      </c>
      <c r="B26" s="3083" t="s">
        <v>1100</v>
      </c>
      <c r="C26" s="3597">
        <f ca="1">ROUND(C23*H26,0)</f>
        <v>5790748</v>
      </c>
      <c r="D26" s="3598"/>
      <c r="E26" s="3598"/>
      <c r="F26" s="3599"/>
      <c r="G26" s="3080" t="s">
        <v>3198</v>
      </c>
      <c r="H26" s="3624">
        <v>0.02</v>
      </c>
      <c r="I26" s="3624"/>
      <c r="J26" s="3104"/>
      <c r="K26" s="3073"/>
      <c r="L26" s="3073"/>
    </row>
    <row r="27" spans="1:12" s="3091" customFormat="1" ht="18" customHeight="1">
      <c r="A27" s="3078" t="s">
        <v>998</v>
      </c>
      <c r="B27" s="3083" t="s">
        <v>3199</v>
      </c>
      <c r="C27" s="3597">
        <f ca="1">ROUND(C7*H27,0)</f>
        <v>463260</v>
      </c>
      <c r="D27" s="3598"/>
      <c r="E27" s="3598"/>
      <c r="F27" s="3599"/>
      <c r="G27" s="3080" t="s">
        <v>3200</v>
      </c>
      <c r="H27" s="3625">
        <v>2E-3</v>
      </c>
      <c r="I27" s="3625"/>
      <c r="J27" s="3089"/>
      <c r="K27" s="3073"/>
      <c r="L27" s="3073"/>
    </row>
    <row r="28" spans="1:12" s="3091" customFormat="1" ht="18" customHeight="1">
      <c r="A28" s="3078" t="s">
        <v>999</v>
      </c>
      <c r="B28" s="3083" t="s">
        <v>3201</v>
      </c>
      <c r="C28" s="3617" t="s">
        <v>3196</v>
      </c>
      <c r="D28" s="3618"/>
      <c r="E28" s="3619">
        <f>H28</f>
        <v>0.02</v>
      </c>
      <c r="F28" s="3620"/>
      <c r="G28" s="3080" t="s">
        <v>3202</v>
      </c>
      <c r="H28" s="3624">
        <v>0.02</v>
      </c>
      <c r="I28" s="3624"/>
      <c r="J28" s="3116"/>
      <c r="K28" s="3073"/>
      <c r="L28" s="3073"/>
    </row>
    <row r="29" spans="1:12" s="3091" customFormat="1" ht="18" customHeight="1">
      <c r="A29" s="3080" t="s">
        <v>3203</v>
      </c>
      <c r="B29" s="3083" t="s">
        <v>3204</v>
      </c>
      <c r="C29" s="3597">
        <f ca="1">ROUND((C4+C24)/(1-E24),0)</f>
        <v>160047583</v>
      </c>
      <c r="D29" s="3598"/>
      <c r="E29" s="3598"/>
      <c r="F29" s="3599"/>
      <c r="G29" s="3600" t="s">
        <v>3205</v>
      </c>
      <c r="H29" s="3600"/>
      <c r="I29" s="3600"/>
      <c r="J29" s="3117" t="s">
        <v>3206</v>
      </c>
      <c r="K29" s="3073"/>
      <c r="L29" s="3073"/>
    </row>
    <row r="30" spans="1:12" s="3091" customFormat="1" ht="21" customHeight="1">
      <c r="A30" s="3600" t="s">
        <v>3207</v>
      </c>
      <c r="B30" s="3601" t="s">
        <v>3208</v>
      </c>
      <c r="C30" s="3626">
        <f ca="1">ROUND(C29/I30/I31/I3,2)</f>
        <v>10.82</v>
      </c>
      <c r="D30" s="3627"/>
      <c r="E30" s="3627"/>
      <c r="F30" s="3628"/>
      <c r="G30" s="3600" t="s">
        <v>3209</v>
      </c>
      <c r="H30" s="3083" t="s">
        <v>3210</v>
      </c>
      <c r="I30" s="3080">
        <v>365</v>
      </c>
      <c r="J30" s="3118"/>
      <c r="K30" s="3073"/>
      <c r="L30" s="3073"/>
    </row>
    <row r="31" spans="1:12" s="3091" customFormat="1" ht="18" customHeight="1">
      <c r="A31" s="3600"/>
      <c r="B31" s="3601"/>
      <c r="C31" s="3629"/>
      <c r="D31" s="3630"/>
      <c r="E31" s="3630"/>
      <c r="F31" s="3631"/>
      <c r="G31" s="3600"/>
      <c r="H31" s="3083" t="s">
        <v>3211</v>
      </c>
      <c r="I31" s="3119">
        <v>0.85</v>
      </c>
      <c r="J31" s="3120"/>
      <c r="K31" s="3073"/>
      <c r="L31" s="3073"/>
    </row>
    <row r="32" spans="1:12" s="3091" customFormat="1" ht="18" customHeight="1">
      <c r="A32" s="3077"/>
      <c r="B32" s="3121"/>
      <c r="C32" s="3077"/>
      <c r="D32" s="3077"/>
      <c r="E32" s="3077"/>
      <c r="F32" s="3077"/>
      <c r="G32" s="3122"/>
      <c r="H32" s="3077"/>
      <c r="I32" s="3077"/>
      <c r="J32" s="3089"/>
      <c r="K32" s="3073"/>
      <c r="L32" s="3073"/>
    </row>
    <row r="33" spans="1:13" s="3091" customFormat="1" ht="18" customHeight="1">
      <c r="A33" s="3077"/>
      <c r="B33" s="3633" t="s">
        <v>3212</v>
      </c>
      <c r="C33" s="3633"/>
      <c r="D33" s="3633"/>
      <c r="E33" s="3633"/>
      <c r="F33" s="3633"/>
      <c r="G33" s="3123"/>
      <c r="H33" s="3124"/>
      <c r="I33" s="3077"/>
      <c r="J33" s="3089"/>
      <c r="K33" s="3073"/>
      <c r="L33" s="3073"/>
      <c r="M33" s="3077"/>
    </row>
    <row r="34" spans="1:13" s="3091" customFormat="1" ht="18" customHeight="1">
      <c r="A34" s="3077"/>
      <c r="B34" s="3125" t="s">
        <v>3213</v>
      </c>
      <c r="C34" s="3125" t="s">
        <v>3133</v>
      </c>
      <c r="D34" s="3634" t="s">
        <v>3214</v>
      </c>
      <c r="E34" s="3634"/>
      <c r="F34" s="3634"/>
      <c r="G34" s="3123"/>
      <c r="H34" s="3124"/>
      <c r="I34" s="3077"/>
      <c r="J34" s="3113"/>
      <c r="K34" s="3077"/>
      <c r="L34" s="3077"/>
      <c r="M34" s="3077"/>
    </row>
    <row r="35" spans="1:13">
      <c r="B35" s="3125" t="s">
        <v>3215</v>
      </c>
      <c r="C35" s="3126">
        <v>0.5</v>
      </c>
      <c r="D35" s="3632">
        <f>'[1]比较法-商业'!C49</f>
        <v>11.7</v>
      </c>
      <c r="E35" s="3632"/>
      <c r="F35" s="3632"/>
      <c r="G35" s="3123">
        <f ca="1">(D35-D36)/D36</f>
        <v>8.1330868761552585E-2</v>
      </c>
      <c r="H35" s="3124"/>
      <c r="K35" s="3077"/>
      <c r="L35" s="3077"/>
    </row>
    <row r="36" spans="1:13" ht="20.100000000000001" customHeight="1">
      <c r="B36" s="3125" t="s">
        <v>3216</v>
      </c>
      <c r="C36" s="3126">
        <f>1-C35</f>
        <v>0.5</v>
      </c>
      <c r="D36" s="3632">
        <f ca="1">C30</f>
        <v>10.82</v>
      </c>
      <c r="E36" s="3632"/>
      <c r="F36" s="3632"/>
      <c r="G36" s="3123"/>
      <c r="H36" s="3124"/>
      <c r="J36" s="3077"/>
      <c r="K36" s="3077"/>
      <c r="L36" s="3077"/>
    </row>
    <row r="37" spans="1:13" ht="22.5" customHeight="1">
      <c r="B37" s="3634" t="s">
        <v>3217</v>
      </c>
      <c r="C37" s="3634"/>
      <c r="D37" s="3632">
        <f ca="1">ROUND(C35*D35+C36*D36,2)</f>
        <v>11.26</v>
      </c>
      <c r="E37" s="3632"/>
      <c r="F37" s="3632"/>
      <c r="G37" s="3123">
        <f ca="1">ROUND(D37*I3/10000,2)</f>
        <v>53.7</v>
      </c>
      <c r="H37" s="3124"/>
      <c r="J37" s="3077"/>
      <c r="K37" s="3077"/>
      <c r="L37" s="3077"/>
    </row>
    <row r="38" spans="1:13" ht="22.5" customHeight="1">
      <c r="B38" s="3125" t="s">
        <v>3218</v>
      </c>
      <c r="C38" s="3125">
        <f ca="1">ROUND(D37*0.9,2)</f>
        <v>10.130000000000001</v>
      </c>
      <c r="D38" s="3127" t="s">
        <v>3219</v>
      </c>
      <c r="E38" s="3632">
        <f ca="1">ROUND(D37*1.1,2)</f>
        <v>12.39</v>
      </c>
      <c r="F38" s="3632"/>
      <c r="G38" s="3123" t="s">
        <v>3220</v>
      </c>
      <c r="H38" s="3128">
        <v>12</v>
      </c>
      <c r="J38" s="3077"/>
      <c r="K38" s="3077"/>
      <c r="L38" s="3077"/>
    </row>
    <row r="39" spans="1:13" ht="18" customHeight="1">
      <c r="B39" s="3125" t="s">
        <v>3221</v>
      </c>
      <c r="C39" s="3125">
        <f ca="1">ROUND(C38+H39,2)</f>
        <v>10.18</v>
      </c>
      <c r="D39" s="3127" t="s">
        <v>3219</v>
      </c>
      <c r="E39" s="3632">
        <f ca="1">ROUND(E38+H39,2)</f>
        <v>12.44</v>
      </c>
      <c r="F39" s="3632"/>
      <c r="G39" s="3129" t="s">
        <v>3222</v>
      </c>
      <c r="H39" s="3129">
        <v>0.05</v>
      </c>
      <c r="J39" s="3077"/>
      <c r="K39" s="3077"/>
      <c r="L39" s="3077"/>
    </row>
    <row r="40" spans="1:13" ht="18" customHeight="1">
      <c r="B40" s="3130"/>
      <c r="C40" s="3131"/>
      <c r="D40" s="3124"/>
      <c r="E40" s="3124"/>
      <c r="F40" s="3124"/>
      <c r="G40" s="3123"/>
      <c r="H40" s="3124"/>
      <c r="J40" s="3077"/>
    </row>
    <row r="41" spans="1:13" ht="18" customHeight="1">
      <c r="B41" s="3123" t="s">
        <v>3223</v>
      </c>
      <c r="C41" s="3124"/>
      <c r="D41" s="3124"/>
      <c r="E41" s="3123" t="s">
        <v>3224</v>
      </c>
      <c r="F41" s="3124"/>
      <c r="G41" s="3123"/>
      <c r="H41" s="3123" t="s">
        <v>3225</v>
      </c>
      <c r="J41" s="3077"/>
    </row>
    <row r="42" spans="1:13" ht="29.25" customHeight="1"/>
    <row r="45" spans="1:13">
      <c r="H45" s="3132"/>
    </row>
  </sheetData>
  <mergeCells count="67">
    <mergeCell ref="H28:I28"/>
    <mergeCell ref="C29:F29"/>
    <mergeCell ref="G29:I29"/>
    <mergeCell ref="E38:F38"/>
    <mergeCell ref="E39:F39"/>
    <mergeCell ref="B33:F33"/>
    <mergeCell ref="D34:F34"/>
    <mergeCell ref="D35:F35"/>
    <mergeCell ref="D36:F36"/>
    <mergeCell ref="B37:C37"/>
    <mergeCell ref="D37:F37"/>
    <mergeCell ref="A30:A31"/>
    <mergeCell ref="B30:B31"/>
    <mergeCell ref="C30:F31"/>
    <mergeCell ref="G30:G31"/>
    <mergeCell ref="C25:D25"/>
    <mergeCell ref="E25:F25"/>
    <mergeCell ref="C28:D28"/>
    <mergeCell ref="E28:F28"/>
    <mergeCell ref="H25:I25"/>
    <mergeCell ref="C26:F26"/>
    <mergeCell ref="H26:I26"/>
    <mergeCell ref="C27:F27"/>
    <mergeCell ref="H27:I27"/>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41"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zoomScale="90" zoomScaleNormal="100" zoomScaleSheetLayoutView="90" zoomScalePageLayoutView="80" workbookViewId="0">
      <selection activeCell="D94" sqref="D94"/>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1948</v>
      </c>
      <c r="B1" s="1933"/>
      <c r="C1" s="1934"/>
      <c r="D1" s="1933"/>
      <c r="E1" s="1933"/>
      <c r="F1" s="1935" t="s">
        <v>1949</v>
      </c>
      <c r="G1" s="1746"/>
      <c r="H1" s="1936" t="str">
        <f>IF(G1="现房","——","估价对象范围")</f>
        <v>估价对象范围</v>
      </c>
      <c r="I1" s="1937"/>
    </row>
    <row r="2" spans="1:12" ht="21.75" customHeight="1" thickBot="1">
      <c r="A2" s="3705" t="str">
        <f>项目基本情况!S2</f>
        <v>北京市房地产</v>
      </c>
      <c r="B2" s="3706"/>
      <c r="C2" s="3706"/>
      <c r="D2" s="3706"/>
      <c r="E2" s="3706"/>
      <c r="F2" s="3706"/>
      <c r="G2" s="3706"/>
      <c r="H2" s="3706"/>
      <c r="I2" s="3707"/>
    </row>
    <row r="3" spans="1:12" ht="12.75">
      <c r="A3" s="3709" t="s">
        <v>1950</v>
      </c>
      <c r="B3" s="3710"/>
      <c r="C3" s="3710"/>
      <c r="D3" s="3710"/>
      <c r="E3" s="3710"/>
      <c r="F3" s="3710"/>
      <c r="G3" s="3710"/>
      <c r="H3" s="3710"/>
      <c r="I3" s="3710"/>
    </row>
    <row r="4" spans="1:12" ht="14.25">
      <c r="A4" s="1940" t="s">
        <v>1951</v>
      </c>
      <c r="B4" s="1941" t="s">
        <v>1952</v>
      </c>
      <c r="C4" s="1942" t="s">
        <v>3226</v>
      </c>
      <c r="D4" s="1942" t="s">
        <v>3226</v>
      </c>
      <c r="E4" s="3714" t="s">
        <v>1953</v>
      </c>
      <c r="F4" s="3715"/>
      <c r="G4" s="3715"/>
      <c r="H4" s="3715"/>
      <c r="I4" s="3716"/>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成本法</v>
      </c>
    </row>
    <row r="5" spans="1:12" ht="12.75">
      <c r="A5" s="3650" t="s">
        <v>1954</v>
      </c>
      <c r="B5" s="3708">
        <v>25</v>
      </c>
      <c r="C5" s="3711"/>
      <c r="D5" s="3699"/>
      <c r="E5" s="136" t="s">
        <v>1955</v>
      </c>
      <c r="F5" s="1943"/>
      <c r="G5" s="1943"/>
      <c r="H5" s="1943"/>
      <c r="I5" s="1557"/>
    </row>
    <row r="6" spans="1:12" ht="12.75">
      <c r="A6" s="3650"/>
      <c r="B6" s="3708"/>
      <c r="C6" s="3713"/>
      <c r="D6" s="3699"/>
      <c r="E6" s="136" t="s">
        <v>1956</v>
      </c>
      <c r="F6" s="1943"/>
      <c r="G6" s="1943"/>
      <c r="H6" s="1943"/>
      <c r="I6" s="1557"/>
    </row>
    <row r="7" spans="1:12" ht="12.75">
      <c r="A7" s="3650"/>
      <c r="B7" s="3708"/>
      <c r="C7" s="3712"/>
      <c r="D7" s="3699"/>
      <c r="E7" s="136" t="s">
        <v>1957</v>
      </c>
      <c r="F7" s="1943"/>
      <c r="G7" s="1943"/>
      <c r="H7" s="1943"/>
      <c r="I7" s="1557"/>
    </row>
    <row r="8" spans="1:12" ht="12.75">
      <c r="A8" s="3650" t="s">
        <v>1958</v>
      </c>
      <c r="B8" s="3708">
        <v>15</v>
      </c>
      <c r="C8" s="3711"/>
      <c r="D8" s="3699"/>
      <c r="E8" s="136" t="s">
        <v>1959</v>
      </c>
      <c r="F8" s="1943"/>
      <c r="G8" s="1943"/>
      <c r="H8" s="1943"/>
      <c r="I8" s="1557"/>
    </row>
    <row r="9" spans="1:12" ht="12.75">
      <c r="A9" s="3650"/>
      <c r="B9" s="3708"/>
      <c r="C9" s="3712"/>
      <c r="D9" s="3699"/>
      <c r="E9" s="136" t="s">
        <v>1960</v>
      </c>
      <c r="F9" s="1943"/>
      <c r="G9" s="1943"/>
      <c r="H9" s="1943"/>
      <c r="I9" s="1557"/>
    </row>
    <row r="10" spans="1:12" ht="12.75">
      <c r="A10" s="3650" t="s">
        <v>1961</v>
      </c>
      <c r="B10" s="3708">
        <v>15</v>
      </c>
      <c r="C10" s="3711"/>
      <c r="D10" s="3699"/>
      <c r="E10" s="136" t="s">
        <v>1962</v>
      </c>
      <c r="F10" s="1943"/>
      <c r="G10" s="1943"/>
      <c r="H10" s="1943"/>
      <c r="I10" s="1557"/>
    </row>
    <row r="11" spans="1:12" ht="12.75">
      <c r="A11" s="3650"/>
      <c r="B11" s="3708"/>
      <c r="C11" s="3712"/>
      <c r="D11" s="3699"/>
      <c r="E11" s="136" t="s">
        <v>1963</v>
      </c>
      <c r="F11" s="1943"/>
      <c r="G11" s="1943"/>
      <c r="H11" s="1943"/>
      <c r="I11" s="1557"/>
    </row>
    <row r="12" spans="1:12" ht="12.75">
      <c r="A12" s="3650" t="s">
        <v>1964</v>
      </c>
      <c r="B12" s="3708">
        <v>15</v>
      </c>
      <c r="C12" s="3711"/>
      <c r="D12" s="3699"/>
      <c r="E12" s="136" t="s">
        <v>1965</v>
      </c>
      <c r="F12" s="1943"/>
      <c r="G12" s="1943"/>
      <c r="H12" s="1943"/>
      <c r="I12" s="1557"/>
    </row>
    <row r="13" spans="1:12" ht="12.75">
      <c r="A13" s="3650"/>
      <c r="B13" s="3708"/>
      <c r="C13" s="3712"/>
      <c r="D13" s="3699"/>
      <c r="E13" s="136" t="s">
        <v>1966</v>
      </c>
      <c r="F13" s="1943"/>
      <c r="G13" s="1943"/>
      <c r="H13" s="1943"/>
      <c r="I13" s="1557"/>
    </row>
    <row r="14" spans="1:12" ht="12.75">
      <c r="A14" s="3650" t="s">
        <v>1967</v>
      </c>
      <c r="B14" s="3708">
        <v>30</v>
      </c>
      <c r="C14" s="3711">
        <v>1</v>
      </c>
      <c r="D14" s="3699">
        <v>1</v>
      </c>
      <c r="E14" s="136" t="s">
        <v>1968</v>
      </c>
      <c r="F14" s="1943"/>
      <c r="G14" s="1943"/>
      <c r="H14" s="1943"/>
      <c r="I14" s="1557"/>
    </row>
    <row r="15" spans="1:12" ht="12.75">
      <c r="A15" s="3650"/>
      <c r="B15" s="3708"/>
      <c r="C15" s="3713"/>
      <c r="D15" s="3699"/>
      <c r="E15" s="136" t="s">
        <v>1969</v>
      </c>
      <c r="F15" s="1943"/>
      <c r="G15" s="1943"/>
      <c r="H15" s="1943"/>
      <c r="I15" s="1557"/>
    </row>
    <row r="16" spans="1:12" ht="12.75">
      <c r="A16" s="3650"/>
      <c r="B16" s="3708"/>
      <c r="C16" s="3712"/>
      <c r="D16" s="3699"/>
      <c r="E16" s="136" t="s">
        <v>1970</v>
      </c>
      <c r="F16" s="1943"/>
      <c r="G16" s="1943"/>
      <c r="H16" s="1943"/>
      <c r="I16" s="1557"/>
    </row>
    <row r="17" spans="1:36" ht="15">
      <c r="A17" s="1944" t="s">
        <v>1971</v>
      </c>
      <c r="B17" s="60"/>
      <c r="C17" s="137">
        <f>SUM(C5:C16)</f>
        <v>1</v>
      </c>
      <c r="D17" s="137">
        <f>SUM(D5:D16)</f>
        <v>1</v>
      </c>
      <c r="E17" s="134"/>
      <c r="F17" s="134"/>
      <c r="G17" s="134"/>
      <c r="H17" s="134"/>
      <c r="I17" s="134"/>
      <c r="K17" s="308"/>
      <c r="L17" s="308" t="s">
        <v>1972</v>
      </c>
      <c r="M17" s="308" t="s">
        <v>1973</v>
      </c>
    </row>
    <row r="18" spans="1:36" ht="31.9" customHeight="1" thickBot="1">
      <c r="A18" s="1945" t="s">
        <v>1974</v>
      </c>
      <c r="B18" s="1946"/>
      <c r="C18" s="138">
        <f>ROUND(C17/SUM(C17:D17),2)</f>
        <v>0.5</v>
      </c>
      <c r="D18" s="138">
        <f>1-C18</f>
        <v>0.5</v>
      </c>
      <c r="E18" s="3730" t="s">
        <v>2870</v>
      </c>
      <c r="F18" s="3731"/>
      <c r="G18" s="3731"/>
      <c r="H18" s="3731"/>
      <c r="I18" s="3731"/>
      <c r="K18" s="308" t="s">
        <v>1975</v>
      </c>
      <c r="L18" s="308">
        <f>IF(C1="",'数据-汇总表'!E3,SUMIF(项目类型,C1,'数据-汇总表'!E17:E26)+SUMIF(项目类型,C1,'数据-汇总表'!I17:I26))</f>
        <v>47689.05</v>
      </c>
      <c r="M18" s="308">
        <f>IF(C1="",'数据-汇总表'!E3,SUMIF(项目类型,C1,'数据-汇总表'!E17:E26))</f>
        <v>47689.05</v>
      </c>
    </row>
    <row r="19" spans="1:36" ht="15">
      <c r="A19" s="1947" t="s">
        <v>1976</v>
      </c>
      <c r="B19" s="1948" t="s">
        <v>1977</v>
      </c>
      <c r="C19" s="139">
        <f ca="1">SUMIF(INDIRECT("'"&amp;C4&amp;"'"&amp;"!A:A"),结果表!B19,INDIRECT("'"&amp;C4&amp;"'"&amp;"!B:B"))</f>
        <v>179557</v>
      </c>
      <c r="D19" s="140">
        <f ca="1">SUMIF(INDIRECT("'"&amp;D4&amp;"'"&amp;"!A:A"),结果表!B19,INDIRECT("'"&amp;D4&amp;"'"&amp;"!B:B"))</f>
        <v>179557</v>
      </c>
      <c r="E19" s="1947" t="s">
        <v>1978</v>
      </c>
      <c r="F19" s="1948" t="s">
        <v>1977</v>
      </c>
      <c r="G19" s="141">
        <f ca="1">ROUND(C19*$C$18+D19*$D$18,0)</f>
        <v>179557</v>
      </c>
      <c r="H19" s="1949" t="s">
        <v>1979</v>
      </c>
      <c r="I19" s="134"/>
      <c r="K19" s="308" t="s">
        <v>1980</v>
      </c>
      <c r="L19" s="308">
        <f>IF(C1="",'数据-汇总表'!D3,SUMIF(项目类型,C1,'数据-汇总表'!D17:D26)+SUMIF(项目类型,C1,'数据-汇总表'!H17:H27))</f>
        <v>5933.24</v>
      </c>
      <c r="M19" s="308">
        <f>IF(C1="",'数据-汇总表'!D3,SUMIF(项目类型,C1,'数据-汇总表'!D17:D26))</f>
        <v>5933.24</v>
      </c>
    </row>
    <row r="20" spans="1:36" ht="15">
      <c r="A20" s="1950"/>
      <c r="B20" s="1157" t="s">
        <v>1981</v>
      </c>
      <c r="C20" s="142">
        <f ca="1">SUMIF(INDIRECT("'"&amp;C4&amp;"'"&amp;"!A:A"),结果表!B20,INDIRECT("'"&amp;C4&amp;"'"&amp;"!B:B"))</f>
        <v>37652</v>
      </c>
      <c r="D20" s="143">
        <f ca="1">SUMIF(INDIRECT("'"&amp;D4&amp;"'"&amp;"!A:A"),结果表!B20,INDIRECT("'"&amp;D4&amp;"'"&amp;"!B:B"))</f>
        <v>37652</v>
      </c>
      <c r="E20" s="1950"/>
      <c r="F20" s="1157" t="s">
        <v>1981</v>
      </c>
      <c r="G20" s="144">
        <f ca="1">ROUND(C20*$C$18+D20*$D$18,0)</f>
        <v>37652</v>
      </c>
      <c r="H20" s="917" t="s">
        <v>1982</v>
      </c>
      <c r="I20" s="134"/>
    </row>
    <row r="21" spans="1:36" ht="15" customHeight="1" thickBot="1">
      <c r="A21" s="937"/>
      <c r="B21" s="1951" t="s">
        <v>1983</v>
      </c>
      <c r="C21" s="728">
        <f ca="1">ROUND(C19*10000/L19,0)</f>
        <v>302629</v>
      </c>
      <c r="D21" s="729">
        <f ca="1">ROUND(D19*10000/L19,0)</f>
        <v>302629</v>
      </c>
      <c r="E21" s="937"/>
      <c r="F21" s="1951" t="s">
        <v>1983</v>
      </c>
      <c r="G21" s="145">
        <f ca="1">ROUND(G19*10000/L19,0)</f>
        <v>302629</v>
      </c>
      <c r="H21" s="1952" t="s">
        <v>1982</v>
      </c>
      <c r="I21" s="134"/>
    </row>
    <row r="22" spans="1:36" ht="15" thickBot="1">
      <c r="A22" s="1874" t="s">
        <v>1984</v>
      </c>
      <c r="B22" s="1953"/>
      <c r="C22" s="1954"/>
      <c r="D22" s="730">
        <f ca="1">IF(C19&lt;D19,D19/C19-1,C19/D19-1)</f>
        <v>0</v>
      </c>
      <c r="E22" s="134"/>
      <c r="F22" s="134"/>
      <c r="G22" s="134"/>
      <c r="H22" s="134"/>
      <c r="I22" s="134"/>
    </row>
    <row r="23" spans="1:36" ht="13.5" thickBot="1">
      <c r="A23" s="1933"/>
      <c r="B23" s="1933"/>
      <c r="C23" s="1933"/>
      <c r="D23" s="1933"/>
      <c r="E23" s="134"/>
      <c r="F23" s="134"/>
      <c r="G23" s="134"/>
      <c r="H23" s="134"/>
      <c r="I23" s="134"/>
    </row>
    <row r="24" spans="1:36" ht="14.25">
      <c r="A24" s="3723" t="s">
        <v>1985</v>
      </c>
      <c r="B24" s="1948" t="s">
        <v>1977</v>
      </c>
      <c r="C24" s="141">
        <f>IF(B30=0,0,D30)</f>
        <v>0</v>
      </c>
      <c r="D24" s="1955"/>
      <c r="E24" s="134"/>
      <c r="F24" s="134"/>
      <c r="G24" s="134"/>
      <c r="H24" s="134"/>
      <c r="I24" s="134"/>
    </row>
    <row r="25" spans="1:36" ht="14.25">
      <c r="A25" s="3724"/>
      <c r="B25" s="1157" t="s">
        <v>1981</v>
      </c>
      <c r="C25" s="146">
        <f>IF(B30=0,0,C30)</f>
        <v>0</v>
      </c>
      <c r="D25" s="1956"/>
      <c r="E25" s="134"/>
      <c r="F25" s="134"/>
      <c r="G25" s="134"/>
      <c r="H25" s="134"/>
      <c r="I25" s="134"/>
    </row>
    <row r="26" spans="1:36" ht="13.5" customHeight="1">
      <c r="A26" s="1957" t="s">
        <v>1986</v>
      </c>
      <c r="B26" s="147" t="s">
        <v>1987</v>
      </c>
      <c r="C26" s="147" t="s">
        <v>1988</v>
      </c>
      <c r="D26" s="148" t="s">
        <v>1989</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1990</v>
      </c>
      <c r="B30" s="147"/>
      <c r="C30" s="147"/>
      <c r="D30" s="147"/>
      <c r="E30" s="2521" t="s">
        <v>2871</v>
      </c>
      <c r="F30" s="134"/>
      <c r="G30" s="134"/>
      <c r="H30" s="134"/>
      <c r="I30" s="134"/>
    </row>
    <row r="31" spans="1:36" s="2527" customFormat="1" ht="26.45" customHeight="1" thickTop="1" thickBot="1">
      <c r="A31" s="2522"/>
      <c r="B31" s="2523"/>
      <c r="C31" s="2523"/>
      <c r="D31" s="2523"/>
      <c r="E31" s="2523"/>
      <c r="F31" s="2523"/>
      <c r="G31" s="2523"/>
      <c r="H31" s="2523"/>
      <c r="I31" s="2524" t="s">
        <v>2872</v>
      </c>
      <c r="J31" s="2916"/>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1991</v>
      </c>
      <c r="B32" s="1960"/>
      <c r="C32" s="149">
        <f ca="1">IF(D32="总价",G19-C24,G20-C25)</f>
        <v>37652</v>
      </c>
      <c r="D32" s="1961" t="s">
        <v>3504</v>
      </c>
      <c r="E32" s="134"/>
      <c r="F32" s="134"/>
      <c r="G32" s="134"/>
      <c r="H32" s="134"/>
      <c r="I32" s="134"/>
    </row>
    <row r="33" spans="1:15" ht="15">
      <c r="A33" s="894" t="s">
        <v>1992</v>
      </c>
      <c r="B33" s="1962"/>
      <c r="C33" s="1963" t="s">
        <v>3505</v>
      </c>
      <c r="D33" s="1964"/>
      <c r="E33" s="1965" t="s">
        <v>1993</v>
      </c>
      <c r="F33" s="1966" t="str">
        <f>IF(D32="楼面单价","取值（单价）","取值（总价）")</f>
        <v>取值（单价）</v>
      </c>
      <c r="G33" s="134"/>
      <c r="H33" s="134"/>
      <c r="I33" s="134"/>
    </row>
    <row r="34" spans="1:15" ht="15">
      <c r="A34" s="1967"/>
      <c r="B34" s="1968" t="s">
        <v>1994</v>
      </c>
      <c r="C34" s="153" t="e">
        <f ca="1">IF(C33="自定义",F34,C32-C35)</f>
        <v>#REF!</v>
      </c>
      <c r="D34" s="970" t="e">
        <f ca="1">IF(C33="自定义",ROUND(C34/C32,3),IF(C33="收益比率",SUMIF(INDIRECT("'"&amp;D33&amp;"'"&amp;"!b:b"),"土地收益比率",INDIRECT("'"&amp;D33&amp;"'"&amp;"!c:c")),SUMIF(INDIRECT("'"&amp;D33&amp;"'"&amp;"!b:b"),"土地成本比率",INDIRECT("'"&amp;D33&amp;"'"&amp;"!c:c"))))</f>
        <v>#REF!</v>
      </c>
      <c r="E34" s="1969" t="s">
        <v>1995</v>
      </c>
      <c r="F34" s="1498"/>
      <c r="G34" s="134"/>
      <c r="H34" s="134"/>
      <c r="I34" s="134"/>
    </row>
    <row r="35" spans="1:15" ht="15.75" thickBot="1">
      <c r="A35" s="1970"/>
      <c r="B35" s="1971" t="s">
        <v>1996</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2" t="s">
        <v>1997</v>
      </c>
      <c r="F35" s="159"/>
      <c r="G35" s="134"/>
      <c r="H35" s="134"/>
      <c r="I35" s="134"/>
    </row>
    <row r="36" spans="1:15" ht="15.75" thickBot="1">
      <c r="A36" s="3700" t="s">
        <v>1998</v>
      </c>
      <c r="B36" s="1973" t="s">
        <v>1999</v>
      </c>
      <c r="C36" s="150"/>
      <c r="D36" s="1974"/>
      <c r="E36" s="1975"/>
      <c r="F36" s="1976"/>
      <c r="G36" s="134"/>
      <c r="H36" s="134"/>
      <c r="I36" s="134"/>
    </row>
    <row r="37" spans="1:15" ht="15.75" thickBot="1">
      <c r="A37" s="3701"/>
      <c r="B37" s="1860" t="s">
        <v>2000</v>
      </c>
      <c r="C37" s="152"/>
      <c r="D37" s="1301"/>
      <c r="E37" s="1301"/>
      <c r="F37" s="1976"/>
      <c r="G37" s="134"/>
      <c r="H37" s="134"/>
      <c r="I37" s="134"/>
    </row>
    <row r="38" spans="1:15" ht="15.75" thickBot="1">
      <c r="A38" s="3702"/>
      <c r="B38" s="1977" t="s">
        <v>2001</v>
      </c>
      <c r="C38" s="683"/>
      <c r="D38" s="1978" t="s">
        <v>2002</v>
      </c>
      <c r="E38" s="1301"/>
      <c r="F38" s="1976"/>
      <c r="G38" s="134"/>
      <c r="H38" s="134"/>
      <c r="I38" s="134"/>
    </row>
    <row r="39" spans="1:15" ht="15">
      <c r="A39" s="1950" t="s">
        <v>2003</v>
      </c>
      <c r="B39" s="1979" t="s">
        <v>2004</v>
      </c>
      <c r="C39" s="1980" t="s">
        <v>2005</v>
      </c>
      <c r="D39" s="1980" t="s">
        <v>2006</v>
      </c>
      <c r="E39" s="1981" t="s">
        <v>2007</v>
      </c>
      <c r="F39" s="1976"/>
      <c r="G39" s="134"/>
      <c r="H39" s="134"/>
      <c r="I39" s="134"/>
    </row>
    <row r="40" spans="1:15" ht="14.25">
      <c r="A40" s="1982" t="s">
        <v>2008</v>
      </c>
      <c r="B40" s="154"/>
      <c r="C40" s="155"/>
      <c r="D40" s="155"/>
      <c r="E40" s="156"/>
      <c r="F40" s="1976"/>
      <c r="G40" s="134"/>
      <c r="H40" s="134"/>
      <c r="I40" s="134"/>
    </row>
    <row r="41" spans="1:15" ht="14.25">
      <c r="A41" s="1982" t="s">
        <v>2009</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720" t="s">
        <v>2012</v>
      </c>
      <c r="B45" s="3721"/>
      <c r="C45" s="3722"/>
      <c r="D45" s="160">
        <f ca="1">ROUND(H101*F45,0)</f>
        <v>179559</v>
      </c>
      <c r="E45" s="161" t="s">
        <v>2013</v>
      </c>
      <c r="F45" s="162">
        <v>1</v>
      </c>
      <c r="G45" s="163" t="s">
        <v>2014</v>
      </c>
      <c r="H45" s="134"/>
      <c r="I45" s="134"/>
      <c r="J45" s="3637" t="s">
        <v>2015</v>
      </c>
      <c r="K45" s="3637"/>
      <c r="L45" s="3637"/>
      <c r="M45" s="3637"/>
      <c r="N45" s="3637"/>
      <c r="O45" s="3637"/>
    </row>
    <row r="46" spans="1:15" ht="14.25" customHeight="1">
      <c r="A46" s="3717" t="s">
        <v>2016</v>
      </c>
      <c r="B46" s="3718"/>
      <c r="C46" s="3718"/>
      <c r="D46" s="3718"/>
      <c r="E46" s="3718"/>
      <c r="F46" s="3718"/>
      <c r="G46" s="3719"/>
      <c r="H46" s="1992"/>
      <c r="I46" s="164"/>
      <c r="J46" s="2747">
        <v>1</v>
      </c>
      <c r="K46" s="3638" t="s">
        <v>2017</v>
      </c>
      <c r="L46" s="3638"/>
      <c r="M46" s="3639"/>
      <c r="N46" s="3639"/>
      <c r="O46" s="3639"/>
    </row>
    <row r="47" spans="1:15" ht="12" customHeight="1">
      <c r="A47" s="165" t="s">
        <v>2018</v>
      </c>
      <c r="B47" s="166"/>
      <c r="C47" s="167"/>
      <c r="D47" s="1247" t="s">
        <v>2019</v>
      </c>
      <c r="E47" s="308" t="s">
        <v>2020</v>
      </c>
      <c r="F47" s="168" t="s">
        <v>2021</v>
      </c>
      <c r="G47" s="2770" t="s">
        <v>2022</v>
      </c>
      <c r="H47" s="2771"/>
      <c r="I47" s="164"/>
      <c r="J47" s="2747">
        <v>2</v>
      </c>
      <c r="K47" s="3638" t="s">
        <v>2023</v>
      </c>
      <c r="L47" s="3638"/>
      <c r="M47" s="3640">
        <f>'数据-取费表'!B2</f>
        <v>42914</v>
      </c>
      <c r="N47" s="3640"/>
      <c r="O47" s="3640"/>
    </row>
    <row r="48" spans="1:15" ht="25.5">
      <c r="A48" s="3703" t="s">
        <v>2024</v>
      </c>
      <c r="B48" s="3704"/>
      <c r="C48" s="3704"/>
      <c r="D48" s="2547" t="b">
        <f>IF(H48="情况1",0,IF(H48="情况2",D52,IF(H48="情况3",D53,IF(H48="情况4",D54))))</f>
        <v>0</v>
      </c>
      <c r="E48" s="2557" t="str">
        <f>IF(H48="情况4","(销售额-原购置价)×税（费）率","销售额×税（费）率")</f>
        <v>销售额×税（费）率</v>
      </c>
      <c r="F48" s="2772">
        <f>IF(H48="情况1","免征",'数据-取费表'!B41)</f>
        <v>5.6000000000000001E-2</v>
      </c>
      <c r="G48" s="2773" t="s">
        <v>2025</v>
      </c>
      <c r="H48" s="2774"/>
      <c r="I48" s="1992"/>
      <c r="J48" s="2747">
        <v>3</v>
      </c>
      <c r="K48" s="3638" t="s">
        <v>2026</v>
      </c>
      <c r="L48" s="3638"/>
      <c r="M48" s="3641">
        <f ca="1">H101</f>
        <v>179559</v>
      </c>
      <c r="N48" s="3641"/>
      <c r="O48" s="3641"/>
    </row>
    <row r="49" spans="1:35" ht="25.5" customHeight="1">
      <c r="A49" s="2556" t="s">
        <v>2027</v>
      </c>
      <c r="B49" s="3686" t="s">
        <v>2028</v>
      </c>
      <c r="C49" s="3686"/>
      <c r="D49" s="1775">
        <v>0</v>
      </c>
      <c r="E49" s="330" t="s">
        <v>2029</v>
      </c>
      <c r="F49" s="2650" t="s">
        <v>34</v>
      </c>
      <c r="G49" s="3669"/>
      <c r="H49" s="2528" t="s">
        <v>2873</v>
      </c>
      <c r="I49" s="2529"/>
      <c r="J49" s="2747">
        <v>4</v>
      </c>
      <c r="K49" s="3638" t="str">
        <f>IF(项目基本情况!E8="房地产抵押价值","房地产抵押价值","抵押担保权已注销时的房地产抵押价值")</f>
        <v>抵押担保权已注销时的房地产抵押价值</v>
      </c>
      <c r="L49" s="3638"/>
      <c r="M49" s="3641" t="str">
        <f>IF(项目基本情况!E8="房地产抵押价值",H107,H109)</f>
        <v>——</v>
      </c>
      <c r="N49" s="3641"/>
      <c r="O49" s="3641"/>
    </row>
    <row r="50" spans="1:35" ht="25.5" customHeight="1">
      <c r="A50" s="2775"/>
      <c r="B50" s="3686" t="s">
        <v>2030</v>
      </c>
      <c r="C50" s="3686"/>
      <c r="D50" s="2776"/>
      <c r="E50" s="338"/>
      <c r="F50" s="2650"/>
      <c r="G50" s="3670"/>
      <c r="H50" s="2530" t="s">
        <v>2874</v>
      </c>
      <c r="I50" s="2529"/>
      <c r="J50" s="3637" t="s">
        <v>2031</v>
      </c>
      <c r="K50" s="3637"/>
      <c r="L50" s="3637"/>
      <c r="M50" s="3637"/>
      <c r="N50" s="3637"/>
      <c r="O50" s="3637"/>
    </row>
    <row r="51" spans="1:35" ht="20.45" customHeight="1">
      <c r="A51" s="2777"/>
      <c r="B51" s="3686" t="s">
        <v>2032</v>
      </c>
      <c r="C51" s="3686"/>
      <c r="D51" s="1247"/>
      <c r="E51" s="333"/>
      <c r="F51" s="2650"/>
      <c r="G51" s="3671"/>
      <c r="H51" s="2530" t="s">
        <v>2875</v>
      </c>
      <c r="I51" s="2529"/>
      <c r="J51" s="2748" t="s">
        <v>2033</v>
      </c>
      <c r="K51" s="3638" t="s">
        <v>2034</v>
      </c>
      <c r="L51" s="3638"/>
      <c r="M51" s="2748" t="s">
        <v>2035</v>
      </c>
      <c r="N51" s="2748" t="s">
        <v>2036</v>
      </c>
      <c r="O51" s="2748" t="s">
        <v>2037</v>
      </c>
    </row>
    <row r="52" spans="1:35" ht="24" customHeight="1">
      <c r="A52" s="2558" t="s">
        <v>2038</v>
      </c>
      <c r="B52" s="3686" t="s">
        <v>2039</v>
      </c>
      <c r="C52" s="3686"/>
      <c r="D52" s="1247">
        <f ca="1">ROUND(D45*'数据-取费表'!B41/(1+'数据-取费表'!C42),0)</f>
        <v>9576</v>
      </c>
      <c r="E52" s="2557" t="s">
        <v>2040</v>
      </c>
      <c r="F52" s="2778">
        <f>'数据-取费表'!B41</f>
        <v>5.6000000000000001E-2</v>
      </c>
      <c r="G52" s="2779"/>
      <c r="H52" s="2768"/>
      <c r="I52" s="1993"/>
      <c r="J52" s="2747">
        <v>1</v>
      </c>
      <c r="K52" s="3663" t="s">
        <v>2041</v>
      </c>
      <c r="L52" s="3663"/>
      <c r="M52" s="2749" t="b">
        <f>D48</f>
        <v>0</v>
      </c>
      <c r="N52" s="2747" t="str">
        <f>E48</f>
        <v>销售额×税（费）率</v>
      </c>
      <c r="O52" s="2750">
        <f>F48</f>
        <v>5.6000000000000001E-2</v>
      </c>
    </row>
    <row r="53" spans="1:35" ht="12" customHeight="1">
      <c r="A53" s="2558" t="s">
        <v>2042</v>
      </c>
      <c r="B53" s="3687" t="s">
        <v>3031</v>
      </c>
      <c r="C53" s="3688"/>
      <c r="D53" s="1247">
        <f ca="1">ROUND(D45*'数据-取费表'!B41/(1+'数据-取费表'!C42),0)</f>
        <v>9576</v>
      </c>
      <c r="E53" s="2557" t="s">
        <v>2040</v>
      </c>
      <c r="F53" s="2778">
        <f>'数据-取费表'!B41</f>
        <v>5.6000000000000001E-2</v>
      </c>
      <c r="G53" s="2779"/>
      <c r="H53" s="2768"/>
      <c r="I53" s="1993"/>
      <c r="J53" s="2747">
        <v>2</v>
      </c>
      <c r="K53" s="3663" t="s">
        <v>2043</v>
      </c>
      <c r="L53" s="3663"/>
      <c r="M53" s="2749">
        <f t="shared" ref="M53:O54" ca="1" si="0">D55</f>
        <v>90</v>
      </c>
      <c r="N53" s="2747" t="str">
        <f t="shared" si="0"/>
        <v>销售额×税（费）率</v>
      </c>
      <c r="O53" s="2750" t="str">
        <f t="shared" si="0"/>
        <v>免征</v>
      </c>
    </row>
    <row r="54" spans="1:35" ht="12" customHeight="1">
      <c r="A54" s="2558" t="s">
        <v>2044</v>
      </c>
      <c r="B54" s="3687" t="s">
        <v>3032</v>
      </c>
      <c r="C54" s="3688"/>
      <c r="D54" s="1247">
        <f ca="1">C68</f>
        <v>9577</v>
      </c>
      <c r="E54" s="333" t="s">
        <v>2045</v>
      </c>
      <c r="F54" s="2778">
        <f>'数据-取费表'!B41</f>
        <v>5.6000000000000001E-2</v>
      </c>
      <c r="G54" s="2779"/>
      <c r="H54" s="2780"/>
      <c r="I54" s="1993"/>
      <c r="J54" s="2747">
        <v>3</v>
      </c>
      <c r="K54" s="3663" t="s">
        <v>2046</v>
      </c>
      <c r="L54" s="3663"/>
      <c r="M54" s="2749">
        <f t="shared" ca="1" si="0"/>
        <v>101631</v>
      </c>
      <c r="N54" s="2747" t="str">
        <f t="shared" si="0"/>
        <v>增值额×税（费）率</v>
      </c>
      <c r="O54" s="2751" t="str">
        <f t="shared" si="0"/>
        <v>免征</v>
      </c>
    </row>
    <row r="55" spans="1:35" ht="24" customHeight="1">
      <c r="A55" s="3726" t="s">
        <v>2047</v>
      </c>
      <c r="B55" s="3704"/>
      <c r="C55" s="3704"/>
      <c r="D55" s="2547">
        <f ca="1">IF(H55="个人住宅",0,ROUND(D45*I55,0))</f>
        <v>90</v>
      </c>
      <c r="E55" s="2557" t="s">
        <v>2048</v>
      </c>
      <c r="F55" s="2778" t="str">
        <f>IF(H55="正常",I55,"免征")</f>
        <v>免征</v>
      </c>
      <c r="G55" s="2779"/>
      <c r="H55" s="2774"/>
      <c r="I55" s="170">
        <f>'数据-取费表'!B49</f>
        <v>5.0000000000000001E-4</v>
      </c>
      <c r="J55" s="2747">
        <f>IF(H59="非个人房产","",4)</f>
        <v>4</v>
      </c>
      <c r="K55" s="3663" t="str">
        <f>IF(H59="非个人房产","——","个人所得税")</f>
        <v>个人所得税</v>
      </c>
      <c r="L55" s="3663"/>
      <c r="M55" s="2752">
        <f ca="1">D59</f>
        <v>1710</v>
      </c>
      <c r="N55" s="2228" t="str">
        <f>E59</f>
        <v>差额计税</v>
      </c>
      <c r="O55" s="2753">
        <f>F59</f>
        <v>0.01</v>
      </c>
    </row>
    <row r="56" spans="1:35" ht="24.75">
      <c r="A56" s="3726" t="s">
        <v>2049</v>
      </c>
      <c r="B56" s="3704"/>
      <c r="C56" s="3704"/>
      <c r="D56" s="2547">
        <f ca="1">IF(H56="个人住宅",D57,D58)</f>
        <v>101631</v>
      </c>
      <c r="E56" s="2557" t="s">
        <v>2050</v>
      </c>
      <c r="F56" s="2778" t="str">
        <f>IF(H56="正常",F58,"免征")</f>
        <v>免征</v>
      </c>
      <c r="G56" s="2781" t="s">
        <v>2051</v>
      </c>
      <c r="H56" s="2782"/>
      <c r="I56" s="1994"/>
      <c r="J56" s="2747" t="str">
        <f>IF(项目基本情况!K6="上海银行",IF(J55="",4,J55+1),"")</f>
        <v/>
      </c>
      <c r="K56" s="3644" t="str">
        <f>IF(项目基本情况!K6="上海银行","其他处置费用","")</f>
        <v/>
      </c>
      <c r="L56" s="3645"/>
      <c r="M56" s="2749" t="str">
        <f>IF(项目基本情况!K6="上海银行",M69,"")</f>
        <v/>
      </c>
      <c r="N56" s="3644" t="str">
        <f>IF(项目基本情况!K6="上海银行","包含处置中涉及的律师、诉讼、拍卖、评估等费用","")</f>
        <v/>
      </c>
      <c r="O56" s="3647"/>
    </row>
    <row r="57" spans="1:35" ht="12.75">
      <c r="A57" s="2558" t="s">
        <v>2027</v>
      </c>
      <c r="B57" s="3687" t="s">
        <v>2052</v>
      </c>
      <c r="C57" s="3688"/>
      <c r="D57" s="1775">
        <v>0</v>
      </c>
      <c r="E57" s="330" t="s">
        <v>2029</v>
      </c>
      <c r="F57" s="308"/>
      <c r="G57" s="2779"/>
      <c r="H57" s="2783"/>
      <c r="I57" s="1994"/>
      <c r="J57" s="3663">
        <f>IF(AND(J55="",J56=""),4,IF(项目基本情况!K6="上海银行",结果表!J56+1,结果表!J55+1))</f>
        <v>5</v>
      </c>
      <c r="K57" s="3663" t="s">
        <v>2053</v>
      </c>
      <c r="L57" s="2754" t="s">
        <v>2054</v>
      </c>
      <c r="M57" s="2755"/>
      <c r="N57" s="2756">
        <f ca="1">SUMIF(M52:M56,"&lt;9e307")</f>
        <v>103431</v>
      </c>
      <c r="O57" s="2757"/>
      <c r="P57" s="2917" t="e">
        <f ca="1">N57/M49</f>
        <v>#VALUE!</v>
      </c>
    </row>
    <row r="58" spans="1:35" ht="24.75">
      <c r="A58" s="2558" t="s">
        <v>2038</v>
      </c>
      <c r="B58" s="3687" t="s">
        <v>2055</v>
      </c>
      <c r="C58" s="3686"/>
      <c r="D58" s="2547">
        <f ca="1">IF(H58="转让取得",C81,C97)</f>
        <v>101631</v>
      </c>
      <c r="E58" s="2557" t="s">
        <v>2050</v>
      </c>
      <c r="F58" s="308" t="s">
        <v>34</v>
      </c>
      <c r="G58" s="2779"/>
      <c r="H58" s="2782"/>
      <c r="I58" s="1994"/>
      <c r="J58" s="3663"/>
      <c r="K58" s="3663"/>
      <c r="L58" s="2754" t="s">
        <v>2056</v>
      </c>
      <c r="M58" s="2758"/>
      <c r="N58" s="2759" t="str">
        <f ca="1">NUMBERSTRING(INT(N57*10000),2)&amp;"元整"</f>
        <v>壹拾亿叁仟肆佰叁拾壹万元整</v>
      </c>
      <c r="O58" s="2760"/>
    </row>
    <row r="59" spans="1:35" ht="24.75" thickBot="1">
      <c r="A59" s="3667" t="s">
        <v>2057</v>
      </c>
      <c r="B59" s="3668"/>
      <c r="C59" s="3668"/>
      <c r="D59" s="2784">
        <f ca="1">IF(H59="非个人房产","——",IF(H59="个人住宅（满五唯一有凭证）",0,IF(H59="个人其他（无凭证）",ROUND(D45*F59,0),ROUND(C67*F59,0))))</f>
        <v>1710</v>
      </c>
      <c r="E59" s="2785" t="str">
        <f>IF(H59="非个人房产","——",IF(H59="个人其他（无凭证）","销售额×税（费）率",IF(H59="个人住宅（满五唯一有凭证）","免征","差额计税")))</f>
        <v>差额计税</v>
      </c>
      <c r="F59" s="2786">
        <f>IF(OR(H59="非个人房产",H59="个人住宅（满五唯一有凭证）"),"——",IF(H59="个人其他（有凭证）",20%,1%))</f>
        <v>0.01</v>
      </c>
      <c r="G59" s="2787" t="s">
        <v>2051</v>
      </c>
      <c r="H59" s="2532"/>
      <c r="I59" s="2531" t="s">
        <v>2876</v>
      </c>
      <c r="J59" s="3665">
        <f>J57+1</f>
        <v>6</v>
      </c>
      <c r="K59" s="3663" t="s">
        <v>2058</v>
      </c>
      <c r="L59" s="2747" t="s">
        <v>2054</v>
      </c>
      <c r="M59" s="2761"/>
      <c r="N59" s="2762" t="e">
        <f ca="1">M49-N57</f>
        <v>#VALUE!</v>
      </c>
      <c r="O59" s="2763"/>
    </row>
    <row r="60" spans="1:35" ht="12" customHeight="1">
      <c r="A60" s="1995"/>
      <c r="B60" s="1933"/>
      <c r="C60" s="1933"/>
      <c r="D60" s="1933"/>
      <c r="E60" s="1763"/>
      <c r="F60" s="1994"/>
      <c r="G60" s="1994"/>
      <c r="H60" s="1996"/>
      <c r="I60" s="134"/>
      <c r="J60" s="3666"/>
      <c r="K60" s="3663"/>
      <c r="L60" s="2754" t="s">
        <v>2056</v>
      </c>
      <c r="M60" s="2758"/>
      <c r="N60" s="2759" t="e">
        <f ca="1">NUMBERSTRING(INT(N59*10000),2)&amp;"元整"</f>
        <v>#VALUE!</v>
      </c>
      <c r="O60" s="2760"/>
    </row>
    <row r="61" spans="1:35" ht="13.5" thickBot="1">
      <c r="A61" s="3725" t="s">
        <v>2059</v>
      </c>
      <c r="B61" s="3725"/>
      <c r="C61" s="3725"/>
      <c r="D61" s="3725"/>
      <c r="E61" s="3725"/>
      <c r="F61" s="1994"/>
      <c r="G61" s="1994"/>
      <c r="H61" s="1996"/>
      <c r="I61" s="134"/>
      <c r="J61" s="2747">
        <f>J59+1</f>
        <v>7</v>
      </c>
      <c r="K61" s="3663" t="s">
        <v>2060</v>
      </c>
      <c r="L61" s="3663"/>
      <c r="M61" s="2764"/>
      <c r="N61" s="2765" t="e">
        <f ca="1">ROUND(N59*10000/'数据-汇总表'!E3,0)</f>
        <v>#VALUE!</v>
      </c>
      <c r="O61" s="2766"/>
    </row>
    <row r="62" spans="1:35" ht="12.75">
      <c r="A62" s="3682" t="s">
        <v>2061</v>
      </c>
      <c r="B62" s="3683"/>
      <c r="C62" s="2209"/>
      <c r="D62" s="2209" t="s">
        <v>2062</v>
      </c>
      <c r="E62" s="171" t="s">
        <v>2063</v>
      </c>
      <c r="F62" s="1994"/>
      <c r="G62" s="1994"/>
      <c r="H62" s="1996"/>
      <c r="I62" s="134"/>
    </row>
    <row r="63" spans="1:35" ht="12.75">
      <c r="A63" s="178" t="s">
        <v>775</v>
      </c>
      <c r="B63" s="172" t="s">
        <v>2064</v>
      </c>
      <c r="C63" s="2788">
        <f ca="1">ROUND((C64+C65)/(1+'数据-取费表'!C42),0)</f>
        <v>171009</v>
      </c>
      <c r="D63" s="172"/>
      <c r="E63" s="173"/>
      <c r="F63" s="1994"/>
      <c r="G63" s="1994"/>
      <c r="H63" s="1996"/>
      <c r="I63" s="134"/>
      <c r="J63" s="3646" t="s">
        <v>2065</v>
      </c>
      <c r="K63" s="1501" t="s">
        <v>2066</v>
      </c>
      <c r="L63" s="1501" t="e">
        <f>IF(M49&gt;10000,M49*0.5%,IF(AND(M49&gt;1000,M49&lt;=10000),M49*1%,IF(AND(M49&gt;100,M49&lt;=1000),M49*3%,IF(AND(M49&gt;10,M49&lt;=100),M49*5%,M49*8%))))</f>
        <v>#VALUE!</v>
      </c>
      <c r="M63" s="308" t="e">
        <f>ROUND(L63,1)</f>
        <v>#VALUE!</v>
      </c>
      <c r="N63" s="2767"/>
      <c r="Z63" s="1938"/>
      <c r="AI63" s="1939"/>
    </row>
    <row r="64" spans="1:35" ht="14.25" customHeight="1">
      <c r="A64" s="174" t="s">
        <v>770</v>
      </c>
      <c r="B64" s="175" t="s">
        <v>2067</v>
      </c>
      <c r="C64" s="2789">
        <f ca="1">D45</f>
        <v>179559</v>
      </c>
      <c r="D64" s="175" t="s">
        <v>32</v>
      </c>
      <c r="E64" s="177"/>
      <c r="F64" s="1994"/>
      <c r="G64" s="1994"/>
      <c r="H64" s="1996"/>
      <c r="I64" s="134"/>
      <c r="J64" s="3646"/>
      <c r="K64" s="1501" t="s">
        <v>2068</v>
      </c>
      <c r="L64" s="1501" t="e">
        <f>IF(M49&gt;2000,M49*0.5%,IF(AND(M49&gt;1000,M49&lt;=2000),M49*0.6%,IF(AND(M49&gt;500,M49&lt;=1000),M49*0.7%,IF(AND(M49&gt;200,M49&lt;=500),M49*0.8%,IF(AND(M49&gt;100,M49&lt;=200),M49*0.9%,IF(AND(M49&gt;50,M49&lt;=100),M49*1%,IF(AND(M49&gt;20,M49&lt;=50),M49*1.5%,IF(AND(M49&gt;10,M49&lt;=20),M49*2%,IF(AND(M49&gt;1,M49&lt;=10),M49*2.5%)))))))))</f>
        <v>#VALUE!</v>
      </c>
      <c r="M64" s="308" t="e">
        <f>ROUND(L64,1)</f>
        <v>#VALUE!</v>
      </c>
      <c r="N64" s="2768" t="s">
        <v>2069</v>
      </c>
      <c r="Z64" s="1938"/>
      <c r="AI64" s="1939"/>
    </row>
    <row r="65" spans="1:35" ht="14.25" customHeight="1">
      <c r="A65" s="174" t="s">
        <v>771</v>
      </c>
      <c r="B65" s="175" t="s">
        <v>2070</v>
      </c>
      <c r="C65" s="2790"/>
      <c r="D65" s="175"/>
      <c r="E65" s="177"/>
      <c r="F65" s="1994"/>
      <c r="G65" s="1994"/>
      <c r="H65" s="1996"/>
      <c r="I65" s="134"/>
      <c r="J65" s="3646"/>
      <c r="K65" s="1501" t="s">
        <v>2071</v>
      </c>
      <c r="L65" s="1501" t="e">
        <f>IF(M49&gt;1000,M49*0.1%,IF(AND(M49&gt;500,M49&lt;=1000),M49*0.5%,IF(AND(M49&gt;50,M49&lt;=500),M49*1%,IF(AND(M49&gt;1,M49&lt;=50),M49*1.5%))))</f>
        <v>#VALUE!</v>
      </c>
      <c r="M65" s="308" t="e">
        <f>ROUND(L65,1)</f>
        <v>#VALUE!</v>
      </c>
      <c r="N65" s="2768" t="s">
        <v>2069</v>
      </c>
      <c r="Z65" s="1938"/>
      <c r="AI65" s="1939"/>
    </row>
    <row r="66" spans="1:35" ht="14.25" customHeight="1">
      <c r="A66" s="178" t="s">
        <v>772</v>
      </c>
      <c r="B66" s="179" t="s">
        <v>2072</v>
      </c>
      <c r="C66" s="2791"/>
      <c r="D66" s="179" t="s">
        <v>32</v>
      </c>
      <c r="E66" s="1509" t="s">
        <v>1337</v>
      </c>
      <c r="F66" s="1994"/>
      <c r="G66" s="1994"/>
      <c r="H66" s="1996"/>
      <c r="I66" s="134"/>
      <c r="J66" s="3646"/>
      <c r="K66" s="1501" t="s">
        <v>2073</v>
      </c>
      <c r="L66" s="1501" t="e">
        <f>M49*0.5%</f>
        <v>#VALUE!</v>
      </c>
      <c r="M66" s="308" t="e">
        <f>IF(L66&gt;0.5,0.5,ROUND(L66,0))</f>
        <v>#VALUE!</v>
      </c>
      <c r="N66" s="2768" t="s">
        <v>2074</v>
      </c>
      <c r="Z66" s="1938"/>
      <c r="AI66" s="1939"/>
    </row>
    <row r="67" spans="1:35" ht="14.25" customHeight="1">
      <c r="A67" s="178" t="s">
        <v>773</v>
      </c>
      <c r="B67" s="179" t="s">
        <v>2075</v>
      </c>
      <c r="C67" s="2792">
        <f ca="1">C63-C66</f>
        <v>171009</v>
      </c>
      <c r="D67" s="175" t="s">
        <v>32</v>
      </c>
      <c r="E67" s="177"/>
      <c r="F67" s="1994"/>
      <c r="G67" s="1994"/>
      <c r="H67" s="1996"/>
      <c r="I67" s="134"/>
      <c r="J67" s="3646"/>
      <c r="K67" s="1501" t="s">
        <v>2076</v>
      </c>
      <c r="L67" s="1501"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67"/>
      <c r="Z67" s="1938"/>
      <c r="AI67" s="1939"/>
    </row>
    <row r="68" spans="1:35" ht="14.25" customHeight="1" thickBot="1">
      <c r="A68" s="181" t="s">
        <v>774</v>
      </c>
      <c r="B68" s="182" t="s">
        <v>2077</v>
      </c>
      <c r="C68" s="2793">
        <f ca="1">IF(C67&lt;=0,0,ROUND(C67*D68,0))</f>
        <v>9577</v>
      </c>
      <c r="D68" s="2794">
        <f>'数据-取费表'!B41</f>
        <v>5.6000000000000001E-2</v>
      </c>
      <c r="E68" s="184"/>
      <c r="F68" s="1994"/>
      <c r="G68" s="1994"/>
      <c r="H68" s="1996"/>
      <c r="I68" s="134"/>
      <c r="J68" s="3646"/>
      <c r="K68" s="1501" t="s">
        <v>2078</v>
      </c>
      <c r="L68" s="1501" t="e">
        <f>IF(M49&gt;10000,M49*0.5%,IF(AND(M49&gt;5000,M49&lt;=10000),M49*1%,IF(AND(M49&gt;1000,M49&lt;=5000),M49*2%,IF(AND(M49&gt;200,M49&lt;=1000),M49*3%,M49*5%))))</f>
        <v>#VALUE!</v>
      </c>
      <c r="M68" s="308" t="e">
        <f>ROUND(L68,1)</f>
        <v>#VALUE!</v>
      </c>
      <c r="N68" s="2767"/>
      <c r="Z68" s="1938"/>
      <c r="AI68" s="1939"/>
    </row>
    <row r="69" spans="1:35" s="1958" customFormat="1" ht="16.5" customHeight="1">
      <c r="A69" s="1997"/>
      <c r="B69" s="1998"/>
      <c r="C69" s="1999"/>
      <c r="D69" s="2000"/>
      <c r="E69" s="2001"/>
      <c r="F69" s="1763"/>
      <c r="G69" s="1763"/>
      <c r="H69" s="1762"/>
      <c r="I69" s="1933"/>
      <c r="J69" s="3646"/>
      <c r="K69" s="1501" t="s">
        <v>2079</v>
      </c>
      <c r="L69" s="1501"/>
      <c r="M69" s="308" t="e">
        <f>ROUND(SUM(M63:M68),0)</f>
        <v>#VALUE!</v>
      </c>
      <c r="N69" s="2769" t="e">
        <f>M69/M49</f>
        <v>#VALUE!</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690" t="s">
        <v>2080</v>
      </c>
      <c r="B70" s="3691"/>
      <c r="C70" s="3691"/>
      <c r="D70" s="3691"/>
      <c r="E70" s="3691"/>
      <c r="F70" s="3691"/>
      <c r="G70" s="3691"/>
      <c r="H70" s="3691"/>
      <c r="I70" s="2002"/>
      <c r="J70" s="2918"/>
      <c r="K70" s="2918"/>
      <c r="L70" s="2918"/>
      <c r="M70" s="2918"/>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682" t="s">
        <v>2061</v>
      </c>
      <c r="B71" s="3683"/>
      <c r="C71" s="2209"/>
      <c r="D71" s="2209" t="s">
        <v>2062</v>
      </c>
      <c r="E71" s="185" t="s">
        <v>2063</v>
      </c>
      <c r="F71" s="186"/>
      <c r="G71" s="186"/>
      <c r="H71" s="187"/>
      <c r="I71" s="2006"/>
      <c r="J71" s="2918"/>
      <c r="K71" s="2918"/>
      <c r="L71" s="2918"/>
      <c r="M71" s="2918"/>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2081</v>
      </c>
      <c r="C72" s="2792">
        <f ca="1">ROUND(D45/(1+'数据-取费表'!C42),0)</f>
        <v>171009</v>
      </c>
      <c r="D72" s="175" t="s">
        <v>32</v>
      </c>
      <c r="E72" s="2554"/>
      <c r="F72" s="2553"/>
      <c r="G72" s="2553"/>
      <c r="H72" s="188"/>
      <c r="I72" s="2006"/>
      <c r="J72" s="2918"/>
      <c r="K72" s="2918"/>
      <c r="L72" s="2918"/>
      <c r="M72" s="2918"/>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2082</v>
      </c>
      <c r="C73" s="2792">
        <f ca="1">C74+C78</f>
        <v>1026</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2083</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2084</v>
      </c>
      <c r="C75" s="2795"/>
      <c r="D75" s="175" t="s">
        <v>32</v>
      </c>
      <c r="E75" s="190" t="s">
        <v>2085</v>
      </c>
      <c r="F75" s="2796"/>
      <c r="G75" s="190" t="s">
        <v>2086</v>
      </c>
      <c r="H75" s="2797"/>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2087</v>
      </c>
      <c r="C76" s="175">
        <f>IF(F75="购房发票",ROUND(C75*H75*D76,0),0)</f>
        <v>0</v>
      </c>
      <c r="D76" s="2798">
        <v>0.05</v>
      </c>
      <c r="E76" s="3687" t="s">
        <v>2088</v>
      </c>
      <c r="F76" s="3686"/>
      <c r="G76" s="3686"/>
      <c r="H76" s="3689"/>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2089</v>
      </c>
      <c r="C77" s="175">
        <f>ROUND(IF(G77="个人住宅",0,IF(G77="2016年5月1日前购买",C75*D77,C75*D77/(1+'数据-取费表'!C42))),0)</f>
        <v>0</v>
      </c>
      <c r="D77" s="2799">
        <f>'数据-取费表'!B48+'数据-取费表'!B49</f>
        <v>3.0499999999999999E-2</v>
      </c>
      <c r="E77" s="2547" t="s">
        <v>2090</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2091</v>
      </c>
      <c r="C78" s="2800">
        <f ca="1">ROUND(D45*D78/(1+'数据-取费表'!C42),0)</f>
        <v>1026</v>
      </c>
      <c r="D78" s="2801">
        <f>'数据-取费表'!B43</f>
        <v>6.000000000000001E-3</v>
      </c>
      <c r="E78" s="3679" t="s">
        <v>2092</v>
      </c>
      <c r="F78" s="3680"/>
      <c r="G78" s="3680"/>
      <c r="H78" s="3681"/>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2093</v>
      </c>
      <c r="C79" s="2792">
        <f ca="1">C72-C73</f>
        <v>169983</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2094</v>
      </c>
      <c r="C80" s="2802">
        <f ca="1">IF(C79&lt;=0,0,C79/C73)</f>
        <v>165.67543859649123</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2095</v>
      </c>
      <c r="C81" s="2803">
        <f ca="1">ROUND(IF(C79&lt;=0,0,IF(C80&gt;=200%,C79*60%-C73*35%,IF(C80&gt;=100%,C79*50%-C73*15%,IF(C80&gt;=50%,C79*40%-C73*5%,IF(C80&lt;50%,C79*30%,0))))),0)</f>
        <v>101631</v>
      </c>
      <c r="D81" s="280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690" t="s">
        <v>2096</v>
      </c>
      <c r="B83" s="3691"/>
      <c r="C83" s="3691"/>
      <c r="D83" s="3691"/>
      <c r="E83" s="3691"/>
      <c r="F83" s="3691"/>
      <c r="G83" s="3691"/>
      <c r="H83" s="3691"/>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682" t="s">
        <v>2061</v>
      </c>
      <c r="B84" s="3683"/>
      <c r="C84" s="2209"/>
      <c r="D84" s="2209"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2081</v>
      </c>
      <c r="C85" s="2792">
        <f ca="1">ROUND(D45/(1+'数据-取费表'!C42),0)</f>
        <v>171009</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2082</v>
      </c>
      <c r="C86" s="2792">
        <f ca="1">IF(H88="仅含出让金",C87+C90+C91+C92+C93+C94,C87+C91+C92+C93+C94)</f>
        <v>1026</v>
      </c>
      <c r="D86" s="2805"/>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2097</v>
      </c>
      <c r="C87" s="2800">
        <f>C88+C89</f>
        <v>0</v>
      </c>
      <c r="D87" s="2801"/>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2098</v>
      </c>
      <c r="C88" s="2806"/>
      <c r="D88" s="2801"/>
      <c r="E88" s="199" t="s">
        <v>2099</v>
      </c>
      <c r="F88" s="2550"/>
      <c r="G88" s="200" t="s">
        <v>2100</v>
      </c>
      <c r="H88" s="2010"/>
      <c r="I88" s="2007"/>
      <c r="J88" s="2745" t="s">
        <v>3028</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2089</v>
      </c>
      <c r="C89" s="2800">
        <f>ROUND(C88*D89,0)</f>
        <v>0</v>
      </c>
      <c r="D89" s="2801">
        <f>'数据-取费表'!B48+'数据-取费表'!B49</f>
        <v>3.0499999999999999E-2</v>
      </c>
      <c r="E89" s="199" t="s">
        <v>2101</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2102</v>
      </c>
      <c r="C90" s="2806"/>
      <c r="D90" s="2801"/>
      <c r="E90" s="199" t="str">
        <f>IF(H88="-","土地取得成本中已包含该笔费用"," ")</f>
        <v xml:space="preserve"> </v>
      </c>
      <c r="F90" s="2550"/>
      <c r="G90" s="3648" t="s">
        <v>2868</v>
      </c>
      <c r="H90" s="3649"/>
      <c r="I90" s="2007"/>
      <c r="J90" s="2745" t="s">
        <v>3029</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800">
        <f>IF(H91="——",成本法!C33,I91)</f>
        <v>0</v>
      </c>
      <c r="D91" s="2801"/>
      <c r="E91" s="3679" t="s">
        <v>2105</v>
      </c>
      <c r="F91" s="3680"/>
      <c r="G91" s="3680"/>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800">
        <f>ROUND((C87+C90+C91)*D92,0)</f>
        <v>0</v>
      </c>
      <c r="D92" s="2807"/>
      <c r="E92" s="3679" t="s">
        <v>2108</v>
      </c>
      <c r="F92" s="3680"/>
      <c r="G92" s="3680"/>
      <c r="H92" s="3681"/>
      <c r="I92" s="2007"/>
      <c r="J92" s="2746" t="s">
        <v>3030</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800">
        <f ca="1">ROUND(D45*D93/(1+'数据-取费表'!C42),0)</f>
        <v>1026</v>
      </c>
      <c r="D93" s="2801">
        <f>'数据-取费表'!B43</f>
        <v>6.000000000000001E-3</v>
      </c>
      <c r="E93" s="3679" t="s">
        <v>2092</v>
      </c>
      <c r="F93" s="3680"/>
      <c r="G93" s="3680"/>
      <c r="H93" s="3681"/>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806">
        <f>ROUND((C87+C90+C91)*D94,0)</f>
        <v>0</v>
      </c>
      <c r="D94" s="2801">
        <v>0.2</v>
      </c>
      <c r="E94" s="3727" t="s">
        <v>2112</v>
      </c>
      <c r="F94" s="3728"/>
      <c r="G94" s="3728"/>
      <c r="H94" s="3729"/>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2093</v>
      </c>
      <c r="C95" s="2792">
        <f ca="1">ROUND(C85-C86,0)</f>
        <v>169983</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802">
        <f ca="1">IF(C95&lt;=0,0,C95/C86)</f>
        <v>165.67543859649123</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2095</v>
      </c>
      <c r="C97" s="2803">
        <f ca="1">ROUND(IF(C95&lt;=0,0,IF(C96&gt;=200%,C95*60%-C86*35%,IF(C96&gt;=100%,C95*50%-C86*15%,IF(C96&gt;=50%,C95*40%-C86*5%,IF(C96&lt;50%,C95*30%,0))))),0)</f>
        <v>101631</v>
      </c>
      <c r="D97" s="280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2113</v>
      </c>
      <c r="B99" s="1933"/>
      <c r="C99" s="1933"/>
      <c r="D99" s="1933"/>
      <c r="E99" s="1763"/>
      <c r="F99" s="1763"/>
      <c r="G99" s="1763"/>
      <c r="H99" s="1762"/>
      <c r="I99" s="134"/>
    </row>
    <row r="100" spans="1:35" ht="18.75" customHeight="1">
      <c r="A100" s="3589" t="s">
        <v>2114</v>
      </c>
      <c r="B100" s="3590"/>
      <c r="C100" s="3590"/>
      <c r="D100" s="3664"/>
      <c r="E100" s="3590" t="s">
        <v>2115</v>
      </c>
      <c r="F100" s="3590"/>
      <c r="G100" s="3590"/>
      <c r="H100" s="3664"/>
      <c r="I100" s="134"/>
    </row>
    <row r="101" spans="1:35" ht="18.75" customHeight="1">
      <c r="A101" s="3672" t="s">
        <v>2116</v>
      </c>
      <c r="B101" s="3673"/>
      <c r="C101" s="2809" t="str">
        <f>C4</f>
        <v>成本法</v>
      </c>
      <c r="D101" s="2810" t="str">
        <f>D4</f>
        <v>成本法</v>
      </c>
      <c r="E101" s="3642" t="s">
        <v>2117</v>
      </c>
      <c r="F101" s="3643"/>
      <c r="G101" s="2013" t="s">
        <v>2118</v>
      </c>
      <c r="H101" s="2819">
        <f ca="1">H118</f>
        <v>179559</v>
      </c>
      <c r="I101" s="134"/>
    </row>
    <row r="102" spans="1:35" ht="18.75" customHeight="1">
      <c r="A102" s="3674" t="s">
        <v>2119</v>
      </c>
      <c r="B102" s="2808" t="s">
        <v>2118</v>
      </c>
      <c r="C102" s="2809">
        <f ca="1">C19</f>
        <v>179557</v>
      </c>
      <c r="D102" s="2810">
        <f ca="1">D19</f>
        <v>179557</v>
      </c>
      <c r="E102" s="3642"/>
      <c r="F102" s="3643"/>
      <c r="G102" s="2013" t="s">
        <v>2120</v>
      </c>
      <c r="H102" s="2779">
        <f ca="1">I118</f>
        <v>37652</v>
      </c>
      <c r="I102" s="134"/>
    </row>
    <row r="103" spans="1:35" ht="42.75" customHeight="1">
      <c r="A103" s="3674"/>
      <c r="B103" s="2808" t="s">
        <v>2120</v>
      </c>
      <c r="C103" s="2811">
        <f ca="1">C20</f>
        <v>37652</v>
      </c>
      <c r="D103" s="2812">
        <f ca="1">D20</f>
        <v>37652</v>
      </c>
      <c r="E103" s="3635" t="s">
        <v>2121</v>
      </c>
      <c r="F103" s="3636"/>
      <c r="G103" s="2014" t="s">
        <v>2122</v>
      </c>
      <c r="H103" s="2819">
        <f>IF(D36="正常操作",H104+H105+H106,H105+H106)</f>
        <v>0</v>
      </c>
      <c r="I103" s="134"/>
    </row>
    <row r="104" spans="1:35" ht="18.75" customHeight="1">
      <c r="A104" s="3674" t="s">
        <v>2123</v>
      </c>
      <c r="B104" s="2813" t="s">
        <v>2118</v>
      </c>
      <c r="C104" s="2814">
        <f ca="1">H118</f>
        <v>179559</v>
      </c>
      <c r="D104" s="2815"/>
      <c r="E104" s="1860" t="s">
        <v>2124</v>
      </c>
      <c r="F104" s="1851"/>
      <c r="G104" s="2014" t="s">
        <v>2122</v>
      </c>
      <c r="H104" s="2820">
        <f>IF(D36="同一抵押权人同一抵押物续贷",C36&amp;"（续贷，未扣减，详见特别提示）",C36)</f>
        <v>0</v>
      </c>
      <c r="I104" s="134"/>
    </row>
    <row r="105" spans="1:35" ht="18.75" customHeight="1" thickBot="1">
      <c r="A105" s="3684"/>
      <c r="B105" s="2816" t="s">
        <v>2120</v>
      </c>
      <c r="C105" s="2817">
        <f ca="1">I118</f>
        <v>37652</v>
      </c>
      <c r="D105" s="2818"/>
      <c r="E105" s="1860" t="s">
        <v>2125</v>
      </c>
      <c r="F105" s="1851"/>
      <c r="G105" s="2014" t="s">
        <v>2122</v>
      </c>
      <c r="H105" s="2821">
        <f>C37</f>
        <v>0</v>
      </c>
      <c r="I105" s="134"/>
    </row>
    <row r="106" spans="1:35" ht="18.75" customHeight="1">
      <c r="A106" s="1933" t="s">
        <v>2126</v>
      </c>
      <c r="B106" s="1933"/>
      <c r="C106" s="1933"/>
      <c r="D106" s="1933"/>
      <c r="E106" s="2015" t="s">
        <v>2127</v>
      </c>
      <c r="F106" s="1851"/>
      <c r="G106" s="2014" t="s">
        <v>2122</v>
      </c>
      <c r="H106" s="2821">
        <f>C38</f>
        <v>0</v>
      </c>
      <c r="I106" s="134"/>
    </row>
    <row r="107" spans="1:35" ht="18.75" customHeight="1">
      <c r="A107" s="134"/>
      <c r="B107" s="134"/>
      <c r="C107" s="134"/>
      <c r="D107" s="134"/>
      <c r="E107" s="3675" t="str">
        <f>IF(项目基本情况!E8="已注销","——","3.房地产抵押价值")</f>
        <v>3.房地产抵押价值</v>
      </c>
      <c r="F107" s="3643"/>
      <c r="G107" s="2013" t="s">
        <v>2118</v>
      </c>
      <c r="H107" s="2819">
        <f ca="1">IF(E107="——","——",H101-H103)</f>
        <v>179559</v>
      </c>
      <c r="I107" s="134"/>
    </row>
    <row r="108" spans="1:35" ht="18.75" customHeight="1">
      <c r="A108" s="134"/>
      <c r="B108" s="134"/>
      <c r="C108" s="134"/>
      <c r="D108" s="134"/>
      <c r="E108" s="3675"/>
      <c r="F108" s="3643"/>
      <c r="G108" s="2013" t="s">
        <v>2120</v>
      </c>
      <c r="H108" s="2779">
        <f ca="1">ROUND(H107*10000/'数据-汇总表'!E3,0)</f>
        <v>37652</v>
      </c>
      <c r="I108" s="134"/>
    </row>
    <row r="109" spans="1:35" ht="18.75" customHeight="1">
      <c r="A109" s="134"/>
      <c r="B109" s="134"/>
      <c r="C109" s="134"/>
      <c r="D109" s="134"/>
      <c r="E109" s="3675" t="str">
        <f>IF(项目基本情况!E8="已注销及未注销","4.抵押担保权已注销时的房地产抵押价值",IF(项目基本情况!E8="已注销","3.抵押担保权已注销时的房地产抵押价值","——"))</f>
        <v>——</v>
      </c>
      <c r="F109" s="3643"/>
      <c r="G109" s="2013" t="s">
        <v>2118</v>
      </c>
      <c r="H109" s="2822" t="str">
        <f>IF(E109="——","——",H101-H105-H106)</f>
        <v>——</v>
      </c>
      <c r="I109" s="134"/>
    </row>
    <row r="110" spans="1:35" ht="18.75" customHeight="1">
      <c r="A110" s="134"/>
      <c r="B110" s="134"/>
      <c r="C110" s="134"/>
      <c r="D110" s="134"/>
      <c r="E110" s="3675"/>
      <c r="F110" s="3643"/>
      <c r="G110" s="2013" t="s">
        <v>2120</v>
      </c>
      <c r="H110" s="2779" t="str">
        <f>IF(H109="——","——",ROUND(H109*10000/'数据-汇总表'!E3,0))</f>
        <v>——</v>
      </c>
      <c r="I110" s="134"/>
    </row>
    <row r="111" spans="1:35" ht="18.75" customHeight="1">
      <c r="A111" s="134"/>
      <c r="B111" s="134"/>
      <c r="C111" s="134"/>
      <c r="D111" s="134"/>
      <c r="E111" s="3676" t="str">
        <f>IF(项目基本情况!E9="抵押净值",IF(OR(项目基本情况!E8="已注销",项目基本情况!E8="房地产抵押价值"),"4.抵押净值","5.抵押净值"),"——")</f>
        <v>——</v>
      </c>
      <c r="F111" s="3662"/>
      <c r="G111" s="2013" t="s">
        <v>2118</v>
      </c>
      <c r="H111" s="2819" t="str">
        <f>IF(E111="——","——",N59)</f>
        <v>——</v>
      </c>
      <c r="I111" s="134"/>
    </row>
    <row r="112" spans="1:35" ht="18.75" customHeight="1" thickBot="1">
      <c r="A112" s="134"/>
      <c r="B112" s="134"/>
      <c r="C112" s="134"/>
      <c r="D112" s="134"/>
      <c r="E112" s="3677"/>
      <c r="F112" s="3678"/>
      <c r="G112" s="2016" t="s">
        <v>2120</v>
      </c>
      <c r="H112" s="2823" t="str">
        <f>IF(E111="——","——",N61)</f>
        <v>——</v>
      </c>
      <c r="I112" s="134"/>
    </row>
    <row r="113" spans="1:27" ht="18.75" customHeight="1">
      <c r="A113" s="134"/>
      <c r="B113" s="134"/>
      <c r="C113" s="134"/>
      <c r="D113" s="134"/>
      <c r="E113" s="3685" t="s">
        <v>2126</v>
      </c>
      <c r="F113" s="3685"/>
      <c r="G113" s="3685"/>
      <c r="H113" s="3685"/>
      <c r="I113" s="134"/>
    </row>
    <row r="114" spans="1:27" ht="3.75" customHeight="1">
      <c r="A114" s="1933"/>
      <c r="B114" s="1933"/>
      <c r="C114" s="1933"/>
      <c r="D114" s="1933"/>
      <c r="E114" s="1995"/>
      <c r="F114" s="1995"/>
      <c r="G114" s="1995"/>
      <c r="H114" s="1995"/>
      <c r="I114" s="1933"/>
    </row>
    <row r="115" spans="1:27" ht="18.75" customHeight="1">
      <c r="A115" s="3696" t="s">
        <v>2128</v>
      </c>
      <c r="B115" s="3697"/>
      <c r="C115" s="3697"/>
      <c r="D115" s="3697"/>
      <c r="E115" s="3697"/>
      <c r="F115" s="3697"/>
      <c r="G115" s="3697"/>
      <c r="H115" s="3697"/>
      <c r="I115" s="3698"/>
    </row>
    <row r="116" spans="1:27" ht="27" customHeight="1">
      <c r="A116" s="3650" t="s">
        <v>2129</v>
      </c>
      <c r="B116" s="3654" t="s">
        <v>2130</v>
      </c>
      <c r="C116" s="3654" t="s">
        <v>2131</v>
      </c>
      <c r="D116" s="3660" t="s">
        <v>2132</v>
      </c>
      <c r="E116" s="3661"/>
      <c r="F116" s="3692" t="s">
        <v>2133</v>
      </c>
      <c r="G116" s="3692"/>
      <c r="H116" s="3650" t="s">
        <v>2134</v>
      </c>
      <c r="I116" s="3650"/>
    </row>
    <row r="117" spans="1:27" ht="18.75" customHeight="1">
      <c r="A117" s="3650"/>
      <c r="B117" s="3655"/>
      <c r="C117" s="3655"/>
      <c r="D117" s="2552" t="s">
        <v>2135</v>
      </c>
      <c r="E117" s="2552" t="s">
        <v>2136</v>
      </c>
      <c r="F117" s="2552" t="s">
        <v>2135</v>
      </c>
      <c r="G117" s="2552" t="s">
        <v>2137</v>
      </c>
      <c r="H117" s="2552" t="s">
        <v>2135</v>
      </c>
      <c r="I117" s="2552" t="s">
        <v>2137</v>
      </c>
    </row>
    <row r="118" spans="1:27" ht="24.75" customHeight="1">
      <c r="A118" s="2824" t="str">
        <f>项目基本情况!S2</f>
        <v>北京市房地产</v>
      </c>
      <c r="B118" s="2552">
        <f>M18</f>
        <v>47689.05</v>
      </c>
      <c r="C118" s="2552">
        <f>M19</f>
        <v>5933.24</v>
      </c>
      <c r="D118" s="2552" t="e">
        <f ca="1">ROUND(IF(D32="总价",C34,E118*B118/10000),0)</f>
        <v>#REF!</v>
      </c>
      <c r="E118" s="2552" t="e">
        <f ca="1">ROUND(IF(C33="自定义",IF(D32="楼面单价",C34,D118*10000/B118),I118-G118),0)</f>
        <v>#REF!</v>
      </c>
      <c r="F118" s="2552" t="e">
        <f ca="1">ROUND(IF(D32="总价",C35,G118*B118/10000),0)</f>
        <v>#REF!</v>
      </c>
      <c r="G118" s="2552" t="e">
        <f ca="1">ROUND(IF(D32="楼面单价",C35,F118*10000/B118),0)</f>
        <v>#REF!</v>
      </c>
      <c r="H118" s="2552">
        <f ca="1">ROUND(IF(D32="总价",C32,I118*B118/10000),0)</f>
        <v>179559</v>
      </c>
      <c r="I118" s="2552">
        <f ca="1">ROUND(IF(D32="楼面单价",C32,H118*10000/B118),0)</f>
        <v>37652</v>
      </c>
    </row>
    <row r="119" spans="1:27" ht="18.75" customHeight="1">
      <c r="A119" s="3650" t="s">
        <v>2138</v>
      </c>
      <c r="B119" s="3650"/>
      <c r="C119" s="3650"/>
      <c r="D119" s="3656" t="e">
        <f ca="1">NUMBERSTRING(INT(D118*10000),2)&amp;"元整"</f>
        <v>#REF!</v>
      </c>
      <c r="E119" s="3657"/>
      <c r="F119" s="3656" t="e">
        <f ca="1">NUMBERSTRING(INT(F118*10000),2)&amp;"元整"</f>
        <v>#REF!</v>
      </c>
      <c r="G119" s="3657"/>
      <c r="H119" s="3656" t="str">
        <f ca="1">NUMBERSTRING(INT(H118*10000),2)&amp;"元整"</f>
        <v>壹拾柒亿玖仟伍佰伍拾玖万元整</v>
      </c>
      <c r="I119" s="3657"/>
    </row>
    <row r="120" spans="1:27" ht="18.75" customHeight="1">
      <c r="A120" s="3651" t="str">
        <f>IF(项目基本情况!B9="房地产市场价值","",MID(E103,3,LEN(E103)-2))</f>
        <v>估价师知悉的法定优先受偿款</v>
      </c>
      <c r="B120" s="3652"/>
      <c r="C120" s="3653"/>
      <c r="D120" s="3651">
        <f>H103</f>
        <v>0</v>
      </c>
      <c r="E120" s="3652"/>
      <c r="F120" s="3652"/>
      <c r="G120" s="3652"/>
      <c r="H120" s="3652"/>
      <c r="I120" s="3653"/>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693" t="s">
        <v>2138</v>
      </c>
      <c r="B121" s="3694"/>
      <c r="C121" s="3695"/>
      <c r="D121" s="3656" t="str">
        <f>IF(D120=0,"零元整",NUMBERSTRING(INT(D120*10000),2)&amp;"元整")</f>
        <v>零元整</v>
      </c>
      <c r="E121" s="3658"/>
      <c r="F121" s="3658"/>
      <c r="G121" s="3658"/>
      <c r="H121" s="3658"/>
      <c r="I121" s="3657"/>
      <c r="AA121" s="734"/>
    </row>
    <row r="122" spans="1:27" ht="18.75" customHeight="1">
      <c r="A122" s="3662" t="str">
        <f>IF(项目基本情况!B9="房地产市场价值","",MID(E107,3,LEN(E107)-2))</f>
        <v>房地产抵押价值</v>
      </c>
      <c r="B122" s="3662"/>
      <c r="C122" s="3662"/>
      <c r="D122" s="3651">
        <f ca="1">H107</f>
        <v>179559</v>
      </c>
      <c r="E122" s="3652"/>
      <c r="F122" s="3652"/>
      <c r="G122" s="3652"/>
      <c r="H122" s="3652"/>
      <c r="I122" s="3653"/>
      <c r="AA122" s="734"/>
    </row>
    <row r="123" spans="1:27" ht="18.75" customHeight="1">
      <c r="A123" s="3650" t="s">
        <v>2138</v>
      </c>
      <c r="B123" s="3650"/>
      <c r="C123" s="3650"/>
      <c r="D123" s="3656" t="str">
        <f ca="1">NUMBERSTRING(INT(D122*10000),2)&amp;"元整"</f>
        <v>壹拾柒亿玖仟伍佰伍拾玖万元整</v>
      </c>
      <c r="E123" s="3658"/>
      <c r="F123" s="3658"/>
      <c r="G123" s="3658"/>
      <c r="H123" s="3658"/>
      <c r="I123" s="3657"/>
      <c r="AA123" s="734"/>
    </row>
    <row r="124" spans="1:27" ht="18.75" customHeight="1">
      <c r="A124" s="3662" t="str">
        <f>IF(项目基本情况!B9="房地产市场价值","",MID(E109,3,LEN(E109)-2))</f>
        <v/>
      </c>
      <c r="B124" s="3662"/>
      <c r="C124" s="3662"/>
      <c r="D124" s="3651" t="str">
        <f>H109</f>
        <v>——</v>
      </c>
      <c r="E124" s="3652"/>
      <c r="F124" s="3652"/>
      <c r="G124" s="3652"/>
      <c r="H124" s="3652"/>
      <c r="I124" s="3653"/>
      <c r="AA124" s="734"/>
    </row>
    <row r="125" spans="1:27" ht="18.75" customHeight="1">
      <c r="A125" s="3650" t="s">
        <v>2138</v>
      </c>
      <c r="B125" s="3650"/>
      <c r="C125" s="3650"/>
      <c r="D125" s="3656" t="e">
        <f>NUMBERSTRING(INT(D124*10000),2)&amp;"元整"</f>
        <v>#VALUE!</v>
      </c>
      <c r="E125" s="3658"/>
      <c r="F125" s="3658"/>
      <c r="G125" s="3658"/>
      <c r="H125" s="3658"/>
      <c r="I125" s="3657"/>
      <c r="AA125" s="734"/>
    </row>
    <row r="126" spans="1:27" ht="18.75" customHeight="1">
      <c r="A126" s="3662" t="str">
        <f>IF(项目基本情况!B9="房地产市场价值","",MID(E111,3,LEN(E111)-2))</f>
        <v/>
      </c>
      <c r="B126" s="3662"/>
      <c r="C126" s="3662"/>
      <c r="D126" s="3651" t="str">
        <f>H111</f>
        <v>——</v>
      </c>
      <c r="E126" s="3652"/>
      <c r="F126" s="3652"/>
      <c r="G126" s="3652"/>
      <c r="H126" s="3652"/>
      <c r="I126" s="3653"/>
      <c r="AA126" s="734"/>
    </row>
    <row r="127" spans="1:27" ht="18.75" customHeight="1">
      <c r="A127" s="3650" t="s">
        <v>2138</v>
      </c>
      <c r="B127" s="3650"/>
      <c r="C127" s="3650"/>
      <c r="D127" s="3656" t="e">
        <f>NUMBERSTRING(INT(D126*10000),2)&amp;"元整"</f>
        <v>#VALUE!</v>
      </c>
      <c r="E127" s="3658"/>
      <c r="F127" s="3658"/>
      <c r="G127" s="3658"/>
      <c r="H127" s="3658"/>
      <c r="I127" s="3657"/>
      <c r="AA127" s="734"/>
    </row>
    <row r="128" spans="1:27" ht="21.75" customHeight="1">
      <c r="A128" s="3659" t="s">
        <v>2139</v>
      </c>
      <c r="B128" s="3659"/>
      <c r="C128" s="3659"/>
      <c r="D128" s="3659"/>
      <c r="E128" s="3659"/>
      <c r="F128" s="3659"/>
      <c r="G128" s="3659"/>
      <c r="H128" s="3659"/>
      <c r="I128" s="3659"/>
      <c r="AA128" s="734"/>
    </row>
    <row r="129" spans="1:35" ht="21.75" customHeight="1">
      <c r="A129" s="2017" t="s">
        <v>2140</v>
      </c>
      <c r="B129" s="2018"/>
      <c r="C129" s="2019" t="s">
        <v>2141</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2142</v>
      </c>
      <c r="G135" s="2034"/>
      <c r="H135" s="2034"/>
      <c r="I135" s="2035" t="s">
        <v>2143</v>
      </c>
    </row>
    <row r="136" spans="1:35" ht="21.75" customHeight="1">
      <c r="A136" s="734"/>
      <c r="B136" s="2036"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2145</v>
      </c>
    </row>
    <row r="139" spans="1:35" ht="21.75" customHeight="1">
      <c r="A139" s="734"/>
      <c r="B139" s="2036" t="s">
        <v>2146</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2145</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240" priority="21" stopIfTrue="1" operator="equal">
      <formula>25</formula>
    </cfRule>
  </conditionalFormatting>
  <conditionalFormatting sqref="C8:C9">
    <cfRule type="cellIs" dxfId="239" priority="19" stopIfTrue="1" operator="equal">
      <formula>15</formula>
    </cfRule>
  </conditionalFormatting>
  <conditionalFormatting sqref="C14:C16">
    <cfRule type="cellIs" dxfId="238" priority="13" stopIfTrue="1" operator="equal">
      <formula>30</formula>
    </cfRule>
  </conditionalFormatting>
  <conditionalFormatting sqref="D5:D7">
    <cfRule type="cellIs" dxfId="237" priority="10" stopIfTrue="1" operator="equal">
      <formula>25</formula>
    </cfRule>
  </conditionalFormatting>
  <conditionalFormatting sqref="D8:D9">
    <cfRule type="cellIs" dxfId="236" priority="9" stopIfTrue="1" operator="equal">
      <formula>15</formula>
    </cfRule>
  </conditionalFormatting>
  <conditionalFormatting sqref="C10:D13">
    <cfRule type="cellIs" dxfId="235" priority="8" stopIfTrue="1" operator="equal">
      <formula>15</formula>
    </cfRule>
  </conditionalFormatting>
  <conditionalFormatting sqref="D14:D16">
    <cfRule type="cellIs" dxfId="234" priority="6" stopIfTrue="1" operator="equal">
      <formula>30</formula>
    </cfRule>
  </conditionalFormatting>
  <conditionalFormatting sqref="C90">
    <cfRule type="expression" dxfId="233" priority="3" stopIfTrue="1">
      <formula>$H$88&lt;&gt;"仅含出让金"</formula>
    </cfRule>
  </conditionalFormatting>
  <conditionalFormatting sqref="C91">
    <cfRule type="expression" dxfId="232" priority="2" stopIfTrue="1">
      <formula>$H$91="由企业提供"</formula>
    </cfRule>
  </conditionalFormatting>
  <conditionalFormatting sqref="E36">
    <cfRule type="expression" dxfId="231"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"100%,80%,60%,64%"</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503" t="str">
        <f>项目基本情况!B1</f>
        <v>北京市预评估</v>
      </c>
      <c r="C37" s="3503"/>
      <c r="D37" s="3503"/>
      <c r="E37" s="3503"/>
      <c r="F37" s="3503"/>
      <c r="G37" s="3503"/>
      <c r="H37" s="3503"/>
      <c r="I37" s="3503"/>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 ca="1">项目基本情况!K4</f>
        <v>梁津（注册号：1119970066)、陈颖（注册号：0)</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Normal="70" zoomScaleSheetLayoutView="100" workbookViewId="0">
      <selection activeCell="L24" sqref="L24"/>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4"/>
      <c r="C1" s="204"/>
      <c r="D1" s="204"/>
      <c r="E1" s="204"/>
      <c r="F1" s="204"/>
      <c r="G1" s="1288">
        <f>MATCH(B1,'数据-取费表'!A6:A16,0)+5</f>
        <v>13</v>
      </c>
    </row>
    <row r="2" spans="1:9" s="206" customFormat="1" ht="18" customHeight="1">
      <c r="A2" s="207" t="s">
        <v>2148</v>
      </c>
      <c r="B2" s="208">
        <f ca="1">IF(D2="——",C52,C52-E2)</f>
        <v>179557</v>
      </c>
      <c r="C2" s="205" t="s">
        <v>2149</v>
      </c>
      <c r="D2" s="2039" t="s">
        <v>70</v>
      </c>
      <c r="E2" s="1331" t="e">
        <f ca="1">SUMIF(INDIRECT("'"&amp;G2&amp;"'"&amp;"!A:A"),"承租人权益价值",INDIRECT("'"&amp;G2&amp;"'"&amp;"!c:c"))</f>
        <v>#REF!</v>
      </c>
      <c r="F2" s="2040" t="s">
        <v>2149</v>
      </c>
      <c r="G2" s="2041"/>
    </row>
    <row r="3" spans="1:9" s="206" customFormat="1" ht="18" customHeight="1" thickBot="1">
      <c r="A3" s="209" t="s">
        <v>2150</v>
      </c>
      <c r="B3" s="210">
        <f ca="1">ROUND(B2*10000/(IF(B1="",'数据-汇总表'!E3,INDIRECT("'数据-取费表'!k"&amp;$G$1))),0)</f>
        <v>37652</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 ca="1">C6+C7+C8</f>
        <v>117563</v>
      </c>
      <c r="D5" s="217" t="s">
        <v>2155</v>
      </c>
      <c r="E5" s="218" t="s">
        <v>2156</v>
      </c>
      <c r="F5" s="218" t="s">
        <v>2157</v>
      </c>
      <c r="G5" s="219"/>
    </row>
    <row r="6" spans="1:9" s="220" customFormat="1" ht="13.5" customHeight="1">
      <c r="A6" s="886" t="s">
        <v>2158</v>
      </c>
      <c r="B6" s="221" t="s">
        <v>2159</v>
      </c>
      <c r="C6" s="222">
        <f ca="1">'基准地价（汇总）'!B2</f>
        <v>114083</v>
      </c>
      <c r="D6" s="223"/>
      <c r="E6" s="224"/>
      <c r="F6" s="224"/>
      <c r="G6" s="225"/>
    </row>
    <row r="7" spans="1:9" s="220" customFormat="1" ht="13.5" customHeight="1">
      <c r="A7" s="886" t="s">
        <v>2160</v>
      </c>
      <c r="B7" s="221" t="s">
        <v>2161</v>
      </c>
      <c r="C7" s="226">
        <f ca="1">ROUND(C6*F7,0)</f>
        <v>3480</v>
      </c>
      <c r="D7" s="226"/>
      <c r="E7" s="224"/>
      <c r="F7" s="227">
        <f>IF(项目基本情况!B8="出让",0,'数据-取费表'!B48+'数据-取费表'!B49)</f>
        <v>3.0499999999999999E-2</v>
      </c>
      <c r="G7" s="225"/>
    </row>
    <row r="8" spans="1:9" s="229" customFormat="1">
      <c r="A8" s="886" t="s">
        <v>2162</v>
      </c>
      <c r="B8" s="221" t="s">
        <v>2163</v>
      </c>
      <c r="C8" s="226">
        <f>IF(G8="已包含在土地购买价格中","0",IF(B1="",'数据-取费表'!B29,IF(G9="全部缴纳",C9+C10,H9)))</f>
        <v>0</v>
      </c>
      <c r="D8" s="228"/>
      <c r="E8" s="226"/>
      <c r="F8" s="227"/>
      <c r="G8" s="2042" t="s">
        <v>3104</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160</v>
      </c>
      <c r="F9" s="227"/>
      <c r="G9" s="2043" t="s">
        <v>3105</v>
      </c>
      <c r="H9" s="1299"/>
      <c r="I9" s="2044" t="s">
        <v>2165</v>
      </c>
    </row>
    <row r="10" spans="1:9" s="220" customFormat="1" ht="13.5" customHeight="1">
      <c r="A10" s="887" t="s">
        <v>801</v>
      </c>
      <c r="B10" s="230" t="s">
        <v>2166</v>
      </c>
      <c r="C10" s="231">
        <f ca="1">ROUND(D10*E10/10000,0)</f>
        <v>954</v>
      </c>
      <c r="D10" s="954">
        <f ca="1">IF(B1="",'数据-汇总表'!E6,IF(INDIRECT("'数据-取费表'!c"&amp;$G$1)="住宅",INDIRECT("'数据-取费表'!s"&amp;$G$1),INDIRECT("'数据-取费表'!k"&amp;$G$1)+INDIRECT("'数据-取费表'!s"&amp;$G$1)))</f>
        <v>47689.05</v>
      </c>
      <c r="E10" s="231">
        <f>'数据-取费表'!B28</f>
        <v>200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47689.05</v>
      </c>
      <c r="E19" s="217">
        <f>'数据-取费表'!B31</f>
        <v>200</v>
      </c>
      <c r="F19" s="237"/>
      <c r="G19" s="2042" t="s">
        <v>3106</v>
      </c>
    </row>
    <row r="20" spans="1:7" s="220" customFormat="1" ht="13.5" customHeight="1">
      <c r="A20" s="261" t="s">
        <v>2179</v>
      </c>
      <c r="B20" s="216" t="s">
        <v>2180</v>
      </c>
      <c r="C20" s="238">
        <f ca="1">ROUND((C5+C19)*F20,0)</f>
        <v>2351</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4">
        <f ca="1">ROUND(SUM(C23:C25),0)</f>
        <v>12791</v>
      </c>
      <c r="D22" s="241">
        <f ca="1">C26</f>
        <v>1.1000000000000001E-3</v>
      </c>
      <c r="E22" s="242" t="s">
        <v>2184</v>
      </c>
      <c r="F22" s="243">
        <f ca="1">'数据-取费表'!B40</f>
        <v>5.2499999999999998E-2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12668</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123</v>
      </c>
      <c r="D25" s="244"/>
      <c r="E25" s="247"/>
      <c r="F25" s="245"/>
      <c r="G25" s="248" t="s">
        <v>2196</v>
      </c>
    </row>
    <row r="26" spans="1:7" s="220" customFormat="1">
      <c r="A26" s="888" t="s">
        <v>795</v>
      </c>
      <c r="B26" s="221" t="s">
        <v>2197</v>
      </c>
      <c r="C26" s="244">
        <f ca="1">ROUND(IF('数据-取费表'!B22&lt;=1,F21*F22*'数据-取费表'!B23/2,F21*(POWER((1+F22),'数据-取费表'!B23/2)-1)),4)</f>
        <v>1.1000000000000001E-3</v>
      </c>
      <c r="D26" s="244"/>
      <c r="E26" s="247"/>
      <c r="F26" s="245"/>
      <c r="G26" s="249"/>
    </row>
    <row r="27" spans="1:7" s="220" customFormat="1" ht="24.75">
      <c r="A27" s="261" t="s">
        <v>2198</v>
      </c>
      <c r="B27" s="250" t="s">
        <v>2199</v>
      </c>
      <c r="C27" s="251">
        <f ca="1">C28</f>
        <v>22784</v>
      </c>
      <c r="D27" s="241">
        <f ca="1">C29</f>
        <v>3.8E-3</v>
      </c>
      <c r="E27" s="242" t="s">
        <v>2200</v>
      </c>
      <c r="F27" s="252">
        <f ca="1">IF(B1="",'数据-取费表'!Q16,INDIRECT("'数据-取费表'!q"&amp;$G$1))</f>
        <v>0.19</v>
      </c>
      <c r="G27" s="253" t="s">
        <v>2201</v>
      </c>
    </row>
    <row r="28" spans="1:7" s="220" customFormat="1" ht="13.5" customHeight="1">
      <c r="A28" s="888" t="s">
        <v>791</v>
      </c>
      <c r="B28" s="254" t="s">
        <v>2202</v>
      </c>
      <c r="C28" s="255">
        <f ca="1">ROUND((C5+C19+C20)*F27*'数据-取费表'!B21/'数据-取费表'!B20,0)</f>
        <v>22784</v>
      </c>
      <c r="D28" s="241"/>
      <c r="E28" s="242"/>
      <c r="F28" s="252"/>
      <c r="G28" s="253"/>
    </row>
    <row r="29" spans="1:7" s="220" customFormat="1" ht="13.5" customHeight="1">
      <c r="A29" s="888" t="s">
        <v>792</v>
      </c>
      <c r="B29" s="254" t="s">
        <v>2203</v>
      </c>
      <c r="C29" s="244">
        <f ca="1">ROUND(C21*F27*'数据-取费表'!B21/'数据-取费表'!B20,4)</f>
        <v>3.8E-3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168680</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9889</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8550</v>
      </c>
      <c r="D34" s="223"/>
      <c r="E34" s="226"/>
      <c r="F34" s="263">
        <f ca="1">IF('数据-取费表'!B24=0,1,IF(B1="",'数据-取费表'!N16,INDIRECT("'数据-取费表'!n"&amp;$G$1)))</f>
        <v>1</v>
      </c>
      <c r="G34" s="225" t="s">
        <v>2212</v>
      </c>
    </row>
    <row r="35" spans="1:7" ht="13.5" customHeight="1">
      <c r="A35" s="888" t="s">
        <v>796</v>
      </c>
      <c r="B35" s="221" t="s">
        <v>2213</v>
      </c>
      <c r="C35" s="226">
        <f ca="1">ROUND(C34*F35,0)</f>
        <v>257</v>
      </c>
      <c r="D35" s="226"/>
      <c r="E35" s="226"/>
      <c r="F35" s="265">
        <f>'数据-取费表'!B33</f>
        <v>0.03</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8" t="s">
        <v>798</v>
      </c>
      <c r="B37" s="221" t="s">
        <v>2217</v>
      </c>
      <c r="C37" s="255">
        <f ca="1">ROUND(E37*D37*F34/10000,0)</f>
        <v>954</v>
      </c>
      <c r="D37" s="223">
        <f ca="1">D19</f>
        <v>47689.05</v>
      </c>
      <c r="E37" s="255">
        <f>'数据-取费表'!B35</f>
        <v>200</v>
      </c>
      <c r="F37" s="265"/>
      <c r="G37" s="267" t="s">
        <v>2218</v>
      </c>
    </row>
    <row r="38" spans="1:7" ht="13.5" customHeight="1">
      <c r="A38" s="888" t="s">
        <v>799</v>
      </c>
      <c r="B38" s="221" t="s">
        <v>2219</v>
      </c>
      <c r="C38" s="226">
        <f ca="1">ROUND(C34*F38,0)</f>
        <v>128</v>
      </c>
      <c r="D38" s="226"/>
      <c r="E38" s="226"/>
      <c r="F38" s="265">
        <f>'数据-取费表'!B36</f>
        <v>1.4999999999999999E-2</v>
      </c>
      <c r="G38" s="225" t="s">
        <v>2214</v>
      </c>
    </row>
    <row r="39" spans="1:7" s="220" customFormat="1" ht="13.5" customHeight="1">
      <c r="A39" s="261" t="s">
        <v>2220</v>
      </c>
      <c r="B39" s="216" t="s">
        <v>2221</v>
      </c>
      <c r="C39" s="238">
        <f ca="1">ROUND(C33*F20,0)</f>
        <v>198</v>
      </c>
      <c r="D39" s="238"/>
      <c r="E39" s="238"/>
      <c r="F39" s="2535">
        <f>F20</f>
        <v>0.02</v>
      </c>
      <c r="G39" s="240" t="s">
        <v>2222</v>
      </c>
    </row>
    <row r="40" spans="1:7" s="220" customFormat="1" ht="13.5" customHeight="1">
      <c r="A40" s="261" t="s">
        <v>2223</v>
      </c>
      <c r="B40" s="216" t="s">
        <v>2224</v>
      </c>
      <c r="C40" s="1495">
        <f>F21</f>
        <v>0.02</v>
      </c>
      <c r="D40" s="242" t="s">
        <v>2225</v>
      </c>
      <c r="E40" s="238"/>
      <c r="F40" s="2535">
        <f>F21</f>
        <v>0.02</v>
      </c>
      <c r="G40" s="240" t="s">
        <v>2226</v>
      </c>
    </row>
    <row r="41" spans="1:7" s="220" customFormat="1" ht="13.5" customHeight="1">
      <c r="A41" s="261" t="s">
        <v>2227</v>
      </c>
      <c r="B41" s="216" t="s">
        <v>2228</v>
      </c>
      <c r="C41" s="238">
        <f ca="1">ROUND(SUM(C42:C43),0)</f>
        <v>529</v>
      </c>
      <c r="D41" s="241">
        <f ca="1">C44</f>
        <v>1.1000000000000001E-3</v>
      </c>
      <c r="E41" s="242" t="s">
        <v>2225</v>
      </c>
      <c r="F41" s="2536">
        <f ca="1">F22</f>
        <v>5.2499999999999998E-2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519</v>
      </c>
      <c r="D42" s="244"/>
      <c r="E42" s="244"/>
      <c r="F42" s="245"/>
      <c r="G42" s="3732" t="s">
        <v>2230</v>
      </c>
    </row>
    <row r="43" spans="1:7" ht="13.5" customHeight="1">
      <c r="A43" s="888" t="s">
        <v>792</v>
      </c>
      <c r="B43" s="221" t="s">
        <v>2231</v>
      </c>
      <c r="C43" s="244">
        <f ca="1">ROUND(IF('数据-取费表'!B22&lt;=1,C39*F22*'数据-取费表'!B21/2,C39*(POWER((1+F22),'数据-取费表'!B21/2)-1)),0)</f>
        <v>10</v>
      </c>
      <c r="D43" s="244"/>
      <c r="E43" s="244"/>
      <c r="F43" s="245"/>
      <c r="G43" s="3733"/>
    </row>
    <row r="44" spans="1:7" ht="13.5" customHeight="1">
      <c r="A44" s="888" t="s">
        <v>793</v>
      </c>
      <c r="B44" s="221" t="s">
        <v>2232</v>
      </c>
      <c r="C44" s="244">
        <f ca="1">ROUND(IF('数据-取费表'!B22&lt;=1,C40*F22*'数据-取费表'!B21/2,C40*(POWER((1+F22),'数据-取费表'!B21/2)-1)),4)</f>
        <v>1.1000000000000001E-3</v>
      </c>
      <c r="D44" s="244"/>
      <c r="E44" s="244"/>
      <c r="F44" s="245"/>
      <c r="G44" s="3734"/>
    </row>
    <row r="45" spans="1:7" s="220" customFormat="1" ht="13.5" customHeight="1">
      <c r="A45" s="261" t="s">
        <v>2233</v>
      </c>
      <c r="B45" s="250" t="s">
        <v>2199</v>
      </c>
      <c r="C45" s="251">
        <f ca="1">C46</f>
        <v>1917</v>
      </c>
      <c r="D45" s="241">
        <f ca="1">C47</f>
        <v>3.8E-3</v>
      </c>
      <c r="E45" s="242" t="s">
        <v>2225</v>
      </c>
      <c r="F45" s="2537">
        <f ca="1">F27</f>
        <v>0.19</v>
      </c>
      <c r="G45" s="253" t="s">
        <v>2234</v>
      </c>
    </row>
    <row r="46" spans="1:7" s="220" customFormat="1" ht="13.5" customHeight="1">
      <c r="A46" s="888" t="s">
        <v>791</v>
      </c>
      <c r="B46" s="254" t="s">
        <v>2235</v>
      </c>
      <c r="C46" s="255">
        <f ca="1">ROUND((C33+C39)*F27,0)</f>
        <v>1917</v>
      </c>
      <c r="D46" s="269"/>
      <c r="E46" s="242"/>
      <c r="F46" s="252"/>
      <c r="G46" s="253"/>
    </row>
    <row r="47" spans="1:7" s="220" customFormat="1" ht="13.5" customHeight="1">
      <c r="A47" s="888" t="s">
        <v>792</v>
      </c>
      <c r="B47" s="254" t="s">
        <v>2236</v>
      </c>
      <c r="C47" s="244">
        <f ca="1">ROUND(C40*F27,4)</f>
        <v>3.8E-3</v>
      </c>
      <c r="D47" s="269"/>
      <c r="E47" s="242"/>
      <c r="F47" s="252"/>
      <c r="G47" s="253"/>
    </row>
    <row r="48" spans="1:7" s="220" customFormat="1" ht="13.5" customHeight="1">
      <c r="A48" s="261" t="s">
        <v>2198</v>
      </c>
      <c r="B48" s="216" t="s">
        <v>2237</v>
      </c>
      <c r="C48" s="1495">
        <f>ROUND(F30/(1+'数据-取费表'!C42),4)</f>
        <v>5.33E-2</v>
      </c>
      <c r="D48" s="242" t="s">
        <v>2225</v>
      </c>
      <c r="E48" s="238"/>
      <c r="F48" s="2536">
        <f>F30</f>
        <v>5.6000000000000001E-2</v>
      </c>
      <c r="G48" s="240" t="s">
        <v>2238</v>
      </c>
    </row>
    <row r="49" spans="1:7" ht="16.5" customHeight="1">
      <c r="A49" s="261" t="s">
        <v>2204</v>
      </c>
      <c r="B49" s="216" t="s">
        <v>2239</v>
      </c>
      <c r="C49" s="238">
        <f ca="1">ROUND((C33+C39+C41+C45)/(1-C40-D41-D45-C48),0)</f>
        <v>13596</v>
      </c>
      <c r="D49" s="238"/>
      <c r="E49" s="238"/>
      <c r="F49" s="270"/>
      <c r="G49" s="240" t="s">
        <v>2240</v>
      </c>
    </row>
    <row r="50" spans="1:7" s="264" customFormat="1" ht="24">
      <c r="A50" s="261" t="s">
        <v>2241</v>
      </c>
      <c r="B50" s="216" t="s">
        <v>2242</v>
      </c>
      <c r="C50" s="238"/>
      <c r="D50" s="238"/>
      <c r="E50" s="238"/>
      <c r="F50" s="270">
        <f>IF('数据-取费表'!B24=0,'数据-取费表'!N16,1)</f>
        <v>0.8</v>
      </c>
      <c r="G50" s="253" t="s">
        <v>2243</v>
      </c>
    </row>
    <row r="51" spans="1:7" ht="16.5" customHeight="1">
      <c r="A51" s="261" t="s">
        <v>2244</v>
      </c>
      <c r="B51" s="216" t="s">
        <v>2245</v>
      </c>
      <c r="C51" s="238">
        <f ca="1">ROUND(C49*F50,0)</f>
        <v>10877</v>
      </c>
      <c r="D51" s="238"/>
      <c r="E51" s="238"/>
      <c r="F51" s="270"/>
      <c r="G51" s="240" t="s">
        <v>2246</v>
      </c>
    </row>
    <row r="52" spans="1:7" s="214" customFormat="1" ht="16.5" thickBot="1">
      <c r="A52" s="271" t="s">
        <v>2247</v>
      </c>
      <c r="B52" s="272"/>
      <c r="C52" s="273">
        <f ca="1">C31+C51</f>
        <v>179557</v>
      </c>
      <c r="D52" s="272"/>
      <c r="E52" s="272"/>
      <c r="F52" s="272"/>
      <c r="G52" s="274"/>
    </row>
    <row r="55" spans="1:7" ht="15">
      <c r="B55" s="276" t="s">
        <v>2248</v>
      </c>
      <c r="C55" s="277"/>
    </row>
    <row r="56" spans="1:7">
      <c r="B56" s="279" t="s">
        <v>1478</v>
      </c>
      <c r="C56" s="281">
        <f ca="1">1-C57</f>
        <v>0.93900000000000006</v>
      </c>
    </row>
    <row r="57" spans="1:7">
      <c r="B57" s="279" t="s">
        <v>1479</v>
      </c>
      <c r="C57" s="280">
        <f ca="1">ROUND(C51/C52,3)</f>
        <v>6.0999999999999999E-2</v>
      </c>
    </row>
  </sheetData>
  <sheetProtection password="CEE9" sheet="1" objects="1" scenarios="1" formatCells="0"/>
  <mergeCells count="1">
    <mergeCell ref="G42:G44"/>
  </mergeCells>
  <phoneticPr fontId="141"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4"/>
      <c r="C1" s="2045" t="s">
        <v>2249</v>
      </c>
      <c r="D1" s="204"/>
      <c r="E1" s="204"/>
      <c r="F1" s="204"/>
      <c r="G1" s="1288">
        <f>MATCH(B1,'数据-取费表'!A6:A16,0)+5</f>
        <v>13</v>
      </c>
      <c r="H1" s="1192" t="str">
        <f>IF(ISERROR(FIND("住宅",B1)),"非住宅","住宅")</f>
        <v>非住宅</v>
      </c>
    </row>
    <row r="2" spans="1:8" s="206" customFormat="1" ht="18" customHeight="1">
      <c r="A2" s="207" t="s">
        <v>2148</v>
      </c>
      <c r="B2" s="208">
        <f ca="1">ROUND(IF(D2="——",C52/10000,C52/10000-E2),0)</f>
        <v>13613</v>
      </c>
      <c r="C2" s="205" t="s">
        <v>2149</v>
      </c>
      <c r="D2" s="2039" t="s">
        <v>70</v>
      </c>
      <c r="E2" s="1331" t="e">
        <f ca="1">SUMIF(INDIRECT("'"&amp;G2&amp;"'"&amp;"!A:A"),"承租人权益价值",INDIRECT("'"&amp;G2&amp;"'"&amp;"!c:c"))</f>
        <v>#REF!</v>
      </c>
      <c r="F2" s="2040" t="s">
        <v>2149</v>
      </c>
      <c r="G2" s="2041"/>
    </row>
    <row r="3" spans="1:8" s="206" customFormat="1" ht="18" customHeight="1" thickBot="1">
      <c r="A3" s="209" t="s">
        <v>2150</v>
      </c>
      <c r="B3" s="210">
        <f ca="1">ROUND(B2*10000/(IF(B1="",'数据-汇总表'!E3,INDIRECT("'数据-取费表'!k"&amp;$G$1))),0)</f>
        <v>2855</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9537810</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9537810</v>
      </c>
      <c r="D8" s="228"/>
      <c r="E8" s="226"/>
      <c r="F8" s="227"/>
      <c r="G8" s="2042"/>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2166</v>
      </c>
      <c r="C10" s="231">
        <f ca="1">ROUND(D10*E10,0)</f>
        <v>9537810</v>
      </c>
      <c r="D10" s="954">
        <f ca="1">IF(B1="",'数据-汇总表'!E6,IF(INDIRECT("'数据-取费表'!c"&amp;$G$1)="住宅",INDIRECT("'数据-取费表'!s"&amp;$G$1),INDIRECT("'数据-取费表'!k"&amp;$G$1)+INDIRECT("'数据-取费表'!s"&amp;$G$1)))</f>
        <v>47689.05</v>
      </c>
      <c r="E10" s="231">
        <f>'数据-取费表'!B28</f>
        <v>200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9537810</v>
      </c>
      <c r="D19" s="958">
        <f ca="1">D9+D10</f>
        <v>47689.05</v>
      </c>
      <c r="E19" s="217">
        <f>'数据-取费表'!B31</f>
        <v>200</v>
      </c>
      <c r="F19" s="237"/>
      <c r="G19" s="2042"/>
    </row>
    <row r="20" spans="1:7" s="220" customFormat="1" ht="13.5" customHeight="1">
      <c r="A20" s="261" t="s">
        <v>2260</v>
      </c>
      <c r="B20" s="216" t="s">
        <v>2261</v>
      </c>
      <c r="C20" s="238">
        <f ca="1">ROUND((C5+C19)*F20,0)</f>
        <v>381512</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9">
        <f ca="1">ROUND(SUM(C23:C25),0)</f>
        <v>2075547</v>
      </c>
      <c r="D22" s="241">
        <f ca="1">C26</f>
        <v>1.1000000000000001E-3</v>
      </c>
      <c r="E22" s="242" t="s">
        <v>2265</v>
      </c>
      <c r="F22" s="243">
        <f ca="1">'数据-取费表'!B40</f>
        <v>5.2499999999999998E-2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1027759</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1027759</v>
      </c>
      <c r="D24" s="244"/>
      <c r="E24" s="244"/>
      <c r="F24" s="245"/>
      <c r="G24" s="246" t="s">
        <v>2272</v>
      </c>
    </row>
    <row r="25" spans="1:7" s="220" customFormat="1" ht="24">
      <c r="A25" s="888" t="s">
        <v>2162</v>
      </c>
      <c r="B25" s="221" t="s">
        <v>2273</v>
      </c>
      <c r="C25" s="1290">
        <f ca="1">ROUND(IF('数据-取费表'!B22&lt;=1,C20*F22*'数据-取费表'!B22/2,C20*(POWER((1+F22),'数据-取费表'!B22/2)-1)),0)</f>
        <v>20029</v>
      </c>
      <c r="D25" s="244"/>
      <c r="E25" s="247"/>
      <c r="F25" s="245"/>
      <c r="G25" s="248" t="s">
        <v>2274</v>
      </c>
    </row>
    <row r="26" spans="1:7" s="220" customFormat="1">
      <c r="A26" s="888" t="s">
        <v>795</v>
      </c>
      <c r="B26" s="221" t="s">
        <v>2197</v>
      </c>
      <c r="C26" s="244">
        <f ca="1">ROUND(IF('数据-取费表'!B22&lt;=1,F21*F22*'数据-取费表'!B22/2,F21*(POWER((1+F22),'数据-取费表'!B22/2)-1)),4)</f>
        <v>1.1000000000000001E-3</v>
      </c>
      <c r="D26" s="244"/>
      <c r="E26" s="247"/>
      <c r="F26" s="245"/>
      <c r="G26" s="249"/>
    </row>
    <row r="27" spans="1:7" s="220" customFormat="1" ht="24.75">
      <c r="A27" s="261" t="s">
        <v>2198</v>
      </c>
      <c r="B27" s="250" t="s">
        <v>2199</v>
      </c>
      <c r="C27" s="251">
        <f ca="1">C28</f>
        <v>3696855</v>
      </c>
      <c r="D27" s="241">
        <f ca="1">C29</f>
        <v>3.8E-3</v>
      </c>
      <c r="E27" s="242" t="s">
        <v>2200</v>
      </c>
      <c r="F27" s="252">
        <f ca="1">IF(B1="",'数据-取费表'!Q16,INDIRECT("'数据-取费表'!q"&amp;$G$1))</f>
        <v>0.19</v>
      </c>
      <c r="G27" s="253" t="s">
        <v>2201</v>
      </c>
    </row>
    <row r="28" spans="1:7" s="220" customFormat="1" ht="13.5" customHeight="1">
      <c r="A28" s="888" t="s">
        <v>791</v>
      </c>
      <c r="B28" s="254" t="s">
        <v>2202</v>
      </c>
      <c r="C28" s="255">
        <f ca="1">ROUND((C5+C19+C20)*F27,0)</f>
        <v>3696855</v>
      </c>
      <c r="D28" s="241"/>
      <c r="E28" s="242"/>
      <c r="F28" s="252"/>
      <c r="G28" s="253"/>
    </row>
    <row r="29" spans="1:7" s="220" customFormat="1" ht="13.5" customHeight="1">
      <c r="A29" s="888" t="s">
        <v>792</v>
      </c>
      <c r="B29" s="254" t="s">
        <v>2203</v>
      </c>
      <c r="C29" s="244">
        <f ca="1">ROUND(C21*F27,4)</f>
        <v>3.8E-3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27369857</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98883993</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85498740</v>
      </c>
      <c r="D34" s="223"/>
      <c r="E34" s="226"/>
      <c r="F34" s="263"/>
      <c r="G34" s="225"/>
    </row>
    <row r="35" spans="1:7" ht="13.5" customHeight="1">
      <c r="A35" s="888" t="s">
        <v>796</v>
      </c>
      <c r="B35" s="221" t="s">
        <v>2213</v>
      </c>
      <c r="C35" s="226">
        <f ca="1">ROUND(C34*F35,0)</f>
        <v>2564962</v>
      </c>
      <c r="D35" s="226"/>
      <c r="E35" s="226"/>
      <c r="F35" s="265">
        <f>'数据-取费表'!B33</f>
        <v>0.03</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9537810</v>
      </c>
      <c r="D37" s="223">
        <f ca="1">D19</f>
        <v>47689.05</v>
      </c>
      <c r="E37" s="255">
        <f>'数据-取费表'!B35</f>
        <v>200</v>
      </c>
      <c r="F37" s="265"/>
      <c r="G37" s="267"/>
    </row>
    <row r="38" spans="1:7" ht="13.5" customHeight="1">
      <c r="A38" s="888" t="s">
        <v>799</v>
      </c>
      <c r="B38" s="221" t="s">
        <v>2219</v>
      </c>
      <c r="C38" s="226">
        <f ca="1">ROUND(C34*F38,0)</f>
        <v>1282481</v>
      </c>
      <c r="D38" s="226"/>
      <c r="E38" s="226"/>
      <c r="F38" s="265">
        <f>'数据-取费表'!B36</f>
        <v>1.4999999999999999E-2</v>
      </c>
      <c r="G38" s="225" t="s">
        <v>2214</v>
      </c>
    </row>
    <row r="39" spans="1:7" s="220" customFormat="1" ht="13.5" customHeight="1">
      <c r="A39" s="261" t="s">
        <v>2220</v>
      </c>
      <c r="B39" s="216" t="s">
        <v>2221</v>
      </c>
      <c r="C39" s="238">
        <f ca="1">ROUND(C33*F20,0)</f>
        <v>1977680</v>
      </c>
      <c r="D39" s="238"/>
      <c r="E39" s="238"/>
      <c r="F39" s="2535">
        <f>F20</f>
        <v>0.02</v>
      </c>
      <c r="G39" s="240" t="s">
        <v>2222</v>
      </c>
    </row>
    <row r="40" spans="1:7" s="220" customFormat="1" ht="13.5" customHeight="1">
      <c r="A40" s="261" t="s">
        <v>2223</v>
      </c>
      <c r="B40" s="216" t="s">
        <v>2224</v>
      </c>
      <c r="C40" s="1495">
        <f>F21</f>
        <v>0.02</v>
      </c>
      <c r="D40" s="242" t="s">
        <v>2225</v>
      </c>
      <c r="E40" s="238"/>
      <c r="F40" s="2535">
        <f>F21</f>
        <v>0.02</v>
      </c>
      <c r="G40" s="240" t="s">
        <v>2226</v>
      </c>
    </row>
    <row r="41" spans="1:7" s="220" customFormat="1" ht="13.5" customHeight="1">
      <c r="A41" s="261" t="s">
        <v>2227</v>
      </c>
      <c r="B41" s="216" t="s">
        <v>2228</v>
      </c>
      <c r="C41" s="238">
        <f ca="1">ROUND(SUM(C42:C43),0)</f>
        <v>5295238</v>
      </c>
      <c r="D41" s="241">
        <f ca="1">C44</f>
        <v>1.1000000000000001E-3</v>
      </c>
      <c r="E41" s="242" t="s">
        <v>2225</v>
      </c>
      <c r="F41" s="2536">
        <f ca="1">F22</f>
        <v>5.2499999999999998E-2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5191410</v>
      </c>
      <c r="D42" s="244"/>
      <c r="E42" s="244"/>
      <c r="F42" s="245"/>
      <c r="G42" s="3732" t="s">
        <v>2277</v>
      </c>
    </row>
    <row r="43" spans="1:7" ht="13.5" customHeight="1">
      <c r="A43" s="888" t="s">
        <v>792</v>
      </c>
      <c r="B43" s="221" t="s">
        <v>2231</v>
      </c>
      <c r="C43" s="244">
        <f ca="1">ROUND(IF('数据-取费表'!B22&lt;=1,C39*F22*'数据-取费表'!B20/2,C39*(POWER((1+F22),'数据-取费表'!B20/2)-1)),0)</f>
        <v>103828</v>
      </c>
      <c r="D43" s="244"/>
      <c r="E43" s="244"/>
      <c r="F43" s="245"/>
      <c r="G43" s="3733"/>
    </row>
    <row r="44" spans="1:7" ht="13.5" customHeight="1">
      <c r="A44" s="888" t="s">
        <v>793</v>
      </c>
      <c r="B44" s="221" t="s">
        <v>2232</v>
      </c>
      <c r="C44" s="244">
        <f ca="1">ROUND(IF('数据-取费表'!B22&lt;=1,C40*F22*'数据-取费表'!B20/2,C40*(POWER((1+F22),'数据-取费表'!B20/2)-1)),4)</f>
        <v>1.1000000000000001E-3</v>
      </c>
      <c r="D44" s="244"/>
      <c r="E44" s="244"/>
      <c r="F44" s="245"/>
      <c r="G44" s="3734"/>
    </row>
    <row r="45" spans="1:7" s="220" customFormat="1" ht="13.5" customHeight="1">
      <c r="A45" s="261" t="s">
        <v>2233</v>
      </c>
      <c r="B45" s="250" t="s">
        <v>2199</v>
      </c>
      <c r="C45" s="251">
        <f ca="1">C46</f>
        <v>19163718</v>
      </c>
      <c r="D45" s="241">
        <f ca="1">C47</f>
        <v>3.8E-3</v>
      </c>
      <c r="E45" s="242" t="s">
        <v>2225</v>
      </c>
      <c r="F45" s="2537">
        <f ca="1">F27</f>
        <v>0.19</v>
      </c>
      <c r="G45" s="253" t="s">
        <v>2234</v>
      </c>
    </row>
    <row r="46" spans="1:7" s="220" customFormat="1" ht="13.5" customHeight="1">
      <c r="A46" s="888" t="s">
        <v>791</v>
      </c>
      <c r="B46" s="254" t="s">
        <v>2235</v>
      </c>
      <c r="C46" s="255">
        <f ca="1">ROUND((C33+C39)*F27,0)</f>
        <v>19163718</v>
      </c>
      <c r="D46" s="269"/>
      <c r="E46" s="242"/>
      <c r="F46" s="252"/>
      <c r="G46" s="253"/>
    </row>
    <row r="47" spans="1:7" s="220" customFormat="1" ht="13.5" customHeight="1">
      <c r="A47" s="888" t="s">
        <v>792</v>
      </c>
      <c r="B47" s="254" t="s">
        <v>2236</v>
      </c>
      <c r="C47" s="244">
        <f ca="1">ROUND(C40*F27,4)</f>
        <v>3.8E-3</v>
      </c>
      <c r="D47" s="269"/>
      <c r="E47" s="242"/>
      <c r="F47" s="252"/>
      <c r="G47" s="253"/>
    </row>
    <row r="48" spans="1:7" s="220" customFormat="1" ht="13.5" customHeight="1">
      <c r="A48" s="261" t="s">
        <v>2198</v>
      </c>
      <c r="B48" s="216" t="s">
        <v>2237</v>
      </c>
      <c r="C48" s="268">
        <f>ROUND(F30/(1+'数据-取费表'!C42),4)</f>
        <v>5.33E-2</v>
      </c>
      <c r="D48" s="242" t="s">
        <v>2225</v>
      </c>
      <c r="E48" s="238"/>
      <c r="F48" s="2536">
        <f>F30</f>
        <v>5.6000000000000001E-2</v>
      </c>
      <c r="G48" s="240" t="s">
        <v>2238</v>
      </c>
    </row>
    <row r="49" spans="1:7" ht="16.5" customHeight="1">
      <c r="A49" s="261" t="s">
        <v>2204</v>
      </c>
      <c r="B49" s="216" t="s">
        <v>2278</v>
      </c>
      <c r="C49" s="238">
        <f ca="1">ROUND((C33+C39+C41+C45)/(1-C40-D41-D45-C48),0)</f>
        <v>135952082</v>
      </c>
      <c r="D49" s="238"/>
      <c r="E49" s="238"/>
      <c r="F49" s="270"/>
      <c r="G49" s="240" t="s">
        <v>2240</v>
      </c>
    </row>
    <row r="50" spans="1:7" s="264" customFormat="1">
      <c r="A50" s="261" t="s">
        <v>2241</v>
      </c>
      <c r="B50" s="216" t="s">
        <v>2242</v>
      </c>
      <c r="C50" s="238"/>
      <c r="D50" s="238"/>
      <c r="E50" s="238"/>
      <c r="F50" s="270">
        <f>IF('数据-取费表'!B24=0,'数据-取费表'!N16,1)</f>
        <v>0.8</v>
      </c>
      <c r="G50" s="253"/>
    </row>
    <row r="51" spans="1:7" ht="16.5" customHeight="1">
      <c r="A51" s="261" t="s">
        <v>2244</v>
      </c>
      <c r="B51" s="216" t="s">
        <v>2279</v>
      </c>
      <c r="C51" s="238">
        <f ca="1">ROUND(C49*F50,0)</f>
        <v>108761666</v>
      </c>
      <c r="D51" s="238"/>
      <c r="E51" s="238"/>
      <c r="F51" s="270"/>
      <c r="G51" s="240" t="s">
        <v>2246</v>
      </c>
    </row>
    <row r="52" spans="1:7" s="214" customFormat="1" ht="16.5" thickBot="1">
      <c r="A52" s="271" t="s">
        <v>2247</v>
      </c>
      <c r="B52" s="272"/>
      <c r="C52" s="273">
        <f ca="1">C31+C51</f>
        <v>136131523</v>
      </c>
      <c r="D52" s="272"/>
      <c r="E52" s="272"/>
      <c r="F52" s="272"/>
      <c r="G52" s="274"/>
    </row>
    <row r="55" spans="1:7" ht="15">
      <c r="B55" s="276" t="s">
        <v>2248</v>
      </c>
      <c r="C55" s="277"/>
    </row>
    <row r="56" spans="1:7">
      <c r="B56" s="279" t="s">
        <v>1478</v>
      </c>
      <c r="C56" s="281">
        <f ca="1">1-C57</f>
        <v>0.20099999999999996</v>
      </c>
    </row>
    <row r="57" spans="1:7">
      <c r="B57" s="279" t="s">
        <v>1479</v>
      </c>
      <c r="C57" s="280">
        <f ca="1">ROUND(C51/C52,3)</f>
        <v>0.79900000000000004</v>
      </c>
    </row>
  </sheetData>
  <sheetProtection password="CEE9" sheet="1" objects="1" scenarios="1" formatCells="0"/>
  <mergeCells count="1">
    <mergeCell ref="G42:G44"/>
  </mergeCells>
  <phoneticPr fontId="141"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topLeftCell="D1" zoomScaleNormal="70" zoomScaleSheetLayoutView="10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5"/>
      <c r="F1" s="3035"/>
      <c r="G1" s="2898"/>
      <c r="H1" s="3035"/>
      <c r="I1" s="3035"/>
      <c r="J1" s="3035"/>
      <c r="K1" s="3036">
        <f>MATCH(C1,'数据-取费表'!A6:A16,0)+5</f>
        <v>13</v>
      </c>
    </row>
    <row r="2" spans="1:33" ht="18" customHeight="1">
      <c r="A2" s="207" t="s">
        <v>2148</v>
      </c>
      <c r="B2" s="210">
        <f ca="1">C32</f>
        <v>-1125</v>
      </c>
      <c r="C2" s="282" t="s">
        <v>2281</v>
      </c>
      <c r="D2" s="282"/>
      <c r="E2" s="3035"/>
      <c r="F2" s="3035"/>
      <c r="G2" s="3035"/>
      <c r="H2" s="3035"/>
      <c r="I2" s="3035"/>
      <c r="J2" s="3035"/>
      <c r="K2" s="3035"/>
    </row>
    <row r="3" spans="1:33" ht="18" customHeight="1" thickBot="1">
      <c r="A3" s="209" t="s">
        <v>2150</v>
      </c>
      <c r="B3" s="210">
        <f ca="1">ROUND(B2*10000/IF(C1="",'数据-汇总表'!E3,INDIRECT("'数据-取费表'!K"&amp;$K$1)),0)</f>
        <v>-236</v>
      </c>
      <c r="C3" s="282" t="s">
        <v>2282</v>
      </c>
      <c r="D3" s="282"/>
      <c r="E3" s="3035"/>
      <c r="F3" s="3035"/>
      <c r="G3" s="3035"/>
      <c r="H3" s="3035"/>
      <c r="I3" s="3035"/>
      <c r="J3" s="3035"/>
      <c r="K3" s="3035"/>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6" t="s">
        <v>2286</v>
      </c>
      <c r="D5" s="2046" t="s">
        <v>2287</v>
      </c>
      <c r="E5" s="2046" t="s">
        <v>2288</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5444.8200000000006</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0.03</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47689.05</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47689.05</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954</v>
      </c>
      <c r="D18" s="955"/>
      <c r="E18" s="24"/>
      <c r="F18" s="913"/>
      <c r="G18" s="2048"/>
      <c r="H18" s="1349"/>
      <c r="I18" s="2049"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2316</v>
      </c>
      <c r="C20" s="24">
        <f ca="1">ROUND(D20*E20/10000,0)</f>
        <v>954</v>
      </c>
      <c r="D20" s="955">
        <f ca="1">IF(C1="",'数据-汇总表'!E6,IF(INDIRECT("'数据-取费表'!c"&amp;$K$1)="住宅",INDIRECT("'数据-取费表'!s"&amp;$K$1),INDIRECT("'数据-取费表'!k"&amp;$K$1)+INDIRECT("'数据-取费表'!s"&amp;$K$1)))</f>
        <v>47689.05</v>
      </c>
      <c r="E20" s="24">
        <f>'数据-取费表'!B28</f>
        <v>200</v>
      </c>
      <c r="F20" s="913"/>
      <c r="G20" s="15"/>
      <c r="H20" s="918"/>
      <c r="I20" s="918"/>
      <c r="J20" s="918"/>
      <c r="K20" s="919"/>
    </row>
    <row r="21" spans="1:33" s="912" customFormat="1" ht="13.5" customHeight="1">
      <c r="A21" s="898" t="s">
        <v>802</v>
      </c>
      <c r="B21" s="922" t="s">
        <v>2317</v>
      </c>
      <c r="C21" s="923">
        <f ca="1">C16+C17+C18</f>
        <v>954</v>
      </c>
      <c r="D21" s="924"/>
      <c r="E21" s="287"/>
      <c r="F21" s="287"/>
      <c r="G21" s="136" t="s">
        <v>2318</v>
      </c>
      <c r="H21" s="916"/>
      <c r="I21" s="916"/>
      <c r="J21" s="916"/>
      <c r="K21" s="917"/>
    </row>
    <row r="22" spans="1:33" s="912" customFormat="1" ht="13.5" customHeight="1">
      <c r="A22" s="898" t="s">
        <v>2290</v>
      </c>
      <c r="B22" s="922" t="s">
        <v>2319</v>
      </c>
      <c r="C22" s="923">
        <f ca="1">ROUND(C21*F22,0)</f>
        <v>19</v>
      </c>
      <c r="D22" s="287"/>
      <c r="E22" s="287"/>
      <c r="F22" s="925">
        <f>'数据-取费表'!B37</f>
        <v>0.02</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0.02</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5.2499999999999998E-2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2330</v>
      </c>
      <c r="B28" s="2051" t="s">
        <v>2331</v>
      </c>
      <c r="C28" s="293">
        <f ca="1">C30</f>
        <v>185</v>
      </c>
      <c r="D28" s="286">
        <f ca="1">C29</f>
        <v>0</v>
      </c>
      <c r="E28" s="288" t="s">
        <v>15</v>
      </c>
      <c r="F28" s="294">
        <f ca="1">IF(C1="",'数据-取费表'!Q16,INDIRECT("'数据-取费表'!q"&amp;$K$1))</f>
        <v>0.19</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185</v>
      </c>
      <c r="D30" s="290"/>
      <c r="E30" s="291"/>
      <c r="F30" s="296"/>
      <c r="G30" s="136"/>
      <c r="H30" s="916"/>
      <c r="I30" s="916"/>
      <c r="J30" s="916"/>
      <c r="K30" s="917"/>
    </row>
    <row r="31" spans="1:33" s="912" customFormat="1" ht="13.5" customHeight="1" thickBot="1">
      <c r="A31" s="2052" t="s">
        <v>2335</v>
      </c>
      <c r="B31" s="942" t="s">
        <v>2336</v>
      </c>
      <c r="C31" s="943">
        <f>ROUND(C4*F31/(1+'数据-取费表'!C42),0)</f>
        <v>0</v>
      </c>
      <c r="D31" s="944"/>
      <c r="E31" s="945"/>
      <c r="F31" s="946">
        <f>'数据-取费表'!B41</f>
        <v>5.6000000000000001E-2</v>
      </c>
      <c r="G31" s="947" t="s">
        <v>2337</v>
      </c>
      <c r="H31" s="948"/>
      <c r="I31" s="948"/>
      <c r="J31" s="948"/>
      <c r="K31" s="949"/>
    </row>
    <row r="32" spans="1:33" s="907" customFormat="1" ht="13.5" customHeight="1" thickBot="1">
      <c r="A32" s="937" t="s">
        <v>2338</v>
      </c>
      <c r="B32" s="938"/>
      <c r="C32" s="939">
        <f ca="1">ROUND((C4-C21-C22-C23-C25-C28-C31)/(1+C24+D25+D28),0)</f>
        <v>-1125</v>
      </c>
      <c r="D32" s="938"/>
      <c r="E32" s="938"/>
      <c r="F32" s="938"/>
      <c r="G32" s="940" t="s">
        <v>2339</v>
      </c>
      <c r="H32" s="938"/>
      <c r="I32" s="938"/>
      <c r="J32" s="938"/>
      <c r="K32" s="941"/>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0</v>
      </c>
      <c r="G1" s="1562">
        <f>MATCH(C1,'数据-取费表'!A6:A16,0)+5</f>
        <v>13</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t="e">
        <f ca="1">ROUND(D2/10000,0)</f>
        <v>#DIV/0!</v>
      </c>
      <c r="C2" s="1571" t="s">
        <v>1556</v>
      </c>
      <c r="D2" s="1655" t="e">
        <f ca="1">C40+J29+L46</f>
        <v>#DIV/0!</v>
      </c>
      <c r="E2" s="1572" t="s">
        <v>1557</v>
      </c>
      <c r="F2" s="1573"/>
      <c r="G2" s="2933"/>
      <c r="H2" s="2922"/>
      <c r="I2" s="2922"/>
      <c r="J2" s="2922"/>
      <c r="K2" s="2923"/>
      <c r="L2" s="2922"/>
      <c r="M2" s="2922"/>
    </row>
    <row r="3" spans="1:37" ht="18" customHeight="1" thickBot="1">
      <c r="A3" s="1574" t="s">
        <v>1558</v>
      </c>
      <c r="B3" s="1575">
        <f ca="1">IF(ISERROR(D2/F43),0,ROUND(D2/F43,0))</f>
        <v>0</v>
      </c>
      <c r="C3" s="1571" t="s">
        <v>1559</v>
      </c>
      <c r="D3" s="1571"/>
      <c r="E3" s="1572"/>
      <c r="F3" s="1573"/>
      <c r="G3" s="2933"/>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0</v>
      </c>
      <c r="D5" s="1548" t="s">
        <v>1566</v>
      </c>
      <c r="E5" s="1203"/>
      <c r="F5" s="1204"/>
      <c r="G5" s="1568"/>
      <c r="H5" s="305">
        <v>1</v>
      </c>
      <c r="I5" s="306" t="s">
        <v>1565</v>
      </c>
      <c r="J5" s="1202">
        <f ca="1">J6+J10+J12</f>
        <v>0</v>
      </c>
      <c r="K5" s="1548" t="s">
        <v>1566</v>
      </c>
      <c r="L5" s="1203"/>
      <c r="M5" s="1204"/>
    </row>
    <row r="6" spans="1:37" ht="18" customHeight="1">
      <c r="A6" s="1201" t="s">
        <v>1003</v>
      </c>
      <c r="B6" s="3735" t="s">
        <v>1368</v>
      </c>
      <c r="C6" s="1206">
        <f ca="1">ROUND(F6*F8*F7*(1-F9),0)</f>
        <v>0</v>
      </c>
      <c r="D6" s="160" t="s">
        <v>2844</v>
      </c>
      <c r="E6" s="308" t="s">
        <v>1370</v>
      </c>
      <c r="F6" s="309">
        <f ca="1">INDIRECT("'数据-取费表'!u"&amp;$G$1)</f>
        <v>0</v>
      </c>
      <c r="G6" s="1568"/>
      <c r="H6" s="1201" t="s">
        <v>1003</v>
      </c>
      <c r="I6" s="3735" t="s">
        <v>1368</v>
      </c>
      <c r="J6" s="307">
        <f ca="1">ROUND(M6*M8*M7*(1-M9),0)</f>
        <v>0</v>
      </c>
      <c r="K6" s="1560" t="s">
        <v>2845</v>
      </c>
      <c r="L6" s="308" t="s">
        <v>1370</v>
      </c>
      <c r="M6" s="309">
        <f ca="1">INDIRECT("'数据-取费表'!z"&amp;$G$1)</f>
        <v>0</v>
      </c>
    </row>
    <row r="7" spans="1:37" ht="18" customHeight="1">
      <c r="A7" s="1205"/>
      <c r="B7" s="3736"/>
      <c r="C7" s="1207"/>
      <c r="D7" s="313"/>
      <c r="E7" s="1208" t="s">
        <v>1371</v>
      </c>
      <c r="F7" s="309">
        <f ca="1">IF(INDIRECT("'数据-取费表'!ah"&amp;$G$1)="",INDIRECT("'数据-取费表'!k"&amp;$G$1),INDIRECT("'数据-取费表'!ah"&amp;$G$1))</f>
        <v>0</v>
      </c>
      <c r="G7" s="1568"/>
      <c r="H7" s="310"/>
      <c r="I7" s="3736"/>
      <c r="J7" s="312"/>
      <c r="K7" s="313"/>
      <c r="L7" s="308" t="s">
        <v>1371</v>
      </c>
      <c r="M7" s="309">
        <f ca="1">F7</f>
        <v>0</v>
      </c>
    </row>
    <row r="8" spans="1:37" ht="18" customHeight="1">
      <c r="A8" s="310"/>
      <c r="B8" s="3736"/>
      <c r="C8" s="312"/>
      <c r="D8" s="313"/>
      <c r="E8" s="308" t="s">
        <v>1372</v>
      </c>
      <c r="F8" s="309">
        <f ca="1">INDIRECT("'数据-取费表'!ai"&amp;$G$1)</f>
        <v>0</v>
      </c>
      <c r="G8" s="1568"/>
      <c r="H8" s="310"/>
      <c r="I8" s="3736"/>
      <c r="J8" s="312"/>
      <c r="K8" s="313"/>
      <c r="L8" s="308" t="s">
        <v>1372</v>
      </c>
      <c r="M8" s="309">
        <f ca="1">INDIRECT("'数据-取费表'!ai"&amp;$G$1)</f>
        <v>0</v>
      </c>
    </row>
    <row r="9" spans="1:37" ht="18" customHeight="1">
      <c r="A9" s="310"/>
      <c r="B9" s="3737"/>
      <c r="C9" s="312"/>
      <c r="D9" s="313"/>
      <c r="E9" s="308" t="s">
        <v>1373</v>
      </c>
      <c r="F9" s="318">
        <f ca="1">INDIRECT("'数据-取费表'!w"&amp;$G$1)</f>
        <v>0</v>
      </c>
      <c r="G9" s="1568"/>
      <c r="H9" s="310"/>
      <c r="I9" s="3737"/>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2854</v>
      </c>
      <c r="E10" s="319" t="s">
        <v>1375</v>
      </c>
      <c r="F10" s="1276"/>
      <c r="G10" s="1568"/>
      <c r="H10" s="1201" t="s">
        <v>1007</v>
      </c>
      <c r="I10" s="1549" t="s">
        <v>1374</v>
      </c>
      <c r="J10" s="307">
        <f ca="1">ROUND(IF(M10="押一",J6/12*M11,IF(M10="押二",J6/12*2*M11,IF(M10="押三",J6/12*3*M11,J11*M11))),0)</f>
        <v>0</v>
      </c>
      <c r="K10" s="1561" t="s">
        <v>2856</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ROUND(F17*(F43+INDIRECT("'数据-取费表'!S"&amp;$G$1)),0)</f>
        <v>0</v>
      </c>
      <c r="D17" s="308" t="s">
        <v>1392</v>
      </c>
      <c r="E17" s="308" t="s">
        <v>1393</v>
      </c>
      <c r="F17" s="26">
        <f>'数据-取费表'!B35</f>
        <v>200</v>
      </c>
      <c r="G17" s="1580"/>
      <c r="H17" s="1113" t="s">
        <v>1003</v>
      </c>
      <c r="I17" s="308" t="s">
        <v>1394</v>
      </c>
      <c r="J17" s="2534">
        <f ca="1">ROUND(IF(AND(项目基本情况!B11="自然人",项目基本情况!B10="北京市"),J6*M17/(1+'数据-取费表'!C42),J18+J19+J20),0)</f>
        <v>0</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0.02</v>
      </c>
      <c r="G20" s="1580"/>
      <c r="H20" s="1113" t="s">
        <v>1354</v>
      </c>
      <c r="I20" s="160" t="s">
        <v>1406</v>
      </c>
      <c r="J20" s="25">
        <f ca="1">ROUND(M20*M21,0)</f>
        <v>0</v>
      </c>
      <c r="K20" s="330" t="s">
        <v>1407</v>
      </c>
      <c r="L20" s="308" t="s">
        <v>1408</v>
      </c>
      <c r="M20" s="331">
        <f>'数据-取费表'!B52</f>
        <v>30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1.1000000000000001E-3</v>
      </c>
      <c r="D24" s="335" t="str">
        <f>IF(F23&lt;=1,"销售费用×利率×(建设周期÷2)","销售费用×((1+利率)^(建设周期÷2)-1)")</f>
        <v>销售费用×((1+利率)^(建设周期÷2)-1)</v>
      </c>
      <c r="E24" s="308" t="s">
        <v>1423</v>
      </c>
      <c r="F24" s="337">
        <f ca="1">'数据-取费表'!B40</f>
        <v>5.2499999999999998E-2</v>
      </c>
      <c r="G24" s="1580"/>
      <c r="H24" s="1249" t="s">
        <v>1358</v>
      </c>
      <c r="I24" s="1250" t="s">
        <v>1404</v>
      </c>
      <c r="J24" s="1251">
        <f ca="1">ROUND(J5*M24,0)</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4"/>
      <c r="I30" s="1582"/>
      <c r="J30" s="1583"/>
      <c r="K30" s="2700"/>
      <c r="L30" s="2925"/>
      <c r="M30" s="2926"/>
    </row>
    <row r="31" spans="1:37" ht="18" customHeight="1">
      <c r="A31" s="1113" t="s">
        <v>1003</v>
      </c>
      <c r="B31" s="308" t="s">
        <v>1394</v>
      </c>
      <c r="C31" s="2534">
        <f ca="1">ROUND(IF(AND(项目基本情况!B11="自然人",项目基本情况!B10="北京市"),C6*F31/(1+'数据-取费表'!C42),C32+C33+C34),0)</f>
        <v>0</v>
      </c>
      <c r="D31" s="1529" t="s">
        <v>1395</v>
      </c>
      <c r="E31" s="1528" t="s">
        <v>1446</v>
      </c>
      <c r="F31" s="2533" t="str">
        <f>IF(项目基本情况!B11="企业","——",IF('数据-取费表'!B10="住宅",IF(F6*F7*F8/12/(1+'数据-取费表'!F30)&gt;100000,4%,2.5%),IF(F6*F7*F8/12/(1+'数据-取费表'!F30)&gt;100000,12%,7%)))</f>
        <v>——</v>
      </c>
      <c r="G31" s="1568"/>
      <c r="H31" s="3037" t="s">
        <v>3051</v>
      </c>
      <c r="I31" s="1582"/>
      <c r="J31" s="1583"/>
      <c r="K31" s="2700"/>
      <c r="L31" s="2925"/>
      <c r="M31" s="2926"/>
    </row>
    <row r="32" spans="1:37" ht="18" customHeight="1">
      <c r="A32" s="1113" t="s">
        <v>1002</v>
      </c>
      <c r="B32" s="308" t="s">
        <v>1398</v>
      </c>
      <c r="C32" s="24">
        <f ca="1">IF(项目基本情况!B11="自然人","——",ROUND(C6*F32/(1+'数据-取费表'!C42),0))</f>
        <v>0</v>
      </c>
      <c r="D32" s="1528" t="s">
        <v>1399</v>
      </c>
      <c r="E32" s="308" t="s">
        <v>1387</v>
      </c>
      <c r="F32" s="337">
        <f>'数据-取费表'!B41</f>
        <v>5.6000000000000001E-2</v>
      </c>
      <c r="G32" s="1568"/>
      <c r="H32" s="2924"/>
      <c r="I32" s="1582"/>
      <c r="J32" s="1583"/>
      <c r="K32" s="2700"/>
      <c r="L32" s="2925"/>
      <c r="M32" s="2926"/>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4" t="s">
        <v>1403</v>
      </c>
      <c r="E33" s="308" t="s">
        <v>1387</v>
      </c>
      <c r="F33" s="328">
        <f>IF(D33="按票据","——",IF(D33="按租金收入计税",'数据-取费表'!B51,'数据-取费表'!B50))</f>
        <v>1.2E-2</v>
      </c>
      <c r="G33" s="1568"/>
      <c r="H33" s="2927"/>
      <c r="I33" s="1582"/>
      <c r="J33" s="1583"/>
      <c r="K33" s="2928"/>
      <c r="L33" s="2927"/>
      <c r="M33" s="2927"/>
    </row>
    <row r="34" spans="1:18" ht="18" customHeight="1">
      <c r="A34" s="1201" t="s">
        <v>1354</v>
      </c>
      <c r="B34" s="160" t="s">
        <v>1406</v>
      </c>
      <c r="C34" s="25">
        <f ca="1">IF(项目基本情况!B11="自然人","——",ROUND(F34*F35,))</f>
        <v>0</v>
      </c>
      <c r="D34" s="330" t="s">
        <v>1407</v>
      </c>
      <c r="E34" s="308" t="s">
        <v>1408</v>
      </c>
      <c r="F34" s="331">
        <f>'数据-取费表'!B52</f>
        <v>30</v>
      </c>
      <c r="G34" s="1568"/>
      <c r="H34" s="2924"/>
      <c r="I34" s="1582"/>
      <c r="J34" s="1583"/>
      <c r="K34" s="2929"/>
      <c r="L34" s="2930"/>
      <c r="M34" s="2930"/>
    </row>
    <row r="35" spans="1:18" ht="18" customHeight="1">
      <c r="A35" s="1263"/>
      <c r="B35" s="1261"/>
      <c r="C35" s="29"/>
      <c r="D35" s="333"/>
      <c r="E35" s="308" t="s">
        <v>1412</v>
      </c>
      <c r="F35" s="309">
        <f ca="1">INDIRECT("'数据-取费表'!r"&amp;$G$1)</f>
        <v>0</v>
      </c>
      <c r="G35" s="1568"/>
      <c r="H35" s="2924"/>
      <c r="I35" s="1582"/>
      <c r="J35" s="1583"/>
      <c r="K35" s="2928"/>
      <c r="L35" s="2927"/>
      <c r="M35" s="2927"/>
    </row>
    <row r="36" spans="1:18" ht="18" customHeight="1">
      <c r="A36" s="1262" t="s">
        <v>1007</v>
      </c>
      <c r="B36" s="308" t="s">
        <v>1414</v>
      </c>
      <c r="C36" s="24">
        <f ca="1">ROUND(C29*F36,0)</f>
        <v>0</v>
      </c>
      <c r="D36" s="1528" t="s">
        <v>1447</v>
      </c>
      <c r="E36" s="308" t="s">
        <v>1387</v>
      </c>
      <c r="F36" s="334">
        <f ca="1">INDIRECT("'数据-取费表'!Ak"&amp;$G$1)</f>
        <v>0</v>
      </c>
      <c r="G36" s="1568"/>
      <c r="H36" s="2927"/>
      <c r="I36" s="1582"/>
      <c r="J36" s="1583"/>
      <c r="K36" s="2768"/>
      <c r="L36" s="2927"/>
      <c r="M36" s="2927"/>
    </row>
    <row r="37" spans="1:18" ht="18" customHeight="1">
      <c r="A37" s="1113" t="s">
        <v>1043</v>
      </c>
      <c r="B37" s="308" t="s">
        <v>1418</v>
      </c>
      <c r="C37" s="24">
        <f ca="1">ROUND(C13*F37,0)</f>
        <v>0</v>
      </c>
      <c r="D37" s="1528" t="s">
        <v>1419</v>
      </c>
      <c r="E37" s="308" t="s">
        <v>1420</v>
      </c>
      <c r="F37" s="336">
        <f ca="1">INDIRECT("'数据-取费表'!Al"&amp;$G$1)</f>
        <v>0</v>
      </c>
      <c r="G37" s="1568"/>
      <c r="H37" s="2927"/>
      <c r="I37" s="1582"/>
      <c r="J37" s="1583"/>
      <c r="K37" s="2768"/>
      <c r="L37" s="2927"/>
      <c r="M37" s="2927"/>
    </row>
    <row r="38" spans="1:18" ht="18" customHeight="1" thickBot="1">
      <c r="A38" s="1249" t="s">
        <v>1358</v>
      </c>
      <c r="B38" s="1250" t="s">
        <v>1404</v>
      </c>
      <c r="C38" s="1251">
        <f ca="1">ROUND(C5*F38,1)</f>
        <v>0</v>
      </c>
      <c r="D38" s="1252" t="s">
        <v>1424</v>
      </c>
      <c r="E38" s="1250" t="s">
        <v>1420</v>
      </c>
      <c r="F38" s="1246">
        <f ca="1">INDIRECT("'数据-取费表'!Am"&amp;$G$1)</f>
        <v>0</v>
      </c>
      <c r="G38" s="1568"/>
      <c r="H38" s="2927"/>
      <c r="I38" s="1582"/>
      <c r="J38" s="1583"/>
      <c r="K38" s="2931"/>
      <c r="L38" s="2927"/>
      <c r="M38" s="2927"/>
    </row>
    <row r="39" spans="1:18" ht="24.6" customHeight="1" thickTop="1">
      <c r="A39" s="1239" t="s">
        <v>999</v>
      </c>
      <c r="B39" s="1254" t="s">
        <v>1448</v>
      </c>
      <c r="C39" s="316">
        <f ca="1">C5-C30</f>
        <v>0</v>
      </c>
      <c r="D39" s="1255" t="s">
        <v>1449</v>
      </c>
      <c r="E39" s="1256"/>
      <c r="F39" s="1257"/>
      <c r="G39" s="1568"/>
      <c r="H39" s="2927"/>
      <c r="I39" s="1582"/>
      <c r="J39" s="1583"/>
      <c r="K39" s="2931"/>
      <c r="L39" s="2927"/>
      <c r="M39" s="2927"/>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31"/>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68"/>
      <c r="L41" s="1353"/>
      <c r="M41" s="1353"/>
    </row>
    <row r="42" spans="1:18" ht="18" customHeight="1">
      <c r="A42" s="314"/>
      <c r="B42" s="315"/>
      <c r="C42" s="316"/>
      <c r="D42" s="333"/>
      <c r="E42" s="308" t="s">
        <v>1442</v>
      </c>
      <c r="F42" s="318">
        <f ca="1">INDIRECT("'数据-取费表'!v"&amp;$G$1)</f>
        <v>0</v>
      </c>
      <c r="G42" s="1568"/>
      <c r="H42" s="1353"/>
      <c r="I42" s="1582"/>
      <c r="J42" s="1583"/>
      <c r="K42" s="2768"/>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8"/>
      <c r="H43" s="1353"/>
      <c r="I43" s="1353"/>
      <c r="J43" s="1353"/>
      <c r="K43" s="2768"/>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5"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111"/>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0</v>
      </c>
      <c r="R52" s="1604" t="s">
        <v>1511</v>
      </c>
    </row>
    <row r="53" spans="1:18" s="1568" customFormat="1" ht="30.75" customHeight="1" thickBot="1">
      <c r="A53" s="1271" t="s">
        <v>1105</v>
      </c>
      <c r="B53" s="329" t="s">
        <v>1374</v>
      </c>
      <c r="C53" s="322">
        <f ca="1">ROUND(IF(F53="押一",C49/12*F11,IF(F53="押二",C49/12*2*F11,IF(F53="押三",C49/12*3*F11,C54*F11))),0)</f>
        <v>0</v>
      </c>
      <c r="D53" s="1550" t="s">
        <v>2857</v>
      </c>
      <c r="E53" s="319" t="s">
        <v>1375</v>
      </c>
      <c r="F53" s="1276"/>
      <c r="I53" s="1623" t="s">
        <v>1512</v>
      </c>
      <c r="J53" s="2386">
        <f ca="1">IF(M47="住宅",IF(D1="——",MAX(J51,L48),MAX(J51,L48-'数据-取费表'!B24)),IF(D1="——",MIN(J51,L48),MIN(J51,L48-'数据-取费表'!B24)))</f>
        <v>0</v>
      </c>
      <c r="K53" s="3738" t="s">
        <v>1513</v>
      </c>
      <c r="L53" s="3739"/>
      <c r="O53" s="1602" t="s">
        <v>1014</v>
      </c>
      <c r="P53" s="1603" t="s">
        <v>1514</v>
      </c>
      <c r="Q53" s="1604" t="e">
        <f ca="1">Q47+Q48</f>
        <v>#DIV/0!</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0</v>
      </c>
      <c r="D59" s="1094" t="s">
        <v>1395</v>
      </c>
      <c r="E59" s="1095" t="s">
        <v>1396</v>
      </c>
      <c r="F59" s="2533"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IF(项目基本情况!B11="自然人","——",IF(D61="按租金收入计税",ROUND(C49*F61/(1+'数据-取费表'!C42),0),IF(D61="按房产原值计税",ROUND(C57*F61*0.7,0),INDIRECT("'数据-取费表'!Aj"&amp;$G$1))))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IF(项目基本情况!B11="自然人","——",ROUND(F62*F63,0))</f>
        <v>0</v>
      </c>
      <c r="D62" s="1096" t="s">
        <v>1462</v>
      </c>
      <c r="E62" s="1081" t="s">
        <v>1463</v>
      </c>
      <c r="F62" s="331">
        <f t="shared" si="0"/>
        <v>30</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ROUND(C48*F66,0)</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f ca="1">F42</f>
        <v>0</v>
      </c>
      <c r="O70" s="1612" t="s">
        <v>1017</v>
      </c>
      <c r="P70" s="1651" t="s">
        <v>1550</v>
      </c>
      <c r="Q70" s="1604">
        <f ca="1">C13</f>
        <v>0</v>
      </c>
      <c r="R70" s="1604" t="s">
        <v>1494</v>
      </c>
    </row>
    <row r="71" spans="1:18" s="1568" customFormat="1" ht="13.5" thickBot="1">
      <c r="A71" s="1102" t="s">
        <v>1001</v>
      </c>
      <c r="B71" s="1103" t="s">
        <v>1452</v>
      </c>
      <c r="C71" s="342" t="e">
        <f ca="1">ROUND(C68/F71,0)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230" priority="4">
      <formula>$L$48&gt;$J$51</formula>
    </cfRule>
  </conditionalFormatting>
  <conditionalFormatting sqref="I55 I60">
    <cfRule type="expression" dxfId="229" priority="5">
      <formula>$J$51&gt;$L$48</formula>
    </cfRule>
  </conditionalFormatting>
  <conditionalFormatting sqref="C11">
    <cfRule type="expression" dxfId="228" priority="3">
      <formula>$F$10="自定义"</formula>
    </cfRule>
  </conditionalFormatting>
  <conditionalFormatting sqref="J11">
    <cfRule type="expression" dxfId="227" priority="2">
      <formula>$M$10="自定义"</formula>
    </cfRule>
  </conditionalFormatting>
  <conditionalFormatting sqref="C54">
    <cfRule type="expression" dxfId="226"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2347</v>
      </c>
      <c r="B1" s="2054"/>
      <c r="C1" s="2054"/>
      <c r="D1" s="2054"/>
      <c r="E1" s="2055"/>
      <c r="F1" s="2934"/>
      <c r="G1" s="1674"/>
      <c r="H1" s="1674"/>
      <c r="I1" s="1674"/>
      <c r="J1" s="1674"/>
      <c r="K1" s="1674"/>
      <c r="L1" s="1674"/>
      <c r="M1" s="1674"/>
      <c r="N1" s="1674"/>
      <c r="O1" s="1674"/>
      <c r="P1" s="1674"/>
      <c r="Q1" s="1674"/>
      <c r="R1" s="1674"/>
      <c r="S1" s="1674"/>
    </row>
    <row r="2" spans="1:22" ht="15.75">
      <c r="A2" s="2056" t="s">
        <v>2148</v>
      </c>
      <c r="B2" s="2057">
        <f ca="1">SUMIF(B6:B13,"&lt;&gt;#ref!",B6:B13)</f>
        <v>0</v>
      </c>
      <c r="C2" s="2058" t="s">
        <v>2340</v>
      </c>
      <c r="D2" s="2059" t="s">
        <v>2341</v>
      </c>
      <c r="E2" s="2831">
        <f>SUM(E6:E13)</f>
        <v>0</v>
      </c>
      <c r="F2" s="2934"/>
      <c r="G2" s="1674"/>
      <c r="H2" s="1674"/>
      <c r="I2" s="1674"/>
      <c r="J2" s="1674"/>
      <c r="K2" s="1674"/>
      <c r="L2" s="1674"/>
      <c r="M2" s="1674"/>
      <c r="N2" s="1674"/>
      <c r="O2" s="1674"/>
      <c r="P2" s="1674"/>
      <c r="Q2" s="1674"/>
      <c r="R2" s="1674"/>
      <c r="S2" s="1674"/>
    </row>
    <row r="3" spans="1:22" ht="15.75">
      <c r="A3" s="2056" t="s">
        <v>1360</v>
      </c>
      <c r="B3" s="2825" t="e">
        <f ca="1">ROUND(B2*10000/E2,0)</f>
        <v>#DIV/0!</v>
      </c>
      <c r="C3" s="2058" t="s">
        <v>2348</v>
      </c>
      <c r="D3" s="2936"/>
      <c r="E3" s="2938"/>
      <c r="F3" s="2934"/>
      <c r="G3" s="1674"/>
      <c r="H3" s="1674"/>
      <c r="I3" s="1674"/>
      <c r="J3" s="1674"/>
      <c r="K3" s="1674"/>
      <c r="L3" s="1674"/>
      <c r="M3" s="1674"/>
      <c r="N3" s="1674"/>
      <c r="O3" s="1674"/>
      <c r="P3" s="1674"/>
      <c r="Q3" s="1674"/>
      <c r="R3" s="1674"/>
      <c r="S3" s="1674"/>
    </row>
    <row r="4" spans="1:22" ht="15.75">
      <c r="A4" s="2939"/>
      <c r="B4" s="2936"/>
      <c r="C4" s="2936"/>
      <c r="D4" s="2936"/>
      <c r="E4" s="2938"/>
      <c r="F4" s="2934"/>
      <c r="G4" s="1674"/>
      <c r="H4" s="1674"/>
      <c r="I4" s="1674"/>
      <c r="J4" s="1674"/>
      <c r="K4" s="1674"/>
      <c r="L4" s="1674"/>
      <c r="M4" s="1674"/>
      <c r="N4" s="1674"/>
      <c r="O4" s="1674"/>
      <c r="P4" s="1674"/>
      <c r="Q4" s="1674"/>
      <c r="R4" s="1674"/>
      <c r="S4" s="1674"/>
    </row>
    <row r="5" spans="1:22" ht="15">
      <c r="A5" s="2827" t="s">
        <v>2342</v>
      </c>
      <c r="B5" s="3740" t="s">
        <v>2343</v>
      </c>
      <c r="C5" s="3741"/>
      <c r="D5" s="2935"/>
      <c r="E5" s="2060" t="s">
        <v>2344</v>
      </c>
      <c r="F5" s="2061" t="s">
        <v>2345</v>
      </c>
      <c r="G5" s="1674"/>
      <c r="H5" s="1674"/>
      <c r="I5" s="1674"/>
      <c r="J5" s="1674"/>
      <c r="K5" s="1674"/>
      <c r="L5" s="1674"/>
      <c r="M5" s="1674"/>
      <c r="N5" s="1674"/>
      <c r="O5" s="1674"/>
      <c r="P5" s="1674"/>
      <c r="Q5" s="1674"/>
      <c r="R5" s="1674"/>
      <c r="S5" s="1674"/>
    </row>
    <row r="6" spans="1:22">
      <c r="A6" s="2828">
        <f>'数据-取费表'!AN6</f>
        <v>0</v>
      </c>
      <c r="B6" s="2826" t="e">
        <f ca="1">IF(F6="是",'数据-取费表'!AO6,0)</f>
        <v>#REF!</v>
      </c>
      <c r="C6" s="2058" t="s">
        <v>2340</v>
      </c>
      <c r="D6" s="2936"/>
      <c r="E6" s="2830">
        <f>IF(OR(A6=0,F6="否"),0,'数据-取费表'!K6+'数据-取费表'!S6)</f>
        <v>0</v>
      </c>
      <c r="F6" s="2062" t="s">
        <v>2346</v>
      </c>
      <c r="G6" s="1674"/>
      <c r="H6" s="1674"/>
      <c r="I6" s="1674"/>
      <c r="J6" s="1674"/>
      <c r="K6" s="1674"/>
      <c r="L6" s="1674"/>
      <c r="M6" s="1674"/>
      <c r="N6" s="1674"/>
      <c r="O6" s="1674"/>
      <c r="P6" s="1674"/>
      <c r="Q6" s="1674"/>
      <c r="R6" s="1674"/>
      <c r="S6" s="1674"/>
    </row>
    <row r="7" spans="1:22">
      <c r="A7" s="2828">
        <f>'数据-取费表'!AN7</f>
        <v>0</v>
      </c>
      <c r="B7" s="2826" t="e">
        <f ca="1">IF(F7="是",'数据-取费表'!AO7,0)</f>
        <v>#REF!</v>
      </c>
      <c r="C7" s="2058" t="s">
        <v>2340</v>
      </c>
      <c r="D7" s="2936"/>
      <c r="E7" s="2830">
        <f>IF(OR(A7=0,F7="否"),0,'数据-取费表'!K7+'数据-取费表'!S7)</f>
        <v>0</v>
      </c>
      <c r="F7" s="2062" t="s">
        <v>2346</v>
      </c>
      <c r="G7" s="1674"/>
      <c r="H7" s="1674"/>
      <c r="I7" s="1674"/>
      <c r="J7" s="1674"/>
      <c r="K7" s="1674"/>
      <c r="L7" s="1674"/>
      <c r="M7" s="1674"/>
      <c r="N7" s="1674"/>
      <c r="O7" s="1674"/>
      <c r="P7" s="1674"/>
      <c r="Q7" s="1674"/>
      <c r="R7" s="1674"/>
      <c r="S7" s="1674"/>
    </row>
    <row r="8" spans="1:22">
      <c r="A8" s="2828">
        <f>'数据-取费表'!AN8</f>
        <v>0</v>
      </c>
      <c r="B8" s="2826" t="e">
        <f ca="1">IF(F8="是",'数据-取费表'!AO8,0)</f>
        <v>#REF!</v>
      </c>
      <c r="C8" s="2058" t="s">
        <v>2340</v>
      </c>
      <c r="D8" s="2936"/>
      <c r="E8" s="2830">
        <f>IF(OR(A8=0,F8="否"),0,'数据-取费表'!K8+'数据-取费表'!S8)</f>
        <v>0</v>
      </c>
      <c r="F8" s="2062" t="s">
        <v>2346</v>
      </c>
      <c r="G8" s="1674"/>
      <c r="H8" s="1674"/>
      <c r="I8" s="1674"/>
      <c r="J8" s="1674"/>
      <c r="K8" s="1674"/>
      <c r="L8" s="1674"/>
      <c r="M8" s="1674"/>
      <c r="N8" s="1674"/>
      <c r="O8" s="1674"/>
      <c r="P8" s="1674"/>
      <c r="Q8" s="1674"/>
      <c r="R8" s="1674"/>
      <c r="S8" s="1674"/>
    </row>
    <row r="9" spans="1:22">
      <c r="A9" s="2828">
        <f>'数据-取费表'!AN9</f>
        <v>0</v>
      </c>
      <c r="B9" s="2826" t="e">
        <f ca="1">IF(F9="是",'数据-取费表'!AO9,0)</f>
        <v>#REF!</v>
      </c>
      <c r="C9" s="2058" t="s">
        <v>2340</v>
      </c>
      <c r="D9" s="2936"/>
      <c r="E9" s="2830">
        <f>IF(OR(A9=0,F9="否"),0,'数据-取费表'!K9+'数据-取费表'!S9)</f>
        <v>0</v>
      </c>
      <c r="F9" s="2062" t="s">
        <v>2346</v>
      </c>
      <c r="G9" s="1674"/>
      <c r="H9" s="1674"/>
      <c r="I9" s="1674"/>
      <c r="J9" s="1674"/>
      <c r="K9" s="1674"/>
      <c r="L9" s="1674"/>
      <c r="M9" s="1674"/>
      <c r="N9" s="1674"/>
      <c r="O9" s="1674"/>
      <c r="P9" s="1674"/>
      <c r="Q9" s="1674"/>
      <c r="R9" s="1674"/>
      <c r="S9" s="1674"/>
    </row>
    <row r="10" spans="1:22">
      <c r="A10" s="2828">
        <f>'数据-取费表'!AN10</f>
        <v>0</v>
      </c>
      <c r="B10" s="2826" t="e">
        <f ca="1">IF(F10="是",'数据-取费表'!AO10,0)</f>
        <v>#REF!</v>
      </c>
      <c r="C10" s="2058" t="s">
        <v>2340</v>
      </c>
      <c r="D10" s="2936"/>
      <c r="E10" s="2830">
        <f>IF(OR(A10=0,F10="否"),0,'数据-取费表'!K10+'数据-取费表'!S10)</f>
        <v>0</v>
      </c>
      <c r="F10" s="2062" t="s">
        <v>2346</v>
      </c>
      <c r="G10" s="1674"/>
      <c r="H10" s="1674"/>
      <c r="I10" s="1674"/>
      <c r="J10" s="1674"/>
      <c r="K10" s="1674"/>
      <c r="L10" s="1674"/>
      <c r="M10" s="1674"/>
      <c r="N10" s="1674"/>
      <c r="O10" s="1674"/>
      <c r="P10" s="1674"/>
      <c r="Q10" s="1674"/>
      <c r="R10" s="1674"/>
      <c r="S10" s="1674"/>
    </row>
    <row r="11" spans="1:22">
      <c r="A11" s="2828">
        <f>'数据-取费表'!AN11</f>
        <v>0</v>
      </c>
      <c r="B11" s="2826" t="e">
        <f ca="1">IF(F11="是",'数据-取费表'!AO11,0)</f>
        <v>#REF!</v>
      </c>
      <c r="C11" s="2058" t="s">
        <v>2340</v>
      </c>
      <c r="D11" s="2936"/>
      <c r="E11" s="2830">
        <f>IF(OR(A11=0,F11="否"),0,'数据-取费表'!K11+'数据-取费表'!S11)</f>
        <v>0</v>
      </c>
      <c r="F11" s="2062" t="s">
        <v>2346</v>
      </c>
      <c r="G11" s="1674"/>
      <c r="H11" s="1674"/>
      <c r="I11" s="1674"/>
      <c r="J11" s="1674"/>
      <c r="K11" s="1674"/>
      <c r="L11" s="1674"/>
      <c r="M11" s="1674"/>
      <c r="N11" s="1674"/>
      <c r="O11" s="1674"/>
      <c r="P11" s="1674"/>
      <c r="Q11" s="1674"/>
      <c r="R11" s="1674"/>
      <c r="S11" s="1674"/>
    </row>
    <row r="12" spans="1:22">
      <c r="A12" s="2828">
        <f>'数据-取费表'!AN12</f>
        <v>0</v>
      </c>
      <c r="B12" s="2826" t="e">
        <f ca="1">IF(F12="是",'数据-取费表'!AO12,0)</f>
        <v>#REF!</v>
      </c>
      <c r="C12" s="2058" t="s">
        <v>2340</v>
      </c>
      <c r="D12" s="2936"/>
      <c r="E12" s="2830">
        <f>IF(OR(A12=0,F12="否"),0,'数据-取费表'!K12+'数据-取费表'!S12)</f>
        <v>0</v>
      </c>
      <c r="F12" s="2062" t="s">
        <v>2346</v>
      </c>
      <c r="G12" s="1674"/>
      <c r="H12" s="1674"/>
      <c r="I12" s="1674"/>
      <c r="J12" s="1674"/>
      <c r="K12" s="1674"/>
      <c r="L12" s="1674"/>
      <c r="M12" s="1674"/>
      <c r="N12" s="1674"/>
      <c r="O12" s="1674"/>
      <c r="P12" s="1674"/>
      <c r="Q12" s="1674"/>
      <c r="R12" s="1674"/>
      <c r="S12" s="1674"/>
    </row>
    <row r="13" spans="1:22" ht="15" thickBot="1">
      <c r="A13" s="2829">
        <f>'数据-取费表'!AN13</f>
        <v>0</v>
      </c>
      <c r="B13" s="2826" t="e">
        <f ca="1">IF(F13="是",'数据-取费表'!AO13,0)</f>
        <v>#REF!</v>
      </c>
      <c r="C13" s="2063" t="s">
        <v>2340</v>
      </c>
      <c r="D13" s="2937"/>
      <c r="E13" s="2830">
        <f>IF(OR(A13=0,F13="否"),0,'数据-取费表'!K13+'数据-取费表'!S13)</f>
        <v>0</v>
      </c>
      <c r="F13" s="2062" t="s">
        <v>2346</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xr:uid="{00000000-0002-0000-1700-000000000000}">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742" t="s">
        <v>1044</v>
      </c>
      <c r="B1" s="3743"/>
      <c r="C1" s="3744"/>
      <c r="D1" s="3745">
        <f>SUM(I10,I15,I20,I21,I23)</f>
        <v>0</v>
      </c>
      <c r="E1" s="3745"/>
      <c r="F1" s="3745"/>
      <c r="G1" s="3745"/>
      <c r="H1" s="3745"/>
      <c r="I1" s="3746"/>
    </row>
    <row r="2" spans="1:9">
      <c r="A2" s="3747" t="s">
        <v>1045</v>
      </c>
      <c r="B2" s="3748" t="s">
        <v>1046</v>
      </c>
      <c r="C2" s="3748"/>
      <c r="D2" s="1211" t="s">
        <v>1047</v>
      </c>
      <c r="E2" s="1211" t="s">
        <v>1048</v>
      </c>
      <c r="F2" s="1211" t="s">
        <v>1049</v>
      </c>
      <c r="G2" s="1211" t="s">
        <v>1050</v>
      </c>
      <c r="H2" s="1211" t="s">
        <v>1051</v>
      </c>
      <c r="I2" s="1212" t="s">
        <v>1052</v>
      </c>
    </row>
    <row r="3" spans="1:9">
      <c r="A3" s="3747"/>
      <c r="B3" s="3748" t="s">
        <v>1053</v>
      </c>
      <c r="C3" s="3748"/>
      <c r="D3" s="1213"/>
      <c r="E3" s="1211"/>
      <c r="F3" s="1214"/>
      <c r="G3" s="1214"/>
      <c r="H3" s="1215"/>
      <c r="I3" s="1216">
        <f>ROUND(D3*E3*F3*G3*H3/10000,0)</f>
        <v>0</v>
      </c>
    </row>
    <row r="4" spans="1:9">
      <c r="A4" s="3747"/>
      <c r="B4" s="3748" t="s">
        <v>1054</v>
      </c>
      <c r="C4" s="3748"/>
      <c r="D4" s="1213"/>
      <c r="E4" s="1211"/>
      <c r="F4" s="1214"/>
      <c r="G4" s="1214"/>
      <c r="H4" s="1215"/>
      <c r="I4" s="1216">
        <f t="shared" ref="I4:I9" si="0">ROUND(D4*E4*F4*G4*H4/10000,0)</f>
        <v>0</v>
      </c>
    </row>
    <row r="5" spans="1:9">
      <c r="A5" s="3747"/>
      <c r="B5" s="3748" t="s">
        <v>1055</v>
      </c>
      <c r="C5" s="3748"/>
      <c r="D5" s="1213"/>
      <c r="E5" s="1211"/>
      <c r="F5" s="1214"/>
      <c r="G5" s="1214"/>
      <c r="H5" s="1215"/>
      <c r="I5" s="1216">
        <f t="shared" si="0"/>
        <v>0</v>
      </c>
    </row>
    <row r="6" spans="1:9">
      <c r="A6" s="3747"/>
      <c r="B6" s="3748" t="s">
        <v>1056</v>
      </c>
      <c r="C6" s="3748"/>
      <c r="D6" s="1213"/>
      <c r="E6" s="1211"/>
      <c r="F6" s="1214"/>
      <c r="G6" s="1214"/>
      <c r="H6" s="1215"/>
      <c r="I6" s="1216">
        <f t="shared" si="0"/>
        <v>0</v>
      </c>
    </row>
    <row r="7" spans="1:9">
      <c r="A7" s="3747"/>
      <c r="B7" s="3748" t="s">
        <v>1057</v>
      </c>
      <c r="C7" s="3748"/>
      <c r="D7" s="1213"/>
      <c r="E7" s="1211"/>
      <c r="F7" s="1214"/>
      <c r="G7" s="1214"/>
      <c r="H7" s="1215"/>
      <c r="I7" s="1216">
        <f t="shared" si="0"/>
        <v>0</v>
      </c>
    </row>
    <row r="8" spans="1:9">
      <c r="A8" s="3747"/>
      <c r="B8" s="3748" t="s">
        <v>1058</v>
      </c>
      <c r="C8" s="3748"/>
      <c r="D8" s="1213"/>
      <c r="E8" s="1211"/>
      <c r="F8" s="1214"/>
      <c r="G8" s="1214"/>
      <c r="H8" s="1215"/>
      <c r="I8" s="1216">
        <f t="shared" si="0"/>
        <v>0</v>
      </c>
    </row>
    <row r="9" spans="1:9">
      <c r="A9" s="3747"/>
      <c r="B9" s="3748" t="s">
        <v>1059</v>
      </c>
      <c r="C9" s="3748"/>
      <c r="D9" s="1213"/>
      <c r="E9" s="1211"/>
      <c r="F9" s="1214"/>
      <c r="G9" s="1214"/>
      <c r="H9" s="1215"/>
      <c r="I9" s="1216">
        <f t="shared" si="0"/>
        <v>0</v>
      </c>
    </row>
    <row r="10" spans="1:9">
      <c r="A10" s="3747"/>
      <c r="B10" s="3749" t="s">
        <v>1060</v>
      </c>
      <c r="C10" s="3749"/>
      <c r="D10" s="1217"/>
      <c r="E10" s="1217" t="e">
        <f>ROUND(D1*10000/D10/H9,0)</f>
        <v>#DIV/0!</v>
      </c>
      <c r="F10" s="1218"/>
      <c r="G10" s="1218"/>
      <c r="H10" s="1219"/>
      <c r="I10" s="1220">
        <f>SUM(I3:I9)</f>
        <v>0</v>
      </c>
    </row>
    <row r="11" spans="1:9" ht="14.25">
      <c r="A11" s="3747" t="s">
        <v>1061</v>
      </c>
      <c r="B11" s="3748" t="s">
        <v>1062</v>
      </c>
      <c r="C11" s="3748"/>
      <c r="D11" s="1213" t="s">
        <v>1063</v>
      </c>
      <c r="E11" s="1213" t="s">
        <v>1064</v>
      </c>
      <c r="F11" s="1214" t="s">
        <v>1065</v>
      </c>
      <c r="G11" s="1214" t="s">
        <v>1051</v>
      </c>
      <c r="H11" s="1221" t="s">
        <v>1066</v>
      </c>
      <c r="I11" s="1212" t="s">
        <v>1052</v>
      </c>
    </row>
    <row r="12" spans="1:9">
      <c r="A12" s="3747"/>
      <c r="B12" s="3748" t="s">
        <v>1067</v>
      </c>
      <c r="C12" s="3748"/>
      <c r="D12" s="1213"/>
      <c r="E12" s="1213"/>
      <c r="F12" s="1214"/>
      <c r="G12" s="1215"/>
      <c r="H12" s="1222"/>
      <c r="I12" s="1212">
        <f>ROUND(D12*E12*F12*G12/10000,0)</f>
        <v>0</v>
      </c>
    </row>
    <row r="13" spans="1:9">
      <c r="A13" s="3747"/>
      <c r="B13" s="3748" t="s">
        <v>1068</v>
      </c>
      <c r="C13" s="3748"/>
      <c r="D13" s="1213"/>
      <c r="E13" s="1213"/>
      <c r="F13" s="1214"/>
      <c r="G13" s="1215"/>
      <c r="H13" s="1222"/>
      <c r="I13" s="1212">
        <f>ROUND(D13*E13*F13*G13/10000,0)</f>
        <v>0</v>
      </c>
    </row>
    <row r="14" spans="1:9">
      <c r="A14" s="3747"/>
      <c r="B14" s="3748" t="s">
        <v>1069</v>
      </c>
      <c r="C14" s="3748"/>
      <c r="D14" s="1213"/>
      <c r="E14" s="1213"/>
      <c r="F14" s="1214"/>
      <c r="G14" s="1215"/>
      <c r="H14" s="1222"/>
      <c r="I14" s="1212">
        <f>ROUND(D14*E14*F14*G14/10000,0)</f>
        <v>0</v>
      </c>
    </row>
    <row r="15" spans="1:9">
      <c r="A15" s="3747"/>
      <c r="B15" s="3749" t="s">
        <v>1060</v>
      </c>
      <c r="C15" s="3749"/>
      <c r="D15" s="1217"/>
      <c r="E15" s="1217">
        <f>SUM(E12:E14)</f>
        <v>0</v>
      </c>
      <c r="F15" s="1218"/>
      <c r="G15" s="1215"/>
      <c r="H15" s="1222"/>
      <c r="I15" s="1223">
        <f>SUM(I12:I14)</f>
        <v>0</v>
      </c>
    </row>
    <row r="16" spans="1:9" ht="24">
      <c r="A16" s="3747" t="s">
        <v>1070</v>
      </c>
      <c r="B16" s="3748" t="s">
        <v>1071</v>
      </c>
      <c r="C16" s="3748"/>
      <c r="D16" s="1213" t="s">
        <v>1047</v>
      </c>
      <c r="E16" s="1224" t="s">
        <v>1072</v>
      </c>
      <c r="F16" s="1214" t="s">
        <v>1073</v>
      </c>
      <c r="G16" s="1215" t="s">
        <v>1051</v>
      </c>
      <c r="H16" s="1221" t="s">
        <v>1066</v>
      </c>
      <c r="I16" s="1212" t="s">
        <v>1052</v>
      </c>
    </row>
    <row r="17" spans="1:9" ht="14.25">
      <c r="A17" s="3747"/>
      <c r="B17" s="3748" t="s">
        <v>1074</v>
      </c>
      <c r="C17" s="3748"/>
      <c r="D17" s="1213"/>
      <c r="E17" s="1213"/>
      <c r="F17" s="1214"/>
      <c r="G17" s="1215"/>
      <c r="H17" s="1225"/>
      <c r="I17" s="1226">
        <f>ROUND(D17*E17*F17*G17/10000,0)</f>
        <v>0</v>
      </c>
    </row>
    <row r="18" spans="1:9" ht="14.25">
      <c r="A18" s="3747"/>
      <c r="B18" s="3748" t="s">
        <v>1075</v>
      </c>
      <c r="C18" s="3748"/>
      <c r="D18" s="1213"/>
      <c r="E18" s="1213"/>
      <c r="F18" s="1214"/>
      <c r="G18" s="1215"/>
      <c r="H18" s="1225"/>
      <c r="I18" s="1226">
        <f>ROUND(D18*E18*F18*G18/10000,0)</f>
        <v>0</v>
      </c>
    </row>
    <row r="19" spans="1:9" ht="14.25">
      <c r="A19" s="3747"/>
      <c r="B19" s="3748" t="s">
        <v>1076</v>
      </c>
      <c r="C19" s="3748"/>
      <c r="D19" s="1213"/>
      <c r="E19" s="1213"/>
      <c r="F19" s="1214"/>
      <c r="G19" s="1215"/>
      <c r="H19" s="1225"/>
      <c r="I19" s="1226">
        <f>ROUND(D19*E19*F19*G19/10000,0)</f>
        <v>0</v>
      </c>
    </row>
    <row r="20" spans="1:9">
      <c r="A20" s="3747"/>
      <c r="B20" s="3749" t="s">
        <v>1060</v>
      </c>
      <c r="C20" s="3749"/>
      <c r="D20" s="1217">
        <f>SUM(D17:D19)</f>
        <v>0</v>
      </c>
      <c r="E20" s="1217"/>
      <c r="F20" s="1218"/>
      <c r="G20" s="1215"/>
      <c r="H20" s="1222"/>
      <c r="I20" s="1223">
        <f>SUM(I17:I19)</f>
        <v>0</v>
      </c>
    </row>
    <row r="21" spans="1:9">
      <c r="A21" s="3747" t="s">
        <v>1077</v>
      </c>
      <c r="B21" s="3751"/>
      <c r="C21" s="3751"/>
      <c r="D21" s="3751"/>
      <c r="E21" s="3751"/>
      <c r="F21" s="3751"/>
      <c r="G21" s="3751"/>
      <c r="H21" s="1502">
        <v>0.1</v>
      </c>
      <c r="I21" s="1220">
        <f>ROUND(I10*H21,0)</f>
        <v>0</v>
      </c>
    </row>
    <row r="22" spans="1:9" ht="14.25">
      <c r="A22" s="3752" t="s">
        <v>1078</v>
      </c>
      <c r="B22" s="3753"/>
      <c r="C22" s="3754"/>
      <c r="D22" s="1227" t="s">
        <v>1079</v>
      </c>
      <c r="E22" s="1227" t="s">
        <v>1080</v>
      </c>
      <c r="F22" s="1228" t="s">
        <v>1081</v>
      </c>
      <c r="G22" s="1228" t="s">
        <v>1082</v>
      </c>
      <c r="H22" s="1221" t="s">
        <v>1083</v>
      </c>
      <c r="I22" s="1212" t="s">
        <v>1084</v>
      </c>
    </row>
    <row r="23" spans="1:9" ht="14.25" thickBot="1">
      <c r="A23" s="3755"/>
      <c r="B23" s="3756"/>
      <c r="C23" s="3757"/>
      <c r="D23" s="1229"/>
      <c r="E23" s="1229"/>
      <c r="F23" s="1229"/>
      <c r="G23" s="1230"/>
      <c r="H23" s="1231"/>
      <c r="I23" s="1232">
        <f>ROUND(E23*D23*F23*(1-G23)/10000,0)</f>
        <v>0</v>
      </c>
    </row>
    <row r="26" spans="1:9">
      <c r="A26" s="1233" t="s">
        <v>1085</v>
      </c>
      <c r="B26" s="1233"/>
      <c r="C26" s="1233"/>
      <c r="D26" s="1233"/>
      <c r="E26" s="3758">
        <f>C27-C30-C31-C32</f>
        <v>0</v>
      </c>
      <c r="F26" s="3758"/>
      <c r="G26" s="3758"/>
      <c r="H26" s="1499" t="s">
        <v>1306</v>
      </c>
    </row>
    <row r="27" spans="1:9">
      <c r="A27" s="1234">
        <v>1</v>
      </c>
      <c r="B27" s="1235" t="s">
        <v>1086</v>
      </c>
      <c r="C27" s="1235">
        <f>C28+C29</f>
        <v>0</v>
      </c>
      <c r="D27" s="1235"/>
      <c r="E27" s="3759"/>
      <c r="F27" s="3759"/>
      <c r="G27" s="3759"/>
    </row>
    <row r="28" spans="1:9">
      <c r="A28" s="1236" t="s">
        <v>1087</v>
      </c>
      <c r="B28" s="1235" t="s">
        <v>1088</v>
      </c>
      <c r="C28" s="1235"/>
      <c r="D28" s="1235"/>
      <c r="E28" s="3759"/>
      <c r="F28" s="3759"/>
      <c r="G28" s="3759"/>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750"/>
      <c r="F32" s="3750"/>
      <c r="G32" s="3750"/>
    </row>
    <row r="33" spans="1:7" hidden="1">
      <c r="A33" s="3760" t="s">
        <v>1097</v>
      </c>
      <c r="B33" s="3761"/>
      <c r="C33" s="3761"/>
      <c r="D33" s="3762"/>
      <c r="E33" s="3758"/>
      <c r="F33" s="3758"/>
      <c r="G33" s="3758"/>
    </row>
    <row r="34" spans="1:7" hidden="1">
      <c r="A34" s="1238">
        <v>1</v>
      </c>
      <c r="B34" s="1235" t="s">
        <v>1098</v>
      </c>
      <c r="C34" s="1235"/>
      <c r="D34" s="1235"/>
      <c r="E34" s="3759"/>
      <c r="F34" s="3759"/>
      <c r="G34" s="3759"/>
    </row>
    <row r="35" spans="1:7" hidden="1">
      <c r="A35" s="1238">
        <v>2</v>
      </c>
      <c r="B35" s="1235" t="s">
        <v>1099</v>
      </c>
      <c r="C35" s="1235"/>
      <c r="D35" s="1235"/>
      <c r="E35" s="3759"/>
      <c r="F35" s="3759"/>
      <c r="G35" s="3759"/>
    </row>
    <row r="36" spans="1:7" hidden="1">
      <c r="A36" s="1238">
        <v>3</v>
      </c>
      <c r="B36" s="1235" t="s">
        <v>1100</v>
      </c>
      <c r="C36" s="1235"/>
      <c r="D36" s="1235"/>
      <c r="E36" s="3759"/>
      <c r="F36" s="3759"/>
      <c r="G36" s="3759"/>
    </row>
    <row r="37" spans="1:7" hidden="1">
      <c r="A37" s="1238">
        <v>4</v>
      </c>
      <c r="B37" s="1235" t="s">
        <v>1101</v>
      </c>
      <c r="C37" s="1235"/>
      <c r="D37" s="1235"/>
      <c r="E37" s="3759"/>
      <c r="F37" s="3759"/>
      <c r="G37" s="3759"/>
    </row>
    <row r="38" spans="1:7" hidden="1">
      <c r="A38" s="3760" t="s">
        <v>1102</v>
      </c>
      <c r="B38" s="3761"/>
      <c r="C38" s="3761"/>
      <c r="D38" s="3762"/>
      <c r="E38" s="3758"/>
      <c r="F38" s="3758"/>
      <c r="G38" s="375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1"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2350</v>
      </c>
      <c r="C1" s="1406" t="s">
        <v>2351</v>
      </c>
      <c r="D1" s="1393"/>
      <c r="E1" s="2544"/>
      <c r="F1" s="2065" t="s">
        <v>2352</v>
      </c>
      <c r="G1" s="1403" t="s">
        <v>2353</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2354</v>
      </c>
      <c r="F2" s="2069"/>
      <c r="G2" s="1038"/>
      <c r="H2" s="1038"/>
      <c r="I2" s="1038"/>
      <c r="J2" s="1038"/>
      <c r="K2" s="2070"/>
      <c r="L2" s="2940"/>
      <c r="M2" s="2941"/>
      <c r="N2" s="2941"/>
      <c r="O2" s="2941"/>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2355</v>
      </c>
      <c r="D3" s="359">
        <f>IF(D1="",'数据-汇总表'!E3,SUMIF('数据-汇总表'!$C19:$C33,D1,'数据-汇总表'!$E19:$E33))</f>
        <v>47689.05</v>
      </c>
      <c r="E3" s="1038"/>
      <c r="F3" s="2074"/>
      <c r="G3" s="1038"/>
      <c r="H3" s="1038"/>
      <c r="I3" s="1038"/>
      <c r="J3" s="1038"/>
      <c r="K3" s="2070"/>
      <c r="L3" s="2940"/>
      <c r="M3" s="2941"/>
      <c r="N3" s="2941"/>
      <c r="O3" s="2941"/>
      <c r="P3" s="2071"/>
      <c r="Q3" s="2072"/>
      <c r="R3" s="2072"/>
      <c r="S3" s="2072"/>
      <c r="T3" s="2072"/>
      <c r="U3" s="2072"/>
      <c r="V3" s="2072"/>
      <c r="W3" s="2072"/>
      <c r="X3" s="2072"/>
      <c r="Y3" s="2072"/>
      <c r="Z3" s="2072"/>
      <c r="AA3" s="2072"/>
      <c r="AB3" s="2072"/>
      <c r="AC3" s="1192"/>
    </row>
    <row r="4" spans="1:29" ht="15">
      <c r="A4" s="361" t="s">
        <v>2356</v>
      </c>
      <c r="B4" s="362"/>
      <c r="C4" s="3781" t="s">
        <v>2357</v>
      </c>
      <c r="D4" s="3782"/>
      <c r="E4" s="3783" t="s">
        <v>2358</v>
      </c>
      <c r="F4" s="3784"/>
      <c r="G4" s="3781" t="s">
        <v>2359</v>
      </c>
      <c r="H4" s="3782"/>
      <c r="I4" s="3781" t="s">
        <v>2360</v>
      </c>
      <c r="J4" s="3782"/>
      <c r="K4" s="2075" t="s">
        <v>2361</v>
      </c>
      <c r="L4" s="2942"/>
      <c r="M4" s="2943"/>
      <c r="N4" s="2943"/>
      <c r="O4" s="2943"/>
      <c r="P4" s="3785" t="s">
        <v>2362</v>
      </c>
      <c r="Q4" s="3786"/>
      <c r="R4" s="3768" t="s">
        <v>2358</v>
      </c>
      <c r="S4" s="3769"/>
      <c r="T4" s="3768" t="s">
        <v>2359</v>
      </c>
      <c r="U4" s="3769"/>
      <c r="V4" s="3793" t="s">
        <v>2360</v>
      </c>
      <c r="W4" s="3793"/>
      <c r="X4" s="1539"/>
      <c r="Y4" s="3768" t="s">
        <v>2362</v>
      </c>
      <c r="Z4" s="3769"/>
      <c r="AA4" s="3763" t="s">
        <v>2358</v>
      </c>
      <c r="AB4" s="3763" t="s">
        <v>2359</v>
      </c>
      <c r="AC4" s="3763" t="s">
        <v>2360</v>
      </c>
    </row>
    <row r="5" spans="1:29" ht="15">
      <c r="A5" s="364"/>
      <c r="B5" s="365"/>
      <c r="C5" s="3774" t="s">
        <v>2363</v>
      </c>
      <c r="D5" s="3775"/>
      <c r="E5" s="3772" t="s">
        <v>2364</v>
      </c>
      <c r="F5" s="3773"/>
      <c r="G5" s="3774" t="s">
        <v>2365</v>
      </c>
      <c r="H5" s="3775"/>
      <c r="I5" s="3774" t="s">
        <v>2366</v>
      </c>
      <c r="J5" s="3775"/>
      <c r="K5" s="2076"/>
      <c r="L5" s="2942"/>
      <c r="M5" s="2943"/>
      <c r="N5" s="2943"/>
      <c r="O5" s="2943"/>
      <c r="P5" s="3787"/>
      <c r="Q5" s="3788"/>
      <c r="R5" s="3770"/>
      <c r="S5" s="3771"/>
      <c r="T5" s="3770"/>
      <c r="U5" s="3771"/>
      <c r="V5" s="3793"/>
      <c r="W5" s="3793"/>
      <c r="X5" s="1539"/>
      <c r="Y5" s="3770"/>
      <c r="Z5" s="3771"/>
      <c r="AA5" s="3764"/>
      <c r="AB5" s="3764"/>
      <c r="AC5" s="3764"/>
    </row>
    <row r="6" spans="1:29" ht="15.75" thickBot="1">
      <c r="A6" s="366"/>
      <c r="B6" s="367"/>
      <c r="C6" s="3776" t="s">
        <v>2367</v>
      </c>
      <c r="D6" s="3777"/>
      <c r="E6" s="3778" t="s">
        <v>2367</v>
      </c>
      <c r="F6" s="3779"/>
      <c r="G6" s="3776" t="s">
        <v>2367</v>
      </c>
      <c r="H6" s="3777"/>
      <c r="I6" s="3776" t="s">
        <v>2367</v>
      </c>
      <c r="J6" s="3777"/>
      <c r="K6" s="2076" t="s">
        <v>2368</v>
      </c>
      <c r="L6" s="2942"/>
      <c r="M6" s="2943"/>
      <c r="N6" s="2943"/>
      <c r="O6" s="2943"/>
      <c r="P6" s="3789"/>
      <c r="Q6" s="3790"/>
      <c r="R6" s="3770"/>
      <c r="S6" s="3771"/>
      <c r="T6" s="3791"/>
      <c r="U6" s="3792"/>
      <c r="V6" s="3793"/>
      <c r="W6" s="3793"/>
      <c r="X6" s="1539"/>
      <c r="Y6" s="3791"/>
      <c r="Z6" s="3792"/>
      <c r="AA6" s="3765"/>
      <c r="AB6" s="3765"/>
      <c r="AC6" s="3765"/>
    </row>
    <row r="7" spans="1:29" s="113" customFormat="1" ht="15.75" thickBot="1">
      <c r="A7" s="368" t="s">
        <v>2369</v>
      </c>
      <c r="B7" s="369"/>
      <c r="C7" s="370">
        <f>'数据-取费表'!B2</f>
        <v>42914</v>
      </c>
      <c r="D7" s="371">
        <v>100</v>
      </c>
      <c r="E7" s="372"/>
      <c r="F7" s="373">
        <f>SUMIF(58:58,YEAR(E7)&amp;"-"&amp;MONTH(E7),59:59)</f>
        <v>0</v>
      </c>
      <c r="G7" s="372"/>
      <c r="H7" s="371">
        <f>SUMIF(58:58,YEAR(G7)&amp;"-"&amp;MONTH(G7),59:59)</f>
        <v>0</v>
      </c>
      <c r="I7" s="372"/>
      <c r="J7" s="371">
        <f>SUMIF(58:58,YEAR(I7)&amp;"-"&amp;MONTH(I7),59:59)</f>
        <v>0</v>
      </c>
      <c r="K7" s="2077"/>
      <c r="L7" s="2944"/>
      <c r="M7" s="2945"/>
      <c r="N7" s="2945"/>
      <c r="O7" s="2945"/>
      <c r="P7" s="3766" t="s">
        <v>2370</v>
      </c>
      <c r="Q7" s="3794"/>
      <c r="R7" s="710" t="s">
        <v>23</v>
      </c>
      <c r="S7" s="711">
        <f t="shared" ref="S7:S15" si="0">F7</f>
        <v>0</v>
      </c>
      <c r="T7" s="710" t="s">
        <v>23</v>
      </c>
      <c r="U7" s="711">
        <f t="shared" ref="U7:U15" si="1">H7</f>
        <v>0</v>
      </c>
      <c r="V7" s="710" t="s">
        <v>23</v>
      </c>
      <c r="W7" s="711">
        <f t="shared" ref="W7:W15" si="2">J7</f>
        <v>0</v>
      </c>
      <c r="X7" s="712"/>
      <c r="Y7" s="3766" t="s">
        <v>2370</v>
      </c>
      <c r="Z7" s="3767"/>
      <c r="AA7" s="713" t="e">
        <f>D7/F7</f>
        <v>#DIV/0!</v>
      </c>
      <c r="AB7" s="713" t="e">
        <f>D7/H7</f>
        <v>#DIV/0!</v>
      </c>
      <c r="AC7" s="713" t="e">
        <f>D7/J7</f>
        <v>#DIV/0!</v>
      </c>
    </row>
    <row r="8" spans="1:29" s="113" customFormat="1" ht="15.75" thickBot="1">
      <c r="A8" s="368" t="s">
        <v>2371</v>
      </c>
      <c r="B8" s="369"/>
      <c r="C8" s="374" t="s">
        <v>2372</v>
      </c>
      <c r="D8" s="371">
        <v>100</v>
      </c>
      <c r="E8" s="2078"/>
      <c r="F8" s="373">
        <f>SUMIF(61:61,E8,62:62)-SUMIF(61:61,C8,62:62)+100</f>
        <v>0</v>
      </c>
      <c r="G8" s="374"/>
      <c r="H8" s="371">
        <f>SUMIF(61:61,G8,62:62)-SUMIF(61:61,C8,62:62)+100</f>
        <v>0</v>
      </c>
      <c r="I8" s="2078"/>
      <c r="J8" s="371">
        <f>SUMIF(61:61,I8,62:62)-SUMIF(61:61,C8,62:62)+100</f>
        <v>0</v>
      </c>
      <c r="K8" s="2077"/>
      <c r="L8" s="2944"/>
      <c r="M8" s="2945"/>
      <c r="N8" s="2945"/>
      <c r="O8" s="2945"/>
      <c r="P8" s="3766" t="s">
        <v>2373</v>
      </c>
      <c r="Q8" s="3767"/>
      <c r="R8" s="710" t="s">
        <v>23</v>
      </c>
      <c r="S8" s="711">
        <f t="shared" si="0"/>
        <v>0</v>
      </c>
      <c r="T8" s="710" t="s">
        <v>23</v>
      </c>
      <c r="U8" s="711">
        <f t="shared" si="1"/>
        <v>0</v>
      </c>
      <c r="V8" s="710" t="s">
        <v>23</v>
      </c>
      <c r="W8" s="711">
        <f t="shared" si="2"/>
        <v>0</v>
      </c>
      <c r="X8" s="712"/>
      <c r="Y8" s="3766" t="s">
        <v>2373</v>
      </c>
      <c r="Z8" s="3767"/>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7"/>
      <c r="L9" s="2944"/>
      <c r="M9" s="2945"/>
      <c r="N9" s="2945"/>
      <c r="O9" s="2945"/>
      <c r="P9" s="3780" t="s">
        <v>2376</v>
      </c>
      <c r="Q9" s="1527" t="str">
        <f t="shared" ref="Q9:Q15" si="6">B9</f>
        <v>用途</v>
      </c>
      <c r="R9" s="710" t="s">
        <v>17</v>
      </c>
      <c r="S9" s="711">
        <f t="shared" si="0"/>
        <v>100</v>
      </c>
      <c r="T9" s="710" t="s">
        <v>17</v>
      </c>
      <c r="U9" s="711">
        <f t="shared" si="1"/>
        <v>100</v>
      </c>
      <c r="V9" s="710" t="s">
        <v>17</v>
      </c>
      <c r="W9" s="711">
        <f t="shared" si="2"/>
        <v>100</v>
      </c>
      <c r="X9" s="712"/>
      <c r="Y9" s="3708"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6"/>
      <c r="M10" s="2947"/>
      <c r="N10" s="2947"/>
      <c r="O10" s="2947"/>
      <c r="P10" s="3780"/>
      <c r="Q10" s="1527" t="str">
        <f t="shared" si="6"/>
        <v>土地使用年限（年）</v>
      </c>
      <c r="R10" s="710" t="s">
        <v>17</v>
      </c>
      <c r="S10" s="711">
        <f t="shared" si="0"/>
        <v>100</v>
      </c>
      <c r="T10" s="710" t="s">
        <v>17</v>
      </c>
      <c r="U10" s="711">
        <f t="shared" si="1"/>
        <v>100</v>
      </c>
      <c r="V10" s="710" t="s">
        <v>17</v>
      </c>
      <c r="W10" s="711">
        <f t="shared" si="2"/>
        <v>100</v>
      </c>
      <c r="X10" s="712"/>
      <c r="Y10" s="3708"/>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8"/>
      <c r="M11" s="2943"/>
      <c r="N11" s="2943"/>
      <c r="O11" s="2943"/>
      <c r="P11" s="3780"/>
      <c r="Q11" s="1527" t="str">
        <f t="shared" si="6"/>
        <v>容积率</v>
      </c>
      <c r="R11" s="710" t="s">
        <v>21</v>
      </c>
      <c r="S11" s="711" t="e">
        <f t="shared" si="0"/>
        <v>#N/A</v>
      </c>
      <c r="T11" s="710" t="s">
        <v>21</v>
      </c>
      <c r="U11" s="711" t="e">
        <f t="shared" si="1"/>
        <v>#N/A</v>
      </c>
      <c r="V11" s="710" t="s">
        <v>21</v>
      </c>
      <c r="W11" s="711" t="e">
        <f t="shared" si="2"/>
        <v>#N/A</v>
      </c>
      <c r="X11" s="712"/>
      <c r="Y11" s="3708"/>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4"/>
      <c r="M12" s="2945"/>
      <c r="N12" s="2945"/>
      <c r="O12" s="2945"/>
      <c r="P12" s="3780"/>
      <c r="Q12" s="1527">
        <f t="shared" si="6"/>
        <v>111</v>
      </c>
      <c r="R12" s="710" t="s">
        <v>21</v>
      </c>
      <c r="S12" s="711">
        <f t="shared" si="0"/>
        <v>100</v>
      </c>
      <c r="T12" s="710" t="s">
        <v>21</v>
      </c>
      <c r="U12" s="711">
        <f t="shared" si="1"/>
        <v>100</v>
      </c>
      <c r="V12" s="710" t="s">
        <v>21</v>
      </c>
      <c r="W12" s="711">
        <f t="shared" si="2"/>
        <v>100</v>
      </c>
      <c r="X12" s="712"/>
      <c r="Y12" s="3708"/>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49"/>
      <c r="M13" s="2943"/>
      <c r="N13" s="2943"/>
      <c r="O13" s="2943"/>
      <c r="P13" s="3780"/>
      <c r="Q13" s="1527">
        <f t="shared" si="6"/>
        <v>111</v>
      </c>
      <c r="R13" s="710" t="s">
        <v>21</v>
      </c>
      <c r="S13" s="711">
        <f t="shared" si="0"/>
        <v>100</v>
      </c>
      <c r="T13" s="710" t="s">
        <v>21</v>
      </c>
      <c r="U13" s="711">
        <f t="shared" si="1"/>
        <v>100</v>
      </c>
      <c r="V13" s="710" t="s">
        <v>21</v>
      </c>
      <c r="W13" s="711">
        <f t="shared" si="2"/>
        <v>100</v>
      </c>
      <c r="X13" s="712"/>
      <c r="Y13" s="3708"/>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49"/>
      <c r="M14" s="2943"/>
      <c r="N14" s="2943"/>
      <c r="O14" s="2943"/>
      <c r="P14" s="3780"/>
      <c r="Q14" s="1527">
        <f t="shared" si="6"/>
        <v>111</v>
      </c>
      <c r="R14" s="710" t="s">
        <v>21</v>
      </c>
      <c r="S14" s="711">
        <f t="shared" si="0"/>
        <v>100</v>
      </c>
      <c r="T14" s="710" t="s">
        <v>21</v>
      </c>
      <c r="U14" s="711">
        <f t="shared" si="1"/>
        <v>100</v>
      </c>
      <c r="V14" s="710" t="s">
        <v>21</v>
      </c>
      <c r="W14" s="711">
        <f t="shared" si="2"/>
        <v>100</v>
      </c>
      <c r="X14" s="712"/>
      <c r="Y14" s="3708"/>
      <c r="Z14" s="55">
        <f t="shared" si="7"/>
        <v>111</v>
      </c>
      <c r="AA14" s="713">
        <f t="shared" si="3"/>
        <v>1</v>
      </c>
      <c r="AB14" s="713">
        <f t="shared" si="4"/>
        <v>1</v>
      </c>
      <c r="AC14" s="713">
        <f t="shared" si="5"/>
        <v>1</v>
      </c>
    </row>
    <row r="15" spans="1:29" ht="99.75">
      <c r="A15" s="399" t="s">
        <v>2380</v>
      </c>
      <c r="B15" s="65" t="s">
        <v>1943</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9"/>
      <c r="M15" s="2943"/>
      <c r="N15" s="2943"/>
      <c r="O15" s="2943"/>
      <c r="P15" s="3807" t="s">
        <v>2381</v>
      </c>
      <c r="Q15" s="1536" t="str">
        <f t="shared" si="6"/>
        <v>居住社区成熟度</v>
      </c>
      <c r="R15" s="714" t="s">
        <v>21</v>
      </c>
      <c r="S15" s="715">
        <f t="shared" si="0"/>
        <v>100</v>
      </c>
      <c r="T15" s="714" t="s">
        <v>21</v>
      </c>
      <c r="U15" s="715">
        <f t="shared" si="1"/>
        <v>100</v>
      </c>
      <c r="V15" s="714" t="s">
        <v>21</v>
      </c>
      <c r="W15" s="715">
        <f t="shared" si="2"/>
        <v>100</v>
      </c>
      <c r="X15" s="1539"/>
      <c r="Y15" s="3800" t="s">
        <v>2381</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49"/>
      <c r="M16" s="2943"/>
      <c r="N16" s="2943"/>
      <c r="O16" s="2943"/>
      <c r="P16" s="3808"/>
      <c r="Q16" s="1536"/>
      <c r="R16" s="714"/>
      <c r="S16" s="715"/>
      <c r="T16" s="714"/>
      <c r="U16" s="715"/>
      <c r="V16" s="714"/>
      <c r="W16" s="715"/>
      <c r="X16" s="1539"/>
      <c r="Y16" s="3801"/>
      <c r="Z16" s="1540"/>
      <c r="AA16" s="1537">
        <v>1</v>
      </c>
      <c r="AB16" s="1537">
        <v>1</v>
      </c>
      <c r="AC16" s="1537">
        <v>1</v>
      </c>
    </row>
    <row r="17" spans="1:29" ht="213.75">
      <c r="A17" s="387"/>
      <c r="B17" s="410" t="s">
        <v>1945</v>
      </c>
      <c r="C17" s="2086" t="str">
        <f>估价对象房地状况!C6</f>
        <v>估价对象位于东四路口的东南角，紧临城市主干道-朝阳门内大街，西距东四南大街100米，距离地铁5号线（2007年通车）与6号线（2012年通车）东四站75米，多条公交线路通达，公共交通便利，停车便捷度好，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9"/>
      <c r="M17" s="2943"/>
      <c r="N17" s="2943"/>
      <c r="O17" s="2943"/>
      <c r="P17" s="3808"/>
      <c r="Q17" s="1536" t="str">
        <f>B17</f>
        <v>交通便捷度</v>
      </c>
      <c r="R17" s="714" t="s">
        <v>21</v>
      </c>
      <c r="S17" s="715">
        <f>F17</f>
        <v>100</v>
      </c>
      <c r="T17" s="714" t="s">
        <v>21</v>
      </c>
      <c r="U17" s="715">
        <f>H17</f>
        <v>100</v>
      </c>
      <c r="V17" s="714" t="s">
        <v>21</v>
      </c>
      <c r="W17" s="715">
        <f>J17</f>
        <v>100</v>
      </c>
      <c r="X17" s="1539"/>
      <c r="Y17" s="3801"/>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49"/>
      <c r="M18" s="2943"/>
      <c r="N18" s="2943"/>
      <c r="O18" s="2943"/>
      <c r="P18" s="3808"/>
      <c r="Q18" s="1536"/>
      <c r="R18" s="714"/>
      <c r="S18" s="715"/>
      <c r="T18" s="714"/>
      <c r="U18" s="715"/>
      <c r="V18" s="714"/>
      <c r="W18" s="715"/>
      <c r="X18" s="1539"/>
      <c r="Y18" s="3801"/>
      <c r="Z18" s="1540"/>
      <c r="AA18" s="1537">
        <v>1</v>
      </c>
      <c r="AB18" s="1537">
        <v>1</v>
      </c>
      <c r="AC18" s="1537">
        <v>1</v>
      </c>
    </row>
    <row r="19" spans="1:29" ht="285">
      <c r="A19" s="387"/>
      <c r="B19" s="410" t="s">
        <v>1944</v>
      </c>
      <c r="C19" s="2086" t="str">
        <f>估价对象房地状况!C7</f>
        <v>估价对象所在区域有购物场所（隆福广场、物美超市等），教育机构（灯市口小学、北京市第一六六中学），医疗网点（北京市东城区口腔医院、北京市东城区朝阳门社区卫生服务中心），金融网点（中国邮政储蓄银行、中国工商银行、北京农商银行、广发银行），综合分析，公共配套设施齐备程度较好。</v>
      </c>
      <c r="D19" s="414">
        <v>100</v>
      </c>
      <c r="E19" s="418"/>
      <c r="F19" s="414">
        <f>SUMIF(80:80,E20,81:81)-SUMIF(80:80,C20,81:81)+100</f>
        <v>100</v>
      </c>
      <c r="G19" s="416"/>
      <c r="H19" s="409">
        <f>SUMIF(80:80,G20,81:81)-SUMIF(80:80,C20,81:81)+100</f>
        <v>100</v>
      </c>
      <c r="I19" s="416"/>
      <c r="J19" s="409">
        <f>SUMIF(80:80,I20,81:81)-SUMIF(80:80,C20,81:81)+100</f>
        <v>100</v>
      </c>
      <c r="K19" s="404"/>
      <c r="L19" s="2949"/>
      <c r="M19" s="2943"/>
      <c r="N19" s="2943"/>
      <c r="O19" s="2943"/>
      <c r="P19" s="3808"/>
      <c r="Q19" s="1536" t="str">
        <f>B19</f>
        <v>公共配套设施</v>
      </c>
      <c r="R19" s="714" t="s">
        <v>21</v>
      </c>
      <c r="S19" s="715">
        <f>F19</f>
        <v>100</v>
      </c>
      <c r="T19" s="714" t="s">
        <v>21</v>
      </c>
      <c r="U19" s="715">
        <f>H19</f>
        <v>100</v>
      </c>
      <c r="V19" s="714" t="s">
        <v>21</v>
      </c>
      <c r="W19" s="715">
        <f>J19</f>
        <v>100</v>
      </c>
      <c r="X19" s="1539"/>
      <c r="Y19" s="3801"/>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49"/>
      <c r="M20" s="2943"/>
      <c r="N20" s="2943"/>
      <c r="O20" s="2943"/>
      <c r="P20" s="3808"/>
      <c r="Q20" s="1536"/>
      <c r="R20" s="714"/>
      <c r="S20" s="715"/>
      <c r="T20" s="714"/>
      <c r="U20" s="715"/>
      <c r="V20" s="714"/>
      <c r="W20" s="715"/>
      <c r="X20" s="1539"/>
      <c r="Y20" s="3801"/>
      <c r="Z20" s="1540"/>
      <c r="AA20" s="1537">
        <v>1</v>
      </c>
      <c r="AB20" s="1537">
        <v>1</v>
      </c>
      <c r="AC20" s="1537">
        <v>1</v>
      </c>
    </row>
    <row r="21" spans="1:29" ht="42.75">
      <c r="A21" s="387"/>
      <c r="B21" s="1293" t="s">
        <v>1946</v>
      </c>
      <c r="C21" s="2086" t="str">
        <f>估价对象房地状况!C8</f>
        <v>估价对象所在区域基础设施水平-七通</v>
      </c>
      <c r="D21" s="409">
        <v>100</v>
      </c>
      <c r="E21" s="418"/>
      <c r="F21" s="414">
        <f>SUMIF(82:82,E22,83:83)-SUMIF(82:82,C22,83:83)+100</f>
        <v>100</v>
      </c>
      <c r="G21" s="416"/>
      <c r="H21" s="409">
        <f>SUMIF(82:82,G22,83:83)-SUMIF(82:82,C22,83:83)+100</f>
        <v>100</v>
      </c>
      <c r="I21" s="416"/>
      <c r="J21" s="409">
        <f>SUMIF(82:82,I22,83:83)-SUMIF(82:82,C22,83:83)+100</f>
        <v>100</v>
      </c>
      <c r="K21" s="404"/>
      <c r="L21" s="2949"/>
      <c r="M21" s="2943"/>
      <c r="N21" s="2943"/>
      <c r="O21" s="2943"/>
      <c r="P21" s="3808"/>
      <c r="Q21" s="1536" t="str">
        <f>B21</f>
        <v>基础设施水平</v>
      </c>
      <c r="R21" s="714" t="s">
        <v>17</v>
      </c>
      <c r="S21" s="715">
        <f>F21</f>
        <v>100</v>
      </c>
      <c r="T21" s="714" t="s">
        <v>17</v>
      </c>
      <c r="U21" s="715">
        <f>H21</f>
        <v>100</v>
      </c>
      <c r="V21" s="714" t="s">
        <v>17</v>
      </c>
      <c r="W21" s="715">
        <f>J21</f>
        <v>100</v>
      </c>
      <c r="X21" s="1539"/>
      <c r="Y21" s="3801"/>
      <c r="Z21" s="1540" t="str">
        <f>Q21</f>
        <v>基础设施水平</v>
      </c>
      <c r="AA21" s="1537">
        <f>D21/F21</f>
        <v>1</v>
      </c>
      <c r="AB21" s="1537">
        <f>D21/H21</f>
        <v>1</v>
      </c>
      <c r="AC21" s="1537">
        <f>D21/J21</f>
        <v>1</v>
      </c>
    </row>
    <row r="22" spans="1:29" ht="15">
      <c r="A22" s="387"/>
      <c r="B22" s="1293"/>
      <c r="C22" s="2087"/>
      <c r="D22" s="407"/>
      <c r="E22" s="406"/>
      <c r="F22" s="407"/>
      <c r="G22" s="2090"/>
      <c r="H22" s="407"/>
      <c r="I22" s="406"/>
      <c r="J22" s="407"/>
      <c r="K22" s="2091"/>
      <c r="L22" s="2949"/>
      <c r="M22" s="2943"/>
      <c r="N22" s="2943"/>
      <c r="O22" s="2943"/>
      <c r="P22" s="3808"/>
      <c r="Q22" s="1536"/>
      <c r="R22" s="714"/>
      <c r="S22" s="715"/>
      <c r="T22" s="714"/>
      <c r="U22" s="715"/>
      <c r="V22" s="714"/>
      <c r="W22" s="715"/>
      <c r="X22" s="1539"/>
      <c r="Y22" s="3801"/>
      <c r="Z22" s="1540"/>
      <c r="AA22" s="1537">
        <v>1</v>
      </c>
      <c r="AB22" s="1537">
        <v>1</v>
      </c>
      <c r="AC22" s="1537">
        <v>1</v>
      </c>
    </row>
    <row r="23" spans="1:29" ht="57">
      <c r="A23" s="387"/>
      <c r="B23" s="410" t="s">
        <v>1947</v>
      </c>
      <c r="C23" s="2086" t="str">
        <f>估价对象房地状况!C9</f>
        <v>周边有隆福寺广场、东四清真寺等，自然及人文环境较好</v>
      </c>
      <c r="D23" s="409">
        <v>100</v>
      </c>
      <c r="E23" s="413"/>
      <c r="F23" s="409">
        <f>SUMIF(84:84,E24,85:85)-SUMIF(84:84,C24,85:85)+100</f>
        <v>100</v>
      </c>
      <c r="G23" s="411"/>
      <c r="H23" s="409">
        <f>SUMIF(84:84,G24,85:85)-SUMIF(84:84,C24,85:85)+100</f>
        <v>100</v>
      </c>
      <c r="I23" s="411"/>
      <c r="J23" s="409">
        <f>SUMIF(84:84,I24,85:85)-SUMIF(84:84,C24,85:85)+100</f>
        <v>100</v>
      </c>
      <c r="K23" s="404"/>
      <c r="L23" s="2949"/>
      <c r="M23" s="2943"/>
      <c r="N23" s="2943"/>
      <c r="O23" s="2943"/>
      <c r="P23" s="3808"/>
      <c r="Q23" s="1536" t="str">
        <f>B23</f>
        <v>自然及人文环境</v>
      </c>
      <c r="R23" s="714" t="s">
        <v>21</v>
      </c>
      <c r="S23" s="715">
        <f>F23</f>
        <v>100</v>
      </c>
      <c r="T23" s="714" t="s">
        <v>21</v>
      </c>
      <c r="U23" s="715">
        <f>H23</f>
        <v>100</v>
      </c>
      <c r="V23" s="714" t="s">
        <v>21</v>
      </c>
      <c r="W23" s="715">
        <f>J23</f>
        <v>100</v>
      </c>
      <c r="X23" s="1539"/>
      <c r="Y23" s="3801"/>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49"/>
      <c r="M24" s="2943"/>
      <c r="N24" s="2943"/>
      <c r="O24" s="2943"/>
      <c r="P24" s="3808"/>
      <c r="Q24" s="1536"/>
      <c r="R24" s="714"/>
      <c r="S24" s="715"/>
      <c r="T24" s="714"/>
      <c r="U24" s="715"/>
      <c r="V24" s="714"/>
      <c r="W24" s="715"/>
      <c r="X24" s="1539"/>
      <c r="Y24" s="3801"/>
      <c r="Z24" s="1540"/>
      <c r="AA24" s="1537">
        <v>1</v>
      </c>
      <c r="AB24" s="1537">
        <v>1</v>
      </c>
      <c r="AC24" s="1537">
        <v>1</v>
      </c>
    </row>
    <row r="25" spans="1:29" ht="15">
      <c r="A25" s="387"/>
      <c r="B25" s="381" t="s">
        <v>2382</v>
      </c>
      <c r="C25" s="419"/>
      <c r="D25" s="394">
        <v>100</v>
      </c>
      <c r="E25" s="2092"/>
      <c r="F25" s="394">
        <f>SUMIF(86:86,E25,87:87)-SUMIF(86:86,C25,87:87)+100</f>
        <v>100</v>
      </c>
      <c r="G25" s="2093"/>
      <c r="H25" s="394">
        <f>SUMIF(86:86,G25,87:87)-SUMIF(86:86,C25,87:87)+100</f>
        <v>100</v>
      </c>
      <c r="I25" s="2093"/>
      <c r="J25" s="394">
        <f>SUMIF(86:86,I25,87:87)-SUMIF(86:86,C25,87:87)+100</f>
        <v>100</v>
      </c>
      <c r="K25" s="385"/>
      <c r="L25" s="2949"/>
      <c r="M25" s="2943"/>
      <c r="N25" s="2943"/>
      <c r="O25" s="2943"/>
      <c r="P25" s="3808"/>
      <c r="Q25" s="1536" t="str">
        <f t="shared" ref="Q25:Q46" si="8">B25</f>
        <v>楼层-1</v>
      </c>
      <c r="R25" s="714" t="s">
        <v>21</v>
      </c>
      <c r="S25" s="715">
        <f t="shared" ref="S25:S46" si="9">F25</f>
        <v>100</v>
      </c>
      <c r="T25" s="714" t="s">
        <v>21</v>
      </c>
      <c r="U25" s="715">
        <f t="shared" ref="U25:U46" si="10">H25</f>
        <v>100</v>
      </c>
      <c r="V25" s="714" t="s">
        <v>21</v>
      </c>
      <c r="W25" s="715">
        <f t="shared" ref="W25:W46" si="11">J25</f>
        <v>100</v>
      </c>
      <c r="X25" s="1539"/>
      <c r="Y25" s="3801"/>
      <c r="Z25" s="1540" t="str">
        <f>Q25</f>
        <v>楼层-1</v>
      </c>
      <c r="AA25" s="1537">
        <f t="shared" ref="AA25:AA46" si="12">D25/F25</f>
        <v>1</v>
      </c>
      <c r="AB25" s="1537">
        <f t="shared" ref="AB25:AB46" si="13">D25/H25</f>
        <v>1</v>
      </c>
      <c r="AC25" s="1537">
        <f t="shared" ref="AC25:AC46" si="14">D25/J25</f>
        <v>1</v>
      </c>
    </row>
    <row r="26" spans="1:29" ht="15">
      <c r="A26" s="387"/>
      <c r="B26" s="381" t="s">
        <v>2383</v>
      </c>
      <c r="C26" s="419"/>
      <c r="D26" s="394">
        <v>100</v>
      </c>
      <c r="E26" s="2092"/>
      <c r="F26" s="394">
        <f>SUMIF(88:88,E26,89:89)-SUMIF(88:88,C26,89:89)+100</f>
        <v>100</v>
      </c>
      <c r="G26" s="2093"/>
      <c r="H26" s="394">
        <f>SUMIF(88:88,G26,89:89)-SUMIF(88:88,C26,89:89)+100</f>
        <v>100</v>
      </c>
      <c r="I26" s="2093"/>
      <c r="J26" s="394">
        <f>SUMIF(88:88,I26,89:89)-SUMIF(88:88,C26,89:89)+100</f>
        <v>100</v>
      </c>
      <c r="K26" s="385"/>
      <c r="L26" s="2949"/>
      <c r="M26" s="2943"/>
      <c r="N26" s="2943"/>
      <c r="O26" s="2943"/>
      <c r="P26" s="3808"/>
      <c r="Q26" s="1536" t="str">
        <f t="shared" si="8"/>
        <v>朝向</v>
      </c>
      <c r="R26" s="714" t="s">
        <v>21</v>
      </c>
      <c r="S26" s="715">
        <f t="shared" si="9"/>
        <v>100</v>
      </c>
      <c r="T26" s="714" t="s">
        <v>21</v>
      </c>
      <c r="U26" s="715">
        <f t="shared" si="10"/>
        <v>100</v>
      </c>
      <c r="V26" s="714" t="s">
        <v>21</v>
      </c>
      <c r="W26" s="715">
        <f t="shared" si="11"/>
        <v>100</v>
      </c>
      <c r="X26" s="1539"/>
      <c r="Y26" s="3801"/>
      <c r="Z26" s="1540" t="str">
        <f>Q26</f>
        <v>朝向</v>
      </c>
      <c r="AA26" s="1537">
        <f t="shared" si="12"/>
        <v>1</v>
      </c>
      <c r="AB26" s="1537">
        <f t="shared" si="13"/>
        <v>1</v>
      </c>
      <c r="AC26" s="1537">
        <f t="shared" si="14"/>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4"/>
      <c r="M27" s="2945"/>
      <c r="N27" s="2945"/>
      <c r="O27" s="2945"/>
      <c r="P27" s="3808"/>
      <c r="Q27" s="1527">
        <f t="shared" si="8"/>
        <v>111</v>
      </c>
      <c r="R27" s="710" t="s">
        <v>21</v>
      </c>
      <c r="S27" s="711">
        <f t="shared" si="9"/>
        <v>100</v>
      </c>
      <c r="T27" s="710" t="s">
        <v>21</v>
      </c>
      <c r="U27" s="711">
        <f t="shared" si="10"/>
        <v>100</v>
      </c>
      <c r="V27" s="710" t="s">
        <v>21</v>
      </c>
      <c r="W27" s="711">
        <f t="shared" si="11"/>
        <v>100</v>
      </c>
      <c r="X27" s="712"/>
      <c r="Y27" s="3801"/>
      <c r="Z27" s="55">
        <f>Q27</f>
        <v>111</v>
      </c>
      <c r="AA27" s="1537">
        <f t="shared" si="12"/>
        <v>1</v>
      </c>
      <c r="AB27" s="1537">
        <f t="shared" si="13"/>
        <v>1</v>
      </c>
      <c r="AC27" s="1537">
        <f t="shared" si="14"/>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49"/>
      <c r="M28" s="2943"/>
      <c r="N28" s="2943"/>
      <c r="O28" s="2943"/>
      <c r="P28" s="3808"/>
      <c r="Q28" s="1536">
        <f t="shared" si="8"/>
        <v>111</v>
      </c>
      <c r="R28" s="714" t="s">
        <v>21</v>
      </c>
      <c r="S28" s="715">
        <f t="shared" si="9"/>
        <v>100</v>
      </c>
      <c r="T28" s="714" t="s">
        <v>21</v>
      </c>
      <c r="U28" s="715">
        <f t="shared" si="10"/>
        <v>100</v>
      </c>
      <c r="V28" s="714" t="s">
        <v>21</v>
      </c>
      <c r="W28" s="715">
        <f t="shared" si="11"/>
        <v>100</v>
      </c>
      <c r="X28" s="1539"/>
      <c r="Y28" s="3801"/>
      <c r="Z28" s="1540">
        <f t="shared" ref="Z28:Z46" si="15">Q28</f>
        <v>111</v>
      </c>
      <c r="AA28" s="1537">
        <f t="shared" si="12"/>
        <v>1</v>
      </c>
      <c r="AB28" s="1537">
        <f t="shared" si="13"/>
        <v>1</v>
      </c>
      <c r="AC28" s="1537">
        <f t="shared" si="14"/>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49"/>
      <c r="M29" s="2943"/>
      <c r="N29" s="2943"/>
      <c r="O29" s="2943"/>
      <c r="P29" s="3808"/>
      <c r="Q29" s="1536">
        <f t="shared" si="8"/>
        <v>111</v>
      </c>
      <c r="R29" s="714" t="s">
        <v>21</v>
      </c>
      <c r="S29" s="715">
        <f t="shared" si="9"/>
        <v>100</v>
      </c>
      <c r="T29" s="714" t="s">
        <v>21</v>
      </c>
      <c r="U29" s="715">
        <f t="shared" si="10"/>
        <v>100</v>
      </c>
      <c r="V29" s="714" t="s">
        <v>21</v>
      </c>
      <c r="W29" s="715">
        <f t="shared" si="11"/>
        <v>100</v>
      </c>
      <c r="X29" s="1539"/>
      <c r="Y29" s="3801"/>
      <c r="Z29" s="1540">
        <f t="shared" si="15"/>
        <v>111</v>
      </c>
      <c r="AA29" s="1537">
        <f t="shared" si="12"/>
        <v>1</v>
      </c>
      <c r="AB29" s="1537">
        <f t="shared" si="13"/>
        <v>1</v>
      </c>
      <c r="AC29" s="1537">
        <f t="shared" si="14"/>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49"/>
      <c r="M30" s="2943"/>
      <c r="N30" s="2943"/>
      <c r="O30" s="2943"/>
      <c r="P30" s="3808"/>
      <c r="Q30" s="1536">
        <f t="shared" si="8"/>
        <v>111</v>
      </c>
      <c r="R30" s="714" t="s">
        <v>21</v>
      </c>
      <c r="S30" s="715">
        <f t="shared" si="9"/>
        <v>100</v>
      </c>
      <c r="T30" s="714" t="s">
        <v>21</v>
      </c>
      <c r="U30" s="715">
        <f t="shared" si="10"/>
        <v>100</v>
      </c>
      <c r="V30" s="714" t="s">
        <v>21</v>
      </c>
      <c r="W30" s="715">
        <f t="shared" si="11"/>
        <v>100</v>
      </c>
      <c r="X30" s="1539"/>
      <c r="Y30" s="3801"/>
      <c r="Z30" s="1540">
        <f t="shared" si="15"/>
        <v>111</v>
      </c>
      <c r="AA30" s="1537">
        <f t="shared" si="12"/>
        <v>1</v>
      </c>
      <c r="AB30" s="1537">
        <f t="shared" si="13"/>
        <v>1</v>
      </c>
      <c r="AC30" s="1537">
        <f t="shared" si="14"/>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49"/>
      <c r="M31" s="2943"/>
      <c r="N31" s="2943"/>
      <c r="O31" s="2943"/>
      <c r="P31" s="3808"/>
      <c r="Q31" s="1536">
        <f t="shared" si="8"/>
        <v>111</v>
      </c>
      <c r="R31" s="714" t="s">
        <v>21</v>
      </c>
      <c r="S31" s="715">
        <f t="shared" si="9"/>
        <v>100</v>
      </c>
      <c r="T31" s="714" t="s">
        <v>21</v>
      </c>
      <c r="U31" s="715">
        <f t="shared" si="10"/>
        <v>100</v>
      </c>
      <c r="V31" s="714" t="s">
        <v>21</v>
      </c>
      <c r="W31" s="715">
        <f t="shared" si="11"/>
        <v>100</v>
      </c>
      <c r="X31" s="1539"/>
      <c r="Y31" s="3801"/>
      <c r="Z31" s="1540">
        <f t="shared" si="15"/>
        <v>111</v>
      </c>
      <c r="AA31" s="1537">
        <f t="shared" si="12"/>
        <v>1</v>
      </c>
      <c r="AB31" s="1537">
        <f t="shared" si="13"/>
        <v>1</v>
      </c>
      <c r="AC31" s="1537">
        <f t="shared" si="14"/>
        <v>1</v>
      </c>
    </row>
    <row r="32" spans="1:29" ht="15">
      <c r="A32" s="399" t="s">
        <v>2384</v>
      </c>
      <c r="B32" s="67" t="s">
        <v>2385</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49"/>
      <c r="M32" s="2943"/>
      <c r="N32" s="2943"/>
      <c r="O32" s="2943"/>
      <c r="P32" s="3802" t="s">
        <v>2386</v>
      </c>
      <c r="Q32" s="1536" t="str">
        <f t="shared" si="8"/>
        <v>建筑类型</v>
      </c>
      <c r="R32" s="714" t="s">
        <v>21</v>
      </c>
      <c r="S32" s="715">
        <f t="shared" si="9"/>
        <v>100</v>
      </c>
      <c r="T32" s="714" t="s">
        <v>21</v>
      </c>
      <c r="U32" s="715">
        <f t="shared" si="10"/>
        <v>100</v>
      </c>
      <c r="V32" s="714" t="s">
        <v>21</v>
      </c>
      <c r="W32" s="715">
        <f t="shared" si="11"/>
        <v>100</v>
      </c>
      <c r="X32" s="1539"/>
      <c r="Y32" s="3805" t="s">
        <v>2386</v>
      </c>
      <c r="Z32" s="1540" t="str">
        <f t="shared" si="15"/>
        <v>建筑类型</v>
      </c>
      <c r="AA32" s="1537">
        <f t="shared" si="12"/>
        <v>1</v>
      </c>
      <c r="AB32" s="1537">
        <f t="shared" si="13"/>
        <v>1</v>
      </c>
      <c r="AC32" s="1537">
        <f t="shared" si="14"/>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48"/>
      <c r="M33" s="2950"/>
      <c r="N33" s="2950"/>
      <c r="O33" s="2950"/>
      <c r="P33" s="3803"/>
      <c r="Q33" s="716" t="str">
        <f t="shared" si="8"/>
        <v>项目建筑规模</v>
      </c>
      <c r="R33" s="717" t="s">
        <v>21</v>
      </c>
      <c r="S33" s="718" t="e">
        <f t="shared" si="9"/>
        <v>#N/A</v>
      </c>
      <c r="T33" s="717" t="s">
        <v>21</v>
      </c>
      <c r="U33" s="718" t="e">
        <f t="shared" si="10"/>
        <v>#N/A</v>
      </c>
      <c r="V33" s="717" t="s">
        <v>21</v>
      </c>
      <c r="W33" s="718" t="e">
        <f t="shared" si="11"/>
        <v>#N/A</v>
      </c>
      <c r="X33" s="719"/>
      <c r="Y33" s="3805"/>
      <c r="Z33" s="720" t="str">
        <f t="shared" si="15"/>
        <v>项目建筑规模</v>
      </c>
      <c r="AA33" s="1537" t="e">
        <f t="shared" si="12"/>
        <v>#N/A</v>
      </c>
      <c r="AB33" s="1537" t="e">
        <f t="shared" si="13"/>
        <v>#N/A</v>
      </c>
      <c r="AC33" s="1537" t="e">
        <f t="shared" si="14"/>
        <v>#N/A</v>
      </c>
    </row>
    <row r="34" spans="1:29" ht="15">
      <c r="A34" s="431"/>
      <c r="B34" s="381" t="s">
        <v>2388</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49"/>
      <c r="M34" s="2943"/>
      <c r="N34" s="2943"/>
      <c r="O34" s="2943"/>
      <c r="P34" s="3803"/>
      <c r="Q34" s="1536" t="str">
        <f t="shared" si="8"/>
        <v>建筑结构</v>
      </c>
      <c r="R34" s="714" t="s">
        <v>21</v>
      </c>
      <c r="S34" s="715">
        <f t="shared" si="9"/>
        <v>100</v>
      </c>
      <c r="T34" s="714" t="s">
        <v>21</v>
      </c>
      <c r="U34" s="715">
        <f t="shared" si="10"/>
        <v>100</v>
      </c>
      <c r="V34" s="714" t="s">
        <v>21</v>
      </c>
      <c r="W34" s="715">
        <f t="shared" si="11"/>
        <v>100</v>
      </c>
      <c r="X34" s="1539"/>
      <c r="Y34" s="3805"/>
      <c r="Z34" s="1540" t="str">
        <f t="shared" si="15"/>
        <v>建筑结构</v>
      </c>
      <c r="AA34" s="1537">
        <f t="shared" si="12"/>
        <v>1</v>
      </c>
      <c r="AB34" s="1537">
        <f t="shared" si="13"/>
        <v>1</v>
      </c>
      <c r="AC34" s="1537">
        <f t="shared" si="14"/>
        <v>1</v>
      </c>
    </row>
    <row r="35" spans="1:29" ht="15">
      <c r="A35" s="431"/>
      <c r="B35" s="381" t="s">
        <v>2389</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49"/>
      <c r="M35" s="2943"/>
      <c r="N35" s="2943"/>
      <c r="O35" s="2943"/>
      <c r="P35" s="3803"/>
      <c r="Q35" s="1536" t="str">
        <f t="shared" si="8"/>
        <v>建筑品质</v>
      </c>
      <c r="R35" s="714" t="s">
        <v>21</v>
      </c>
      <c r="S35" s="715">
        <f t="shared" si="9"/>
        <v>100</v>
      </c>
      <c r="T35" s="714" t="s">
        <v>21</v>
      </c>
      <c r="U35" s="715">
        <f t="shared" si="10"/>
        <v>100</v>
      </c>
      <c r="V35" s="714" t="s">
        <v>21</v>
      </c>
      <c r="W35" s="715">
        <f t="shared" si="11"/>
        <v>100</v>
      </c>
      <c r="X35" s="1539"/>
      <c r="Y35" s="3805"/>
      <c r="Z35" s="1540" t="str">
        <f t="shared" si="15"/>
        <v>建筑品质</v>
      </c>
      <c r="AA35" s="1537">
        <f t="shared" si="12"/>
        <v>1</v>
      </c>
      <c r="AB35" s="1537">
        <f t="shared" si="13"/>
        <v>1</v>
      </c>
      <c r="AC35" s="1537">
        <f t="shared" si="14"/>
        <v>1</v>
      </c>
    </row>
    <row r="36" spans="1:29" ht="15">
      <c r="A36" s="431"/>
      <c r="B36" s="381" t="s">
        <v>2390</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49"/>
      <c r="M36" s="2943"/>
      <c r="N36" s="2943"/>
      <c r="O36" s="2943"/>
      <c r="P36" s="3803"/>
      <c r="Q36" s="1536" t="str">
        <f t="shared" si="8"/>
        <v>公共部分装修</v>
      </c>
      <c r="R36" s="714" t="s">
        <v>21</v>
      </c>
      <c r="S36" s="715">
        <f t="shared" si="9"/>
        <v>100</v>
      </c>
      <c r="T36" s="714" t="s">
        <v>21</v>
      </c>
      <c r="U36" s="715">
        <f t="shared" si="10"/>
        <v>100</v>
      </c>
      <c r="V36" s="714" t="s">
        <v>21</v>
      </c>
      <c r="W36" s="715">
        <f t="shared" si="11"/>
        <v>100</v>
      </c>
      <c r="X36" s="1539"/>
      <c r="Y36" s="3805"/>
      <c r="Z36" s="1540" t="str">
        <f t="shared" si="15"/>
        <v>公共部分装修</v>
      </c>
      <c r="AA36" s="1537">
        <f t="shared" si="12"/>
        <v>1</v>
      </c>
      <c r="AB36" s="1537">
        <f t="shared" si="13"/>
        <v>1</v>
      </c>
      <c r="AC36" s="1537">
        <f t="shared" si="14"/>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4"/>
      <c r="M37" s="2945"/>
      <c r="N37" s="2945"/>
      <c r="O37" s="2945"/>
      <c r="P37" s="3803"/>
      <c r="Q37" s="1527" t="str">
        <f t="shared" si="8"/>
        <v>成新度</v>
      </c>
      <c r="R37" s="710" t="s">
        <v>21</v>
      </c>
      <c r="S37" s="711" t="e">
        <f t="shared" si="9"/>
        <v>#N/A</v>
      </c>
      <c r="T37" s="710" t="s">
        <v>21</v>
      </c>
      <c r="U37" s="711" t="e">
        <f t="shared" si="10"/>
        <v>#N/A</v>
      </c>
      <c r="V37" s="710" t="s">
        <v>21</v>
      </c>
      <c r="W37" s="711" t="e">
        <f t="shared" si="11"/>
        <v>#N/A</v>
      </c>
      <c r="X37" s="712"/>
      <c r="Y37" s="3805"/>
      <c r="Z37" s="55" t="str">
        <f t="shared" si="15"/>
        <v>成新度</v>
      </c>
      <c r="AA37" s="713" t="e">
        <f t="shared" si="12"/>
        <v>#N/A</v>
      </c>
      <c r="AB37" s="713" t="e">
        <f t="shared" si="13"/>
        <v>#N/A</v>
      </c>
      <c r="AC37" s="713" t="e">
        <f t="shared" si="14"/>
        <v>#N/A</v>
      </c>
    </row>
    <row r="38" spans="1:29" ht="15">
      <c r="A38" s="431"/>
      <c r="B38" s="381" t="s">
        <v>2392</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49"/>
      <c r="M38" s="2943"/>
      <c r="N38" s="2943"/>
      <c r="O38" s="2943"/>
      <c r="P38" s="3803" t="s">
        <v>2386</v>
      </c>
      <c r="Q38" s="1536" t="str">
        <f t="shared" si="8"/>
        <v>物业管理</v>
      </c>
      <c r="R38" s="714" t="s">
        <v>21</v>
      </c>
      <c r="S38" s="715">
        <f t="shared" si="9"/>
        <v>100</v>
      </c>
      <c r="T38" s="714" t="s">
        <v>21</v>
      </c>
      <c r="U38" s="715">
        <f t="shared" si="10"/>
        <v>100</v>
      </c>
      <c r="V38" s="714" t="s">
        <v>21</v>
      </c>
      <c r="W38" s="715">
        <f t="shared" si="11"/>
        <v>100</v>
      </c>
      <c r="X38" s="1539"/>
      <c r="Y38" s="3805" t="s">
        <v>2386</v>
      </c>
      <c r="Z38" s="1540" t="str">
        <f t="shared" si="15"/>
        <v>物业管理</v>
      </c>
      <c r="AA38" s="1537">
        <f t="shared" si="12"/>
        <v>1</v>
      </c>
      <c r="AB38" s="1537">
        <f t="shared" si="13"/>
        <v>1</v>
      </c>
      <c r="AC38" s="1537">
        <f t="shared" si="14"/>
        <v>1</v>
      </c>
    </row>
    <row r="39" spans="1:29" ht="15">
      <c r="A39" s="431"/>
      <c r="B39" s="381" t="s">
        <v>2393</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49"/>
      <c r="M39" s="2943"/>
      <c r="N39" s="2943"/>
      <c r="O39" s="2943"/>
      <c r="P39" s="3803"/>
      <c r="Q39" s="1536" t="str">
        <f t="shared" si="8"/>
        <v>市政基础设施</v>
      </c>
      <c r="R39" s="714" t="s">
        <v>21</v>
      </c>
      <c r="S39" s="715">
        <f t="shared" si="9"/>
        <v>100</v>
      </c>
      <c r="T39" s="714" t="s">
        <v>21</v>
      </c>
      <c r="U39" s="715">
        <f t="shared" si="10"/>
        <v>100</v>
      </c>
      <c r="V39" s="714" t="s">
        <v>21</v>
      </c>
      <c r="W39" s="715">
        <f t="shared" si="11"/>
        <v>100</v>
      </c>
      <c r="X39" s="1539"/>
      <c r="Y39" s="3805"/>
      <c r="Z39" s="1540" t="str">
        <f t="shared" si="15"/>
        <v>市政基础设施</v>
      </c>
      <c r="AA39" s="1537">
        <f t="shared" si="12"/>
        <v>1</v>
      </c>
      <c r="AB39" s="1537">
        <f t="shared" si="13"/>
        <v>1</v>
      </c>
      <c r="AC39" s="1537">
        <f t="shared" si="14"/>
        <v>1</v>
      </c>
    </row>
    <row r="40" spans="1:29" ht="15">
      <c r="A40" s="431"/>
      <c r="B40" s="381" t="s">
        <v>2394</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49"/>
      <c r="M40" s="2943"/>
      <c r="N40" s="2943"/>
      <c r="O40" s="2943"/>
      <c r="P40" s="3803"/>
      <c r="Q40" s="1536" t="str">
        <f t="shared" si="8"/>
        <v>房型</v>
      </c>
      <c r="R40" s="714" t="s">
        <v>21</v>
      </c>
      <c r="S40" s="715">
        <f t="shared" si="9"/>
        <v>100</v>
      </c>
      <c r="T40" s="714" t="s">
        <v>21</v>
      </c>
      <c r="U40" s="715">
        <f t="shared" si="10"/>
        <v>100</v>
      </c>
      <c r="V40" s="714" t="s">
        <v>21</v>
      </c>
      <c r="W40" s="715">
        <f t="shared" si="11"/>
        <v>100</v>
      </c>
      <c r="X40" s="1539"/>
      <c r="Y40" s="3805"/>
      <c r="Z40" s="1540" t="str">
        <f t="shared" si="15"/>
        <v>房型</v>
      </c>
      <c r="AA40" s="1537">
        <f t="shared" si="12"/>
        <v>1</v>
      </c>
      <c r="AB40" s="1537">
        <f t="shared" si="13"/>
        <v>1</v>
      </c>
      <c r="AC40" s="1537">
        <f t="shared" si="14"/>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48"/>
      <c r="M41" s="2950"/>
      <c r="N41" s="2950"/>
      <c r="O41" s="2950"/>
      <c r="P41" s="3803"/>
      <c r="Q41" s="716" t="str">
        <f t="shared" si="8"/>
        <v>单套/主力户型建筑面积</v>
      </c>
      <c r="R41" s="717" t="s">
        <v>21</v>
      </c>
      <c r="S41" s="718">
        <f t="shared" si="9"/>
        <v>100</v>
      </c>
      <c r="T41" s="717" t="s">
        <v>21</v>
      </c>
      <c r="U41" s="718">
        <f t="shared" si="10"/>
        <v>100</v>
      </c>
      <c r="V41" s="717" t="s">
        <v>21</v>
      </c>
      <c r="W41" s="718">
        <f t="shared" si="11"/>
        <v>100</v>
      </c>
      <c r="X41" s="719"/>
      <c r="Y41" s="3805"/>
      <c r="Z41" s="720" t="str">
        <f t="shared" si="15"/>
        <v>单套/主力户型建筑面积</v>
      </c>
      <c r="AA41" s="1537">
        <f t="shared" si="12"/>
        <v>1</v>
      </c>
      <c r="AB41" s="1537">
        <f t="shared" si="13"/>
        <v>1</v>
      </c>
      <c r="AC41" s="1537">
        <f t="shared" si="14"/>
        <v>1</v>
      </c>
    </row>
    <row r="42" spans="1:29" ht="15">
      <c r="A42" s="431"/>
      <c r="B42" s="381" t="s">
        <v>2396</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49"/>
      <c r="M42" s="2943"/>
      <c r="N42" s="2943"/>
      <c r="O42" s="2943"/>
      <c r="P42" s="3803"/>
      <c r="Q42" s="1536" t="str">
        <f t="shared" si="8"/>
        <v>内部装修</v>
      </c>
      <c r="R42" s="714" t="s">
        <v>21</v>
      </c>
      <c r="S42" s="715">
        <f t="shared" si="9"/>
        <v>100</v>
      </c>
      <c r="T42" s="714" t="s">
        <v>21</v>
      </c>
      <c r="U42" s="715">
        <f t="shared" si="10"/>
        <v>100</v>
      </c>
      <c r="V42" s="714" t="s">
        <v>21</v>
      </c>
      <c r="W42" s="715">
        <f t="shared" si="11"/>
        <v>100</v>
      </c>
      <c r="X42" s="1539"/>
      <c r="Y42" s="3805"/>
      <c r="Z42" s="1540" t="str">
        <f t="shared" si="15"/>
        <v>内部装修</v>
      </c>
      <c r="AA42" s="1537">
        <f t="shared" si="12"/>
        <v>1</v>
      </c>
      <c r="AB42" s="1537">
        <f t="shared" si="13"/>
        <v>1</v>
      </c>
      <c r="AC42" s="1537">
        <f t="shared" si="14"/>
        <v>1</v>
      </c>
    </row>
    <row r="43" spans="1:29" ht="15">
      <c r="A43" s="431"/>
      <c r="B43" s="381" t="s">
        <v>2397</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49"/>
      <c r="M43" s="2943"/>
      <c r="N43" s="2943"/>
      <c r="O43" s="2943"/>
      <c r="P43" s="3803"/>
      <c r="Q43" s="1536" t="str">
        <f t="shared" si="8"/>
        <v>内部装修维护情况</v>
      </c>
      <c r="R43" s="714" t="s">
        <v>21</v>
      </c>
      <c r="S43" s="715">
        <f t="shared" si="9"/>
        <v>100</v>
      </c>
      <c r="T43" s="714" t="s">
        <v>21</v>
      </c>
      <c r="U43" s="715">
        <f t="shared" si="10"/>
        <v>100</v>
      </c>
      <c r="V43" s="714" t="s">
        <v>21</v>
      </c>
      <c r="W43" s="715">
        <f t="shared" si="11"/>
        <v>100</v>
      </c>
      <c r="X43" s="1539"/>
      <c r="Y43" s="3805"/>
      <c r="Z43" s="1540" t="str">
        <f t="shared" si="15"/>
        <v>内部装修维护情况</v>
      </c>
      <c r="AA43" s="1537">
        <f t="shared" si="12"/>
        <v>1</v>
      </c>
      <c r="AB43" s="1537">
        <f t="shared" si="13"/>
        <v>1</v>
      </c>
      <c r="AC43" s="1537">
        <f t="shared" si="14"/>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4"/>
      <c r="M44" s="2945"/>
      <c r="N44" s="2945"/>
      <c r="O44" s="2945"/>
      <c r="P44" s="3803"/>
      <c r="Q44" s="1527">
        <f t="shared" si="8"/>
        <v>111</v>
      </c>
      <c r="R44" s="710" t="s">
        <v>21</v>
      </c>
      <c r="S44" s="711">
        <f t="shared" si="9"/>
        <v>100</v>
      </c>
      <c r="T44" s="710" t="s">
        <v>21</v>
      </c>
      <c r="U44" s="711">
        <f t="shared" si="10"/>
        <v>100</v>
      </c>
      <c r="V44" s="710" t="s">
        <v>21</v>
      </c>
      <c r="W44" s="711">
        <f t="shared" si="11"/>
        <v>100</v>
      </c>
      <c r="X44" s="712"/>
      <c r="Y44" s="3805"/>
      <c r="Z44" s="55">
        <f t="shared" si="15"/>
        <v>111</v>
      </c>
      <c r="AA44" s="713">
        <f t="shared" si="12"/>
        <v>1</v>
      </c>
      <c r="AB44" s="713">
        <f t="shared" si="13"/>
        <v>1</v>
      </c>
      <c r="AC44" s="713">
        <f t="shared" si="14"/>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49"/>
      <c r="M45" s="2943"/>
      <c r="N45" s="2943"/>
      <c r="O45" s="2943"/>
      <c r="P45" s="3803"/>
      <c r="Q45" s="1536">
        <f t="shared" si="8"/>
        <v>111</v>
      </c>
      <c r="R45" s="714" t="s">
        <v>21</v>
      </c>
      <c r="S45" s="715">
        <f t="shared" si="9"/>
        <v>100</v>
      </c>
      <c r="T45" s="714" t="s">
        <v>21</v>
      </c>
      <c r="U45" s="715">
        <f t="shared" si="10"/>
        <v>100</v>
      </c>
      <c r="V45" s="714" t="s">
        <v>21</v>
      </c>
      <c r="W45" s="715">
        <f t="shared" si="11"/>
        <v>100</v>
      </c>
      <c r="X45" s="1539"/>
      <c r="Y45" s="3805"/>
      <c r="Z45" s="1540">
        <f t="shared" si="15"/>
        <v>111</v>
      </c>
      <c r="AA45" s="1537">
        <f t="shared" si="12"/>
        <v>1</v>
      </c>
      <c r="AB45" s="1537">
        <f t="shared" si="13"/>
        <v>1</v>
      </c>
      <c r="AC45" s="1537">
        <f t="shared" si="14"/>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49"/>
      <c r="M46" s="2943"/>
      <c r="N46" s="2943"/>
      <c r="O46" s="2943"/>
      <c r="P46" s="3804"/>
      <c r="Q46" s="1536">
        <f t="shared" si="8"/>
        <v>111</v>
      </c>
      <c r="R46" s="714" t="s">
        <v>20</v>
      </c>
      <c r="S46" s="715">
        <f t="shared" si="9"/>
        <v>100</v>
      </c>
      <c r="T46" s="714" t="s">
        <v>20</v>
      </c>
      <c r="U46" s="715">
        <f t="shared" si="10"/>
        <v>100</v>
      </c>
      <c r="V46" s="714" t="s">
        <v>20</v>
      </c>
      <c r="W46" s="715">
        <f t="shared" si="11"/>
        <v>100</v>
      </c>
      <c r="X46" s="1539"/>
      <c r="Y46" s="3806"/>
      <c r="Z46" s="1540">
        <f t="shared" si="15"/>
        <v>111</v>
      </c>
      <c r="AA46" s="1537">
        <f t="shared" si="12"/>
        <v>1</v>
      </c>
      <c r="AB46" s="1537">
        <f t="shared" si="13"/>
        <v>1</v>
      </c>
      <c r="AC46" s="1537">
        <f t="shared" si="14"/>
        <v>1</v>
      </c>
    </row>
    <row r="47" spans="1:29" ht="15">
      <c r="A47" s="438" t="s">
        <v>2398</v>
      </c>
      <c r="B47" s="439"/>
      <c r="C47" s="1316" t="s">
        <v>19</v>
      </c>
      <c r="D47" s="1317"/>
      <c r="E47" s="1318"/>
      <c r="F47" s="1319"/>
      <c r="G47" s="1320"/>
      <c r="H47" s="1321"/>
      <c r="I47" s="1318"/>
      <c r="J47" s="1321"/>
      <c r="K47" s="2100"/>
      <c r="L47" s="2951"/>
      <c r="M47" s="2952"/>
      <c r="N47" s="2943"/>
      <c r="O47" s="2952"/>
      <c r="P47" s="3798" t="str">
        <f>A47</f>
        <v>成交单价（元/平方米）</v>
      </c>
      <c r="Q47" s="3798"/>
      <c r="R47" s="3799">
        <f>E47</f>
        <v>0</v>
      </c>
      <c r="S47" s="3799"/>
      <c r="T47" s="3799">
        <f>G47</f>
        <v>0</v>
      </c>
      <c r="U47" s="3799"/>
      <c r="V47" s="3799">
        <f>I47</f>
        <v>0</v>
      </c>
      <c r="W47" s="3799"/>
      <c r="X47" s="699"/>
      <c r="Y47" s="721"/>
      <c r="Z47" s="699"/>
      <c r="AA47" s="699"/>
      <c r="AB47" s="699"/>
      <c r="AC47" s="699"/>
    </row>
    <row r="48" spans="1:29" ht="15.75" thickBot="1">
      <c r="A48" s="445" t="s">
        <v>2399</v>
      </c>
      <c r="B48" s="446"/>
      <c r="C48" s="1322" t="e">
        <f>R49</f>
        <v>#DIV/0!</v>
      </c>
      <c r="D48" s="2538" t="s">
        <v>2877</v>
      </c>
      <c r="E48" s="1323" t="e">
        <f>R48</f>
        <v>#DIV/0!</v>
      </c>
      <c r="F48" s="2539"/>
      <c r="G48" s="1322" t="e">
        <f>T48</f>
        <v>#DIV/0!</v>
      </c>
      <c r="H48" s="2539"/>
      <c r="I48" s="1323" t="e">
        <f>V48</f>
        <v>#DIV/0!</v>
      </c>
      <c r="J48" s="2539"/>
      <c r="K48" s="2540">
        <f>F48+H48+J48</f>
        <v>0</v>
      </c>
      <c r="L48" s="2951"/>
      <c r="M48" s="2952"/>
      <c r="N48" s="2952"/>
      <c r="O48" s="2952"/>
      <c r="P48" s="3798" t="str">
        <f>A48</f>
        <v>比较价值（元/平方米）</v>
      </c>
      <c r="Q48" s="3798"/>
      <c r="R48" s="3799" t="e">
        <f>IF(F1="售价",ROUND(PRODUCT(R47,AA7:AA46),0),ROUND(PRODUCT(R47,AA7:AA46),1))</f>
        <v>#DIV/0!</v>
      </c>
      <c r="S48" s="3799"/>
      <c r="T48" s="3799" t="e">
        <f>IF(F1="售价",ROUND(PRODUCT(T47,AB7:AB46),0),ROUND(PRODUCT(T47,AB7:AB46),1))</f>
        <v>#DIV/0!</v>
      </c>
      <c r="U48" s="3799"/>
      <c r="V48" s="3799" t="e">
        <f>IF(F1="售价",ROUND(PRODUCT(V47,AC7:AC46),0),ROUND(PRODUCT(V47,AC7:AC46),1))</f>
        <v>#DIV/0!</v>
      </c>
      <c r="W48" s="3799"/>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1"/>
      <c r="L49" s="2951"/>
      <c r="M49" s="2952"/>
      <c r="N49" s="2952"/>
      <c r="O49" s="2952"/>
      <c r="P49" s="3795" t="str">
        <f>A49</f>
        <v>估价对象XX用房的比较价值（楼面单价，元/平方米）</v>
      </c>
      <c r="Q49" s="3796"/>
      <c r="R49" s="3797" t="e">
        <f>IF(F1="售价",ROUND(IF(D48="简单平均",AVERAGE(R48:V48),R48*F48+T48*H48+V48*J48),0),ROUND(IF(D48="简单平均",AVERAGE(R48:V48),R48*F48+T48*H48+V48*J48),1))</f>
        <v>#DIV/0!</v>
      </c>
      <c r="S49" s="3797"/>
      <c r="T49" s="3797"/>
      <c r="U49" s="3797"/>
      <c r="V49" s="3797"/>
      <c r="W49" s="3797"/>
      <c r="X49" s="699"/>
      <c r="Y49" s="699"/>
      <c r="Z49" s="699"/>
      <c r="AA49" s="699"/>
      <c r="AB49" s="699"/>
      <c r="AC49" s="699"/>
    </row>
    <row r="50" spans="1:29">
      <c r="A50" s="2952"/>
      <c r="B50" s="2952"/>
      <c r="C50" s="2952"/>
      <c r="D50" s="2952"/>
      <c r="E50" s="2952"/>
      <c r="F50" s="2952"/>
      <c r="G50" s="2956"/>
      <c r="H50" s="2952"/>
      <c r="I50" s="2952"/>
      <c r="J50" s="2952"/>
      <c r="K50" s="2957"/>
      <c r="L50" s="2953"/>
      <c r="M50" s="2952"/>
      <c r="N50" s="2952"/>
      <c r="O50" s="2952"/>
    </row>
    <row r="51" spans="1:29">
      <c r="A51" s="2952"/>
      <c r="B51" s="2952"/>
      <c r="C51" s="2952"/>
      <c r="D51" s="2952"/>
      <c r="E51" s="2952"/>
      <c r="F51" s="2952"/>
      <c r="G51" s="2952"/>
      <c r="H51" s="2952"/>
      <c r="I51" s="2952"/>
      <c r="J51" s="2952"/>
      <c r="K51" s="2957"/>
      <c r="L51" s="2953"/>
      <c r="M51" s="2952"/>
      <c r="N51" s="2952"/>
      <c r="O51" s="2952"/>
    </row>
    <row r="52" spans="1:29" ht="13.5" customHeight="1">
      <c r="A52" s="2952"/>
      <c r="B52" s="2952"/>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row>
    <row r="53" spans="1:29" ht="13.5" customHeight="1">
      <c r="A53" s="2952"/>
      <c r="B53" s="2952"/>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row>
    <row r="54" spans="1:29" s="459" customFormat="1" ht="13.5" customHeight="1">
      <c r="A54" s="2955"/>
      <c r="B54" s="2955"/>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103"/>
    </row>
    <row r="55" spans="1:29" s="459" customFormat="1">
      <c r="A55" s="2955"/>
      <c r="B55" s="2958"/>
      <c r="C55" s="2959"/>
      <c r="D55" s="2955"/>
      <c r="E55" s="2955"/>
      <c r="F55" s="2955"/>
      <c r="G55" s="2955"/>
      <c r="H55" s="2955"/>
      <c r="I55" s="2955"/>
      <c r="J55" s="2955"/>
      <c r="K55" s="2960"/>
      <c r="L55" s="2954"/>
      <c r="M55" s="2955"/>
      <c r="N55" s="2955"/>
      <c r="O55" s="2955"/>
      <c r="P55" s="2103"/>
    </row>
    <row r="56" spans="1:29">
      <c r="A56" s="2952"/>
      <c r="B56" s="2958"/>
      <c r="C56" s="2959"/>
      <c r="D56" s="2952"/>
      <c r="E56" s="2952"/>
      <c r="F56" s="2952"/>
      <c r="G56" s="2952"/>
      <c r="H56" s="2952"/>
      <c r="I56" s="2952"/>
      <c r="J56" s="2952"/>
      <c r="K56" s="2957"/>
      <c r="L56" s="2953"/>
      <c r="M56" s="2952"/>
      <c r="N56" s="2952"/>
      <c r="O56" s="2952"/>
    </row>
    <row r="57" spans="1:29" ht="21.75" thickBot="1">
      <c r="A57" s="703" t="s">
        <v>2404</v>
      </c>
      <c r="B57" s="699"/>
      <c r="C57" s="704"/>
      <c r="D57" s="704"/>
      <c r="E57" s="704"/>
      <c r="F57" s="705"/>
      <c r="G57" s="705"/>
      <c r="H57" s="704"/>
      <c r="I57" s="704"/>
      <c r="J57" s="704"/>
      <c r="K57" s="1072"/>
      <c r="L57" s="1073"/>
      <c r="M57" s="1071"/>
      <c r="N57" s="1071"/>
      <c r="O57" s="1071"/>
      <c r="P57" s="2104"/>
      <c r="Q57" s="461"/>
    </row>
    <row r="58" spans="1:29" s="465" customFormat="1" ht="15">
      <c r="A58" s="462" t="s">
        <v>2405</v>
      </c>
      <c r="B58" s="463"/>
      <c r="C58" s="1348" t="str">
        <f>YEAR(C7)&amp;"-"&amp;MONTH(C7)</f>
        <v>2017-6</v>
      </c>
      <c r="D58" s="1347">
        <f>EDATE(C58,-1)</f>
        <v>42856</v>
      </c>
      <c r="E58" s="1347">
        <f>EDATE(D58,-1)</f>
        <v>42826</v>
      </c>
      <c r="F58" s="1347">
        <f t="shared" ref="F58:O58" si="16">EDATE(E58,-1)</f>
        <v>42795</v>
      </c>
      <c r="G58" s="1347">
        <f t="shared" si="16"/>
        <v>42767</v>
      </c>
      <c r="H58" s="1347">
        <f t="shared" si="16"/>
        <v>42736</v>
      </c>
      <c r="I58" s="1347">
        <f t="shared" si="16"/>
        <v>42705</v>
      </c>
      <c r="J58" s="1347">
        <f t="shared" si="16"/>
        <v>42675</v>
      </c>
      <c r="K58" s="1347">
        <f t="shared" si="16"/>
        <v>42644</v>
      </c>
      <c r="L58" s="1347">
        <f t="shared" si="16"/>
        <v>42614</v>
      </c>
      <c r="M58" s="1347">
        <f t="shared" si="16"/>
        <v>42583</v>
      </c>
      <c r="N58" s="1347">
        <f t="shared" si="16"/>
        <v>42552</v>
      </c>
      <c r="O58" s="1347">
        <f t="shared" si="16"/>
        <v>42522</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2406</v>
      </c>
      <c r="B60" s="473"/>
      <c r="C60" s="474"/>
      <c r="D60" s="475"/>
      <c r="E60" s="475"/>
      <c r="F60" s="475"/>
      <c r="G60" s="475"/>
      <c r="H60" s="475"/>
      <c r="I60" s="475"/>
      <c r="J60" s="475"/>
      <c r="K60" s="475"/>
      <c r="L60" s="475"/>
      <c r="M60" s="476"/>
      <c r="N60" s="475"/>
      <c r="O60" s="476"/>
      <c r="P60" s="2106"/>
      <c r="Q60" s="461"/>
    </row>
    <row r="61" spans="1:29" s="113" customFormat="1" ht="15">
      <c r="A61" s="478" t="s">
        <v>2407</v>
      </c>
      <c r="B61" s="467"/>
      <c r="C61" s="479" t="s">
        <v>2408</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2409</v>
      </c>
      <c r="B63" s="485" t="s">
        <v>2375</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8"/>
      <c r="Q65" s="461"/>
    </row>
    <row r="66" spans="1:17" ht="15.75" thickBot="1">
      <c r="A66" s="491"/>
      <c r="B66" s="500"/>
      <c r="C66" s="501">
        <v>100</v>
      </c>
      <c r="D66" s="501">
        <f t="shared" ref="D66:I66" si="17">C66-$K10</f>
        <v>100</v>
      </c>
      <c r="E66" s="501">
        <f t="shared" si="17"/>
        <v>100</v>
      </c>
      <c r="F66" s="501">
        <f t="shared" si="17"/>
        <v>100</v>
      </c>
      <c r="G66" s="501">
        <f t="shared" si="17"/>
        <v>100</v>
      </c>
      <c r="H66" s="501">
        <f t="shared" si="17"/>
        <v>100</v>
      </c>
      <c r="I66" s="501">
        <f t="shared" si="17"/>
        <v>100</v>
      </c>
      <c r="J66" s="501"/>
      <c r="K66" s="501"/>
      <c r="L66" s="501"/>
      <c r="M66" s="502"/>
      <c r="N66" s="1065"/>
      <c r="O66" s="1065"/>
      <c r="P66" s="2108"/>
      <c r="Q66" s="461"/>
    </row>
    <row r="67" spans="1:17" ht="15.75" thickTop="1">
      <c r="A67" s="491"/>
      <c r="B67" s="503" t="s">
        <v>2379</v>
      </c>
      <c r="C67" s="504" t="str">
        <f>C68&amp;"（含）"&amp;"-"&amp;D68</f>
        <v>（含）-</v>
      </c>
      <c r="D67" s="504" t="str">
        <f t="shared" ref="D67:L67" si="18">D68&amp;"（含）"&amp;"-"&amp;E68</f>
        <v>（含）-</v>
      </c>
      <c r="E67" s="504" t="str">
        <f t="shared" si="18"/>
        <v>（含）-</v>
      </c>
      <c r="F67" s="504" t="str">
        <f t="shared" si="18"/>
        <v>（含）-</v>
      </c>
      <c r="G67" s="504" t="str">
        <f t="shared" si="18"/>
        <v>（含）-</v>
      </c>
      <c r="H67" s="504" t="str">
        <f t="shared" si="18"/>
        <v>（含）-</v>
      </c>
      <c r="I67" s="504" t="str">
        <f t="shared" si="18"/>
        <v>（含）-</v>
      </c>
      <c r="J67" s="504" t="str">
        <f t="shared" si="18"/>
        <v>（含）-</v>
      </c>
      <c r="K67" s="504" t="str">
        <f>K68&amp;"（含）"&amp;"-"&amp;L68</f>
        <v>（含）-</v>
      </c>
      <c r="L67" s="504" t="str">
        <f t="shared" si="18"/>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19">C69-$K11</f>
        <v>100</v>
      </c>
      <c r="E69" s="501">
        <f t="shared" si="19"/>
        <v>100</v>
      </c>
      <c r="F69" s="501">
        <f t="shared" si="19"/>
        <v>100</v>
      </c>
      <c r="G69" s="501">
        <f t="shared" si="19"/>
        <v>100</v>
      </c>
      <c r="H69" s="501">
        <f t="shared" si="19"/>
        <v>100</v>
      </c>
      <c r="I69" s="501">
        <f t="shared" si="19"/>
        <v>100</v>
      </c>
      <c r="J69" s="501">
        <f t="shared" si="19"/>
        <v>100</v>
      </c>
      <c r="K69" s="501">
        <f t="shared" si="19"/>
        <v>100</v>
      </c>
      <c r="L69" s="501">
        <f t="shared" si="19"/>
        <v>100</v>
      </c>
      <c r="M69" s="502">
        <f t="shared" si="19"/>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08"/>
      <c r="Q82" s="461"/>
    </row>
    <row r="83" spans="1:17" ht="15.75" thickBot="1">
      <c r="A83" s="491"/>
      <c r="B83" s="503"/>
      <c r="C83" s="616">
        <v>100</v>
      </c>
      <c r="D83" s="616">
        <f>C83-$K21</f>
        <v>100</v>
      </c>
      <c r="E83" s="616">
        <f>D83-$K21</f>
        <v>100</v>
      </c>
      <c r="F83" s="616">
        <f>E83-$K21</f>
        <v>100</v>
      </c>
      <c r="G83" s="616">
        <f>F83-$K21</f>
        <v>100</v>
      </c>
      <c r="H83" s="616"/>
      <c r="I83" s="616"/>
      <c r="J83" s="616"/>
      <c r="K83" s="616"/>
      <c r="L83" s="616"/>
      <c r="M83" s="409"/>
      <c r="N83" s="1065"/>
      <c r="O83" s="1065"/>
      <c r="P83" s="2108"/>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2431</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0">$C$87-($C$86-D86)*$K$25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1065"/>
      <c r="O87" s="1065"/>
      <c r="P87" s="2108"/>
      <c r="Q87" s="461"/>
    </row>
    <row r="88" spans="1:17" s="113" customFormat="1" ht="15.75" thickTop="1">
      <c r="A88" s="536"/>
      <c r="B88" s="495" t="s">
        <v>2432</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1">C89-$K26</f>
        <v>100</v>
      </c>
      <c r="E89" s="501">
        <f t="shared" si="21"/>
        <v>100</v>
      </c>
      <c r="F89" s="501">
        <f t="shared" si="21"/>
        <v>100</v>
      </c>
      <c r="G89" s="501">
        <f t="shared" si="21"/>
        <v>100</v>
      </c>
      <c r="H89" s="501">
        <f t="shared" si="21"/>
        <v>100</v>
      </c>
      <c r="I89" s="501">
        <f t="shared" si="21"/>
        <v>100</v>
      </c>
      <c r="J89" s="501">
        <f t="shared" si="21"/>
        <v>100</v>
      </c>
      <c r="K89" s="501">
        <f t="shared" si="21"/>
        <v>100</v>
      </c>
      <c r="L89" s="501">
        <f t="shared" si="21"/>
        <v>100</v>
      </c>
      <c r="M89" s="501">
        <f t="shared" si="21"/>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2384</v>
      </c>
      <c r="B100" s="485" t="s">
        <v>2433</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1">
        <f t="shared" si="22"/>
        <v>100</v>
      </c>
      <c r="N101" s="1065"/>
      <c r="O101" s="1065"/>
      <c r="P101" s="2108"/>
      <c r="Q101" s="461"/>
    </row>
    <row r="102" spans="1:17"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K103&amp;"(含)"&amp;"-"&amp;L103</f>
        <v>(含)-</v>
      </c>
      <c r="L102" s="535" t="str">
        <f t="shared" si="23"/>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2435</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1">
        <f t="shared" si="24"/>
        <v>100</v>
      </c>
      <c r="N106" s="1065"/>
      <c r="O106" s="1065"/>
      <c r="P106" s="2108"/>
      <c r="Q106" s="461"/>
    </row>
    <row r="107" spans="1:17" ht="15" thickTop="1">
      <c r="A107" s="556"/>
      <c r="B107" s="495" t="s">
        <v>2436</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1">
        <f t="shared" si="25"/>
        <v>100</v>
      </c>
      <c r="N108" s="1065"/>
      <c r="O108" s="1065"/>
      <c r="P108" s="2108"/>
      <c r="Q108" s="461"/>
    </row>
    <row r="109" spans="1:17" ht="15" thickTop="1">
      <c r="A109" s="556"/>
      <c r="B109" s="495" t="s">
        <v>2437</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26">C110-$K36</f>
        <v>100</v>
      </c>
      <c r="E110" s="501">
        <f t="shared" si="26"/>
        <v>100</v>
      </c>
      <c r="F110" s="501">
        <f t="shared" si="26"/>
        <v>100</v>
      </c>
      <c r="G110" s="501">
        <f t="shared" si="26"/>
        <v>100</v>
      </c>
      <c r="H110" s="501">
        <f t="shared" si="26"/>
        <v>100</v>
      </c>
      <c r="I110" s="501">
        <f t="shared" si="26"/>
        <v>100</v>
      </c>
      <c r="J110" s="501">
        <f t="shared" si="26"/>
        <v>100</v>
      </c>
      <c r="K110" s="501">
        <f t="shared" si="26"/>
        <v>100</v>
      </c>
      <c r="L110" s="501">
        <f t="shared" si="26"/>
        <v>100</v>
      </c>
      <c r="M110" s="501">
        <f t="shared" si="26"/>
        <v>100</v>
      </c>
      <c r="N110" s="1065"/>
      <c r="O110" s="1065"/>
      <c r="P110" s="2108"/>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2438</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27">C115-$K38</f>
        <v>100</v>
      </c>
      <c r="E115" s="501">
        <f t="shared" si="27"/>
        <v>100</v>
      </c>
      <c r="F115" s="501">
        <f t="shared" si="27"/>
        <v>100</v>
      </c>
      <c r="G115" s="501">
        <f t="shared" si="27"/>
        <v>100</v>
      </c>
      <c r="H115" s="501">
        <f t="shared" si="27"/>
        <v>100</v>
      </c>
      <c r="I115" s="501">
        <f t="shared" si="27"/>
        <v>100</v>
      </c>
      <c r="J115" s="501">
        <f t="shared" si="27"/>
        <v>100</v>
      </c>
      <c r="K115" s="501">
        <f t="shared" si="27"/>
        <v>100</v>
      </c>
      <c r="L115" s="501">
        <f t="shared" si="27"/>
        <v>100</v>
      </c>
      <c r="M115" s="501">
        <f t="shared" si="27"/>
        <v>100</v>
      </c>
      <c r="N115" s="1065"/>
      <c r="O115" s="1065"/>
      <c r="P115" s="2108"/>
      <c r="Q115" s="461"/>
    </row>
    <row r="116" spans="1:17" ht="15" thickTop="1">
      <c r="A116" s="556"/>
      <c r="B116" s="495" t="s">
        <v>2439</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2440</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28">C119-$K40</f>
        <v>100</v>
      </c>
      <c r="E119" s="501">
        <f t="shared" si="28"/>
        <v>100</v>
      </c>
      <c r="F119" s="501">
        <f t="shared" si="28"/>
        <v>100</v>
      </c>
      <c r="G119" s="501">
        <f t="shared" si="28"/>
        <v>100</v>
      </c>
      <c r="H119" s="501">
        <f t="shared" si="28"/>
        <v>100</v>
      </c>
      <c r="I119" s="501">
        <f t="shared" si="28"/>
        <v>100</v>
      </c>
      <c r="J119" s="501">
        <f t="shared" si="28"/>
        <v>100</v>
      </c>
      <c r="K119" s="501">
        <f t="shared" si="28"/>
        <v>100</v>
      </c>
      <c r="L119" s="501">
        <f t="shared" si="28"/>
        <v>100</v>
      </c>
      <c r="M119" s="501">
        <f t="shared" si="28"/>
        <v>100</v>
      </c>
      <c r="N119" s="1065"/>
      <c r="O119" s="1065"/>
      <c r="P119" s="2108"/>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2441</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29">C123-$K42</f>
        <v>100</v>
      </c>
      <c r="E123" s="501">
        <f t="shared" si="29"/>
        <v>100</v>
      </c>
      <c r="F123" s="501">
        <f t="shared" si="29"/>
        <v>100</v>
      </c>
      <c r="G123" s="501">
        <f t="shared" si="29"/>
        <v>100</v>
      </c>
      <c r="H123" s="501">
        <f t="shared" si="29"/>
        <v>100</v>
      </c>
      <c r="I123" s="501">
        <f t="shared" si="29"/>
        <v>100</v>
      </c>
      <c r="J123" s="501">
        <f t="shared" si="29"/>
        <v>100</v>
      </c>
      <c r="K123" s="501">
        <f t="shared" si="29"/>
        <v>100</v>
      </c>
      <c r="L123" s="501">
        <f t="shared" si="29"/>
        <v>100</v>
      </c>
      <c r="M123" s="501">
        <f t="shared" si="29"/>
        <v>100</v>
      </c>
      <c r="N123" s="1065"/>
      <c r="O123" s="1065"/>
      <c r="P123" s="2108"/>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2443</v>
      </c>
    </row>
    <row r="137" spans="1:17" ht="15">
      <c r="B137" s="2116" t="s">
        <v>2444</v>
      </c>
      <c r="C137" s="2117"/>
      <c r="D137" s="2117"/>
      <c r="E137" s="2117"/>
      <c r="F137" s="2117"/>
      <c r="G137" s="2118"/>
      <c r="H137" s="2119"/>
      <c r="I137" s="2120" t="s">
        <v>2445</v>
      </c>
      <c r="J137" s="2117"/>
      <c r="K137" s="2121"/>
    </row>
    <row r="138" spans="1:17" ht="15">
      <c r="B138" s="2122"/>
      <c r="C138" s="142" t="s">
        <v>2446</v>
      </c>
      <c r="D138" s="142" t="s">
        <v>2447</v>
      </c>
      <c r="E138" s="2123" t="s">
        <v>2448</v>
      </c>
      <c r="F138" s="2124" t="s">
        <v>2449</v>
      </c>
      <c r="G138" s="142" t="s">
        <v>2447</v>
      </c>
      <c r="H138" s="143" t="s">
        <v>2448</v>
      </c>
      <c r="I138" s="2125"/>
      <c r="J138" s="142" t="s">
        <v>2450</v>
      </c>
      <c r="K138" s="143" t="s">
        <v>2451</v>
      </c>
    </row>
    <row r="139" spans="1:17" ht="15">
      <c r="B139" s="998">
        <v>6</v>
      </c>
      <c r="C139" s="999">
        <v>96</v>
      </c>
      <c r="D139" s="2126" t="s">
        <v>2452</v>
      </c>
      <c r="E139" s="1000">
        <v>100</v>
      </c>
      <c r="F139" s="1001">
        <v>102.5</v>
      </c>
      <c r="G139" s="2126" t="s">
        <v>2452</v>
      </c>
      <c r="H139" s="1002">
        <v>105</v>
      </c>
      <c r="I139" s="2127" t="s">
        <v>2453</v>
      </c>
      <c r="J139" s="999">
        <v>20</v>
      </c>
      <c r="K139" s="1003">
        <f>C145/(J139-2)</f>
        <v>4.0555555555555553E-3</v>
      </c>
    </row>
    <row r="140" spans="1:17" ht="15">
      <c r="B140" s="1004">
        <v>5</v>
      </c>
      <c r="C140" s="1005">
        <v>100</v>
      </c>
      <c r="D140" s="1005"/>
      <c r="E140" s="1006"/>
      <c r="F140" s="1007">
        <v>102</v>
      </c>
      <c r="G140" s="1005"/>
      <c r="H140" s="1008"/>
      <c r="I140" s="2128" t="s">
        <v>2454</v>
      </c>
      <c r="J140" s="277">
        <f>ROUNDUP((J139-1)/2,0)</f>
        <v>10</v>
      </c>
      <c r="K140" s="1009">
        <v>100</v>
      </c>
    </row>
    <row r="141" spans="1:17" ht="15">
      <c r="B141" s="1004">
        <v>4</v>
      </c>
      <c r="C141" s="1005">
        <v>102</v>
      </c>
      <c r="D141" s="1005"/>
      <c r="E141" s="1006"/>
      <c r="F141" s="1007">
        <v>101.5</v>
      </c>
      <c r="G141" s="1005"/>
      <c r="H141" s="1008"/>
      <c r="I141" s="2128" t="s">
        <v>2455</v>
      </c>
      <c r="J141" s="277">
        <v>1</v>
      </c>
      <c r="K141" s="1010">
        <f>ROUND(100+(J141-J140)*K139*100,1)</f>
        <v>96.4</v>
      </c>
    </row>
    <row r="142" spans="1:17" ht="15">
      <c r="B142" s="1004">
        <v>3</v>
      </c>
      <c r="C142" s="1005">
        <v>103</v>
      </c>
      <c r="D142" s="1005"/>
      <c r="E142" s="1006"/>
      <c r="F142" s="1007">
        <v>101</v>
      </c>
      <c r="G142" s="1005"/>
      <c r="H142" s="1008"/>
      <c r="I142" s="2128" t="s">
        <v>2456</v>
      </c>
      <c r="J142" s="277">
        <f>J139</f>
        <v>20</v>
      </c>
      <c r="K142" s="1011">
        <v>95</v>
      </c>
    </row>
    <row r="143" spans="1:17" ht="15">
      <c r="B143" s="1004">
        <v>2</v>
      </c>
      <c r="C143" s="1005">
        <v>100</v>
      </c>
      <c r="D143" s="1005"/>
      <c r="E143" s="1006"/>
      <c r="F143" s="1007">
        <v>100.5</v>
      </c>
      <c r="G143" s="1005"/>
      <c r="H143" s="1008"/>
      <c r="I143" s="2128" t="s">
        <v>2457</v>
      </c>
      <c r="J143" s="1005">
        <v>15</v>
      </c>
      <c r="K143" s="1010">
        <f>ROUND(100+(J143-J140)*K139*100,1)</f>
        <v>102</v>
      </c>
    </row>
    <row r="144" spans="1:17" ht="15">
      <c r="B144" s="1004">
        <v>1</v>
      </c>
      <c r="C144" s="1005">
        <v>98</v>
      </c>
      <c r="D144" s="2129" t="s">
        <v>2458</v>
      </c>
      <c r="E144" s="1006">
        <v>102</v>
      </c>
      <c r="F144" s="1012">
        <v>100</v>
      </c>
      <c r="G144" s="2129" t="s">
        <v>2458</v>
      </c>
      <c r="H144" s="1008">
        <v>105</v>
      </c>
      <c r="I144" s="2128" t="s">
        <v>2457</v>
      </c>
      <c r="J144" s="1005">
        <v>18</v>
      </c>
      <c r="K144" s="1010">
        <f>ROUND(100+(J144-J140)*K139*100,1)</f>
        <v>103.2</v>
      </c>
    </row>
    <row r="145" spans="2:11" ht="15.75" thickBot="1">
      <c r="B145" s="2130" t="s">
        <v>2459</v>
      </c>
      <c r="C145" s="1013">
        <f>ROUND(MAX(C139:C144)/MIN(C139:C144)-1,3)</f>
        <v>7.2999999999999995E-2</v>
      </c>
      <c r="D145" s="1014"/>
      <c r="E145" s="1014"/>
      <c r="F145" s="2131" t="s">
        <v>2460</v>
      </c>
      <c r="G145" s="2132"/>
      <c r="H145" s="2133"/>
      <c r="I145" s="2134" t="s">
        <v>2457</v>
      </c>
      <c r="J145" s="1015">
        <v>8</v>
      </c>
      <c r="K145" s="1016">
        <f>ROUND(100+(J145-J140)*K139*100,1)</f>
        <v>99.2</v>
      </c>
    </row>
    <row r="147" spans="2:11">
      <c r="B147" s="2115" t="s">
        <v>2461</v>
      </c>
    </row>
    <row r="148" spans="2:11">
      <c r="B148" s="2115"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225" priority="19" stopIfTrue="1" operator="containsText" text="超过">
      <formula>NOT(ISERROR(SEARCH("超过",F52)))</formula>
    </cfRule>
  </conditionalFormatting>
  <conditionalFormatting sqref="J54">
    <cfRule type="containsText" dxfId="224" priority="18" stopIfTrue="1" operator="containsText" text="超过">
      <formula>NOT(ISERROR(SEARCH("超过",J54)))</formula>
    </cfRule>
  </conditionalFormatting>
  <conditionalFormatting sqref="H54">
    <cfRule type="containsText" dxfId="223" priority="17" stopIfTrue="1" operator="containsText" text="超过">
      <formula>NOT(ISERROR(SEARCH("超过",H54)))</formula>
    </cfRule>
  </conditionalFormatting>
  <conditionalFormatting sqref="F54">
    <cfRule type="containsText" dxfId="222" priority="16" stopIfTrue="1" operator="containsText" text="超过">
      <formula>NOT(ISERROR(SEARCH("超过",F54)))</formula>
    </cfRule>
  </conditionalFormatting>
  <conditionalFormatting sqref="F53 H53 J53">
    <cfRule type="containsText" dxfId="221" priority="15" stopIfTrue="1" operator="containsText" text="超过">
      <formula>NOT(ISERROR(SEARCH("超过",F53)))</formula>
    </cfRule>
  </conditionalFormatting>
  <conditionalFormatting sqref="E52">
    <cfRule type="expression" dxfId="220" priority="14" stopIfTrue="1">
      <formula>$F$52="超过30%"</formula>
    </cfRule>
  </conditionalFormatting>
  <conditionalFormatting sqref="G54">
    <cfRule type="expression" dxfId="219" priority="12" stopIfTrue="1">
      <formula>$H$54="超过30%"</formula>
    </cfRule>
  </conditionalFormatting>
  <conditionalFormatting sqref="E53">
    <cfRule type="expression" dxfId="218" priority="11" stopIfTrue="1">
      <formula>$F$53="超过20%"</formula>
    </cfRule>
  </conditionalFormatting>
  <conditionalFormatting sqref="E54">
    <cfRule type="expression" dxfId="217" priority="10" stopIfTrue="1">
      <formula>$F$54="超过30%"</formula>
    </cfRule>
  </conditionalFormatting>
  <conditionalFormatting sqref="G52">
    <cfRule type="expression" dxfId="216" priority="9" stopIfTrue="1">
      <formula>$H$52="超过30%"</formula>
    </cfRule>
  </conditionalFormatting>
  <conditionalFormatting sqref="G53">
    <cfRule type="expression" dxfId="215" priority="8" stopIfTrue="1">
      <formula>$H$53="超过20%"</formula>
    </cfRule>
  </conditionalFormatting>
  <conditionalFormatting sqref="I52">
    <cfRule type="expression" dxfId="214" priority="7" stopIfTrue="1">
      <formula>$J$52="超过30%"</formula>
    </cfRule>
  </conditionalFormatting>
  <conditionalFormatting sqref="I53">
    <cfRule type="expression" dxfId="213" priority="6" stopIfTrue="1">
      <formula>$J$53="超过20%"</formula>
    </cfRule>
  </conditionalFormatting>
  <conditionalFormatting sqref="I54">
    <cfRule type="expression" dxfId="212" priority="5" stopIfTrue="1">
      <formula>$J$54="超过30%"</formula>
    </cfRule>
  </conditionalFormatting>
  <conditionalFormatting sqref="F48">
    <cfRule type="expression" dxfId="211" priority="4">
      <formula>$D$48="简单平均"</formula>
    </cfRule>
  </conditionalFormatting>
  <conditionalFormatting sqref="H48">
    <cfRule type="expression" dxfId="210" priority="3">
      <formula>$D$48="简单平均"</formula>
    </cfRule>
  </conditionalFormatting>
  <conditionalFormatting sqref="J48">
    <cfRule type="expression" dxfId="209" priority="2">
      <formula>$D$48="简单平均"</formula>
    </cfRule>
  </conditionalFormatting>
  <conditionalFormatting sqref="F7:F46 H7:H46 J7:J46">
    <cfRule type="cellIs" dxfId="208"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2522</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7"/>
      <c r="D2" s="1038" t="e">
        <f ca="1">SUMIF(INDIRECT("'"&amp;F2&amp;"'"&amp;"!A:A"),"承租人权益价值",INDIRECT("'"&amp;F2&amp;"'"&amp;"!c:c"))</f>
        <v>#REF!</v>
      </c>
      <c r="E2" s="2068" t="s">
        <v>2149</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47689.05</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781" t="s">
        <v>2467</v>
      </c>
      <c r="D4" s="3782"/>
      <c r="E4" s="3783" t="s">
        <v>2468</v>
      </c>
      <c r="F4" s="3784"/>
      <c r="G4" s="3781" t="s">
        <v>2469</v>
      </c>
      <c r="H4" s="3782"/>
      <c r="I4" s="3781" t="s">
        <v>2470</v>
      </c>
      <c r="J4" s="3782"/>
      <c r="K4" s="567" t="s">
        <v>2471</v>
      </c>
      <c r="L4" s="1044"/>
      <c r="M4" s="1045"/>
      <c r="N4" s="1045"/>
      <c r="O4" s="1045"/>
      <c r="P4" s="3785" t="s">
        <v>2472</v>
      </c>
      <c r="Q4" s="3786"/>
      <c r="R4" s="3768" t="s">
        <v>2468</v>
      </c>
      <c r="S4" s="3769"/>
      <c r="T4" s="3768" t="s">
        <v>2469</v>
      </c>
      <c r="U4" s="3769"/>
      <c r="V4" s="3793" t="s">
        <v>2470</v>
      </c>
      <c r="W4" s="3793"/>
      <c r="X4" s="1539"/>
      <c r="Y4" s="3768" t="s">
        <v>2472</v>
      </c>
      <c r="Z4" s="3769"/>
      <c r="AA4" s="3763" t="s">
        <v>2468</v>
      </c>
      <c r="AB4" s="3764" t="s">
        <v>2469</v>
      </c>
      <c r="AC4" s="3763" t="s">
        <v>2470</v>
      </c>
    </row>
    <row r="5" spans="1:29" ht="15">
      <c r="A5" s="364"/>
      <c r="B5" s="365"/>
      <c r="C5" s="3774" t="s">
        <v>2363</v>
      </c>
      <c r="D5" s="3775"/>
      <c r="E5" s="3772" t="s">
        <v>2364</v>
      </c>
      <c r="F5" s="3773"/>
      <c r="G5" s="3774" t="s">
        <v>2365</v>
      </c>
      <c r="H5" s="3775"/>
      <c r="I5" s="3774" t="s">
        <v>2366</v>
      </c>
      <c r="J5" s="3775"/>
      <c r="K5" s="567"/>
      <c r="L5" s="1044"/>
      <c r="M5" s="1045"/>
      <c r="N5" s="1045"/>
      <c r="O5" s="1045"/>
      <c r="P5" s="3787"/>
      <c r="Q5" s="3788"/>
      <c r="R5" s="3770"/>
      <c r="S5" s="3771"/>
      <c r="T5" s="3770"/>
      <c r="U5" s="3771"/>
      <c r="V5" s="3793"/>
      <c r="W5" s="3793"/>
      <c r="X5" s="1539"/>
      <c r="Y5" s="3770"/>
      <c r="Z5" s="3771"/>
      <c r="AA5" s="3764"/>
      <c r="AB5" s="3764"/>
      <c r="AC5" s="3764"/>
    </row>
    <row r="6" spans="1:29" ht="15.75" thickBot="1">
      <c r="A6" s="366"/>
      <c r="B6" s="367"/>
      <c r="C6" s="3776" t="s">
        <v>2367</v>
      </c>
      <c r="D6" s="3777"/>
      <c r="E6" s="3778" t="s">
        <v>2367</v>
      </c>
      <c r="F6" s="3779"/>
      <c r="G6" s="3776" t="s">
        <v>2367</v>
      </c>
      <c r="H6" s="3777"/>
      <c r="I6" s="3776" t="s">
        <v>2367</v>
      </c>
      <c r="J6" s="3777"/>
      <c r="K6" s="567" t="s">
        <v>2368</v>
      </c>
      <c r="L6" s="1044"/>
      <c r="M6" s="1045"/>
      <c r="N6" s="1045"/>
      <c r="O6" s="1045"/>
      <c r="P6" s="3789"/>
      <c r="Q6" s="3790"/>
      <c r="R6" s="3770"/>
      <c r="S6" s="3771"/>
      <c r="T6" s="3791"/>
      <c r="U6" s="3792"/>
      <c r="V6" s="3793"/>
      <c r="W6" s="3793"/>
      <c r="X6" s="1539"/>
      <c r="Y6" s="3791"/>
      <c r="Z6" s="3792"/>
      <c r="AA6" s="3765"/>
      <c r="AB6" s="3765"/>
      <c r="AC6" s="3765"/>
    </row>
    <row r="7" spans="1:29" s="113" customFormat="1" ht="15.75" thickBot="1">
      <c r="A7" s="368" t="s">
        <v>2369</v>
      </c>
      <c r="B7" s="369"/>
      <c r="C7" s="370">
        <f>'数据-取费表'!B2</f>
        <v>42914</v>
      </c>
      <c r="D7" s="371">
        <v>100</v>
      </c>
      <c r="E7" s="372"/>
      <c r="F7" s="373">
        <f>SUMIF(52:52,YEAR(E7)&amp;"-"&amp;MONTH(E7),53:53)</f>
        <v>0</v>
      </c>
      <c r="G7" s="372"/>
      <c r="H7" s="371">
        <f>SUMIF(52:52,YEAR(G7)&amp;"-"&amp;MONTH(G7),53:53)</f>
        <v>0</v>
      </c>
      <c r="I7" s="372"/>
      <c r="J7" s="371">
        <f>SUMIF(52:52,YEAR(I7)&amp;"-"&amp;MONTH(I7),53:53)</f>
        <v>0</v>
      </c>
      <c r="K7" s="568"/>
      <c r="L7" s="1046"/>
      <c r="M7" s="1047"/>
      <c r="N7" s="1047"/>
      <c r="O7" s="1047"/>
      <c r="P7" s="3766" t="s">
        <v>2370</v>
      </c>
      <c r="Q7" s="3794"/>
      <c r="R7" s="710" t="s">
        <v>17</v>
      </c>
      <c r="S7" s="711">
        <f t="shared" ref="S7:S15" si="0">F7</f>
        <v>0</v>
      </c>
      <c r="T7" s="710" t="s">
        <v>17</v>
      </c>
      <c r="U7" s="711">
        <f t="shared" ref="U7:U15" si="1">H7</f>
        <v>0</v>
      </c>
      <c r="V7" s="710" t="s">
        <v>17</v>
      </c>
      <c r="W7" s="711">
        <f t="shared" ref="W7:W15" si="2">J7</f>
        <v>0</v>
      </c>
      <c r="X7" s="712"/>
      <c r="Y7" s="3766" t="s">
        <v>2370</v>
      </c>
      <c r="Z7" s="3767"/>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766" t="s">
        <v>2373</v>
      </c>
      <c r="Q8" s="3767"/>
      <c r="R8" s="710" t="s">
        <v>17</v>
      </c>
      <c r="S8" s="711">
        <f t="shared" si="0"/>
        <v>0</v>
      </c>
      <c r="T8" s="710" t="s">
        <v>17</v>
      </c>
      <c r="U8" s="711">
        <f t="shared" si="1"/>
        <v>0</v>
      </c>
      <c r="V8" s="710" t="s">
        <v>17</v>
      </c>
      <c r="W8" s="711">
        <f t="shared" si="2"/>
        <v>0</v>
      </c>
      <c r="X8" s="712"/>
      <c r="Y8" s="3766" t="s">
        <v>2373</v>
      </c>
      <c r="Z8" s="3767"/>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798" t="s">
        <v>2376</v>
      </c>
      <c r="Q9" s="1527" t="str">
        <f t="shared" ref="Q9:Q15" si="6">B9</f>
        <v>用途</v>
      </c>
      <c r="R9" s="710" t="s">
        <v>17</v>
      </c>
      <c r="S9" s="711">
        <f t="shared" si="0"/>
        <v>100</v>
      </c>
      <c r="T9" s="710" t="s">
        <v>17</v>
      </c>
      <c r="U9" s="711">
        <f t="shared" si="1"/>
        <v>100</v>
      </c>
      <c r="V9" s="710" t="s">
        <v>17</v>
      </c>
      <c r="W9" s="711">
        <f t="shared" si="2"/>
        <v>100</v>
      </c>
      <c r="X9" s="712"/>
      <c r="Y9" s="3708"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798"/>
      <c r="Q10" s="1527" t="str">
        <f t="shared" si="6"/>
        <v>土地使用年限（年）</v>
      </c>
      <c r="R10" s="710" t="s">
        <v>17</v>
      </c>
      <c r="S10" s="711">
        <f t="shared" si="0"/>
        <v>100</v>
      </c>
      <c r="T10" s="710" t="s">
        <v>17</v>
      </c>
      <c r="U10" s="711">
        <f t="shared" si="1"/>
        <v>100</v>
      </c>
      <c r="V10" s="710" t="s">
        <v>17</v>
      </c>
      <c r="W10" s="711">
        <f t="shared" si="2"/>
        <v>100</v>
      </c>
      <c r="X10" s="712"/>
      <c r="Y10" s="3708"/>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798"/>
      <c r="Q11" s="1527" t="str">
        <f t="shared" si="6"/>
        <v>容积率</v>
      </c>
      <c r="R11" s="710" t="s">
        <v>17</v>
      </c>
      <c r="S11" s="711" t="e">
        <f t="shared" si="0"/>
        <v>#N/A</v>
      </c>
      <c r="T11" s="710" t="s">
        <v>17</v>
      </c>
      <c r="U11" s="711" t="e">
        <f t="shared" si="1"/>
        <v>#N/A</v>
      </c>
      <c r="V11" s="710" t="s">
        <v>17</v>
      </c>
      <c r="W11" s="711" t="e">
        <f t="shared" si="2"/>
        <v>#N/A</v>
      </c>
      <c r="X11" s="712"/>
      <c r="Y11" s="3708"/>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798"/>
      <c r="Q12" s="1527">
        <f t="shared" si="6"/>
        <v>111</v>
      </c>
      <c r="R12" s="710" t="s">
        <v>17</v>
      </c>
      <c r="S12" s="711">
        <f t="shared" si="0"/>
        <v>100</v>
      </c>
      <c r="T12" s="710" t="s">
        <v>17</v>
      </c>
      <c r="U12" s="711">
        <f t="shared" si="1"/>
        <v>100</v>
      </c>
      <c r="V12" s="710" t="s">
        <v>17</v>
      </c>
      <c r="W12" s="711">
        <f t="shared" si="2"/>
        <v>100</v>
      </c>
      <c r="X12" s="712"/>
      <c r="Y12" s="3708"/>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798"/>
      <c r="Q13" s="1527">
        <f t="shared" si="6"/>
        <v>111</v>
      </c>
      <c r="R13" s="710" t="s">
        <v>17</v>
      </c>
      <c r="S13" s="711">
        <f t="shared" si="0"/>
        <v>100</v>
      </c>
      <c r="T13" s="710" t="s">
        <v>17</v>
      </c>
      <c r="U13" s="711">
        <f t="shared" si="1"/>
        <v>100</v>
      </c>
      <c r="V13" s="710" t="s">
        <v>17</v>
      </c>
      <c r="W13" s="711">
        <f t="shared" si="2"/>
        <v>100</v>
      </c>
      <c r="X13" s="712"/>
      <c r="Y13" s="3708"/>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798"/>
      <c r="Q14" s="1527">
        <f t="shared" si="6"/>
        <v>111</v>
      </c>
      <c r="R14" s="710" t="s">
        <v>17</v>
      </c>
      <c r="S14" s="711">
        <f t="shared" si="0"/>
        <v>100</v>
      </c>
      <c r="T14" s="710" t="s">
        <v>17</v>
      </c>
      <c r="U14" s="711">
        <f t="shared" si="1"/>
        <v>100</v>
      </c>
      <c r="V14" s="710" t="s">
        <v>17</v>
      </c>
      <c r="W14" s="711">
        <f t="shared" si="2"/>
        <v>100</v>
      </c>
      <c r="X14" s="712"/>
      <c r="Y14" s="3708"/>
      <c r="Z14" s="55">
        <f t="shared" si="7"/>
        <v>111</v>
      </c>
      <c r="AA14" s="713">
        <f t="shared" si="3"/>
        <v>1</v>
      </c>
      <c r="AB14" s="713">
        <f t="shared" si="4"/>
        <v>1</v>
      </c>
      <c r="AC14" s="713">
        <f t="shared" si="5"/>
        <v>1</v>
      </c>
    </row>
    <row r="15" spans="1:29" ht="57">
      <c r="A15" s="399" t="s">
        <v>2380</v>
      </c>
      <c r="B15" s="65" t="s">
        <v>2523</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800" t="s">
        <v>2381</v>
      </c>
      <c r="Q15" s="1536" t="str">
        <f t="shared" si="6"/>
        <v>产业集聚程度</v>
      </c>
      <c r="R15" s="714" t="s">
        <v>17</v>
      </c>
      <c r="S15" s="715">
        <f t="shared" si="0"/>
        <v>100</v>
      </c>
      <c r="T15" s="714" t="s">
        <v>17</v>
      </c>
      <c r="U15" s="715">
        <f t="shared" si="1"/>
        <v>100</v>
      </c>
      <c r="V15" s="714" t="s">
        <v>17</v>
      </c>
      <c r="W15" s="715">
        <f t="shared" si="2"/>
        <v>100</v>
      </c>
      <c r="X15" s="1539"/>
      <c r="Y15" s="3800" t="s">
        <v>2381</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801"/>
      <c r="Q16" s="1536"/>
      <c r="R16" s="714"/>
      <c r="S16" s="715"/>
      <c r="T16" s="714"/>
      <c r="U16" s="715"/>
      <c r="V16" s="714"/>
      <c r="W16" s="715"/>
      <c r="X16" s="1539"/>
      <c r="Y16" s="3801"/>
      <c r="Z16" s="1540"/>
      <c r="AA16" s="1537">
        <v>1</v>
      </c>
      <c r="AB16" s="1537">
        <v>1</v>
      </c>
      <c r="AC16" s="1537">
        <v>1</v>
      </c>
    </row>
    <row r="17" spans="1:29" ht="85.5">
      <c r="A17" s="387"/>
      <c r="B17" s="410" t="s">
        <v>1945</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801"/>
      <c r="Q17" s="1536" t="str">
        <f>B17</f>
        <v>交通便捷度</v>
      </c>
      <c r="R17" s="714" t="s">
        <v>17</v>
      </c>
      <c r="S17" s="715">
        <f>F17</f>
        <v>100</v>
      </c>
      <c r="T17" s="714" t="s">
        <v>17</v>
      </c>
      <c r="U17" s="715">
        <f>H17</f>
        <v>100</v>
      </c>
      <c r="V17" s="714" t="s">
        <v>17</v>
      </c>
      <c r="W17" s="715">
        <f>J17</f>
        <v>100</v>
      </c>
      <c r="X17" s="1539"/>
      <c r="Y17" s="3801"/>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801"/>
      <c r="Q18" s="1536"/>
      <c r="R18" s="714"/>
      <c r="S18" s="715"/>
      <c r="T18" s="714"/>
      <c r="U18" s="715"/>
      <c r="V18" s="714"/>
      <c r="W18" s="715"/>
      <c r="X18" s="1539"/>
      <c r="Y18" s="3801"/>
      <c r="Z18" s="1540"/>
      <c r="AA18" s="1537">
        <v>1</v>
      </c>
      <c r="AB18" s="1537">
        <v>1</v>
      </c>
      <c r="AC18" s="1537">
        <v>1</v>
      </c>
    </row>
    <row r="19" spans="1:29" ht="42.75">
      <c r="A19" s="387"/>
      <c r="B19" s="410" t="s">
        <v>2509</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801"/>
      <c r="Q19" s="1536" t="str">
        <f>B19</f>
        <v>公共配套设施</v>
      </c>
      <c r="R19" s="714" t="s">
        <v>17</v>
      </c>
      <c r="S19" s="715">
        <f>F19</f>
        <v>100</v>
      </c>
      <c r="T19" s="714" t="s">
        <v>17</v>
      </c>
      <c r="U19" s="715">
        <f>H19</f>
        <v>100</v>
      </c>
      <c r="V19" s="714" t="s">
        <v>17</v>
      </c>
      <c r="W19" s="715">
        <f>J19</f>
        <v>100</v>
      </c>
      <c r="X19" s="1539"/>
      <c r="Y19" s="3801"/>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801"/>
      <c r="Q20" s="1536"/>
      <c r="R20" s="714"/>
      <c r="S20" s="715"/>
      <c r="T20" s="714"/>
      <c r="U20" s="715"/>
      <c r="V20" s="714"/>
      <c r="W20" s="715"/>
      <c r="X20" s="1539"/>
      <c r="Y20" s="3801"/>
      <c r="Z20" s="1540"/>
      <c r="AA20" s="1537">
        <v>1</v>
      </c>
      <c r="AB20" s="1537">
        <v>1</v>
      </c>
      <c r="AC20" s="1537">
        <v>1</v>
      </c>
    </row>
    <row r="21" spans="1:29" ht="28.5">
      <c r="A21" s="387"/>
      <c r="B21" s="1293" t="s">
        <v>2510</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801"/>
      <c r="Q21" s="1536" t="str">
        <f>B21</f>
        <v>基础设施水平</v>
      </c>
      <c r="R21" s="714" t="s">
        <v>17</v>
      </c>
      <c r="S21" s="715">
        <f>F21</f>
        <v>100</v>
      </c>
      <c r="T21" s="714" t="s">
        <v>17</v>
      </c>
      <c r="U21" s="715">
        <f>H21</f>
        <v>100</v>
      </c>
      <c r="V21" s="714" t="s">
        <v>17</v>
      </c>
      <c r="W21" s="715">
        <f>J21</f>
        <v>100</v>
      </c>
      <c r="X21" s="1539"/>
      <c r="Y21" s="3801"/>
      <c r="Z21" s="1540" t="str">
        <f>Q21</f>
        <v>基础设施水平</v>
      </c>
      <c r="AA21" s="1537">
        <f>D21/F21</f>
        <v>1</v>
      </c>
      <c r="AB21" s="1537">
        <f>D21/H21</f>
        <v>1</v>
      </c>
      <c r="AC21" s="1537">
        <f>D21/J21</f>
        <v>1</v>
      </c>
    </row>
    <row r="22" spans="1:29" ht="15">
      <c r="A22" s="387"/>
      <c r="B22" s="1293"/>
      <c r="C22" s="2087"/>
      <c r="D22" s="407"/>
      <c r="E22" s="406"/>
      <c r="F22" s="408"/>
      <c r="G22" s="406"/>
      <c r="H22" s="407"/>
      <c r="I22" s="406"/>
      <c r="J22" s="407"/>
      <c r="K22" s="1292"/>
      <c r="L22" s="1054"/>
      <c r="M22" s="1045"/>
      <c r="N22" s="1045"/>
      <c r="O22" s="1053"/>
      <c r="P22" s="3801"/>
      <c r="Q22" s="1536"/>
      <c r="R22" s="714"/>
      <c r="S22" s="715"/>
      <c r="T22" s="714"/>
      <c r="U22" s="715"/>
      <c r="V22" s="714"/>
      <c r="W22" s="715"/>
      <c r="X22" s="1539"/>
      <c r="Y22" s="3801"/>
      <c r="Z22" s="1540"/>
      <c r="AA22" s="1537">
        <v>1</v>
      </c>
      <c r="AB22" s="1537">
        <v>1</v>
      </c>
      <c r="AC22" s="1537">
        <v>1</v>
      </c>
    </row>
    <row r="23" spans="1:29" ht="71.25">
      <c r="A23" s="387"/>
      <c r="B23" s="410" t="s">
        <v>2511</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801"/>
      <c r="Q23" s="1536" t="str">
        <f>B23</f>
        <v>环境质量</v>
      </c>
      <c r="R23" s="714" t="s">
        <v>17</v>
      </c>
      <c r="S23" s="715">
        <f>F23</f>
        <v>100</v>
      </c>
      <c r="T23" s="714" t="s">
        <v>17</v>
      </c>
      <c r="U23" s="715">
        <f>H23</f>
        <v>100</v>
      </c>
      <c r="V23" s="714" t="s">
        <v>17</v>
      </c>
      <c r="W23" s="715">
        <f>J23</f>
        <v>100</v>
      </c>
      <c r="X23" s="1539"/>
      <c r="Y23" s="3801"/>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801"/>
      <c r="Q24" s="1536"/>
      <c r="R24" s="714"/>
      <c r="S24" s="715"/>
      <c r="T24" s="714"/>
      <c r="U24" s="715"/>
      <c r="V24" s="714"/>
      <c r="W24" s="715"/>
      <c r="X24" s="1539"/>
      <c r="Y24" s="3801"/>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801"/>
      <c r="Q25" s="1536">
        <f>B25</f>
        <v>111</v>
      </c>
      <c r="R25" s="714" t="s">
        <v>17</v>
      </c>
      <c r="S25" s="715">
        <f>F25</f>
        <v>100</v>
      </c>
      <c r="T25" s="714" t="s">
        <v>17</v>
      </c>
      <c r="U25" s="715">
        <f>H25</f>
        <v>100</v>
      </c>
      <c r="V25" s="714" t="s">
        <v>17</v>
      </c>
      <c r="W25" s="715">
        <f>J25</f>
        <v>100</v>
      </c>
      <c r="X25" s="1539"/>
      <c r="Y25" s="3801"/>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801"/>
      <c r="Q26" s="1536">
        <f t="shared" ref="Q26:Q40" si="8">B26</f>
        <v>111</v>
      </c>
      <c r="R26" s="714" t="s">
        <v>17</v>
      </c>
      <c r="S26" s="715">
        <f>F26</f>
        <v>100</v>
      </c>
      <c r="T26" s="714" t="s">
        <v>17</v>
      </c>
      <c r="U26" s="715">
        <f>H26</f>
        <v>100</v>
      </c>
      <c r="V26" s="714" t="s">
        <v>17</v>
      </c>
      <c r="W26" s="715">
        <f>J26</f>
        <v>100</v>
      </c>
      <c r="X26" s="1539"/>
      <c r="Y26" s="3801"/>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801"/>
      <c r="Q27" s="1527">
        <f t="shared" si="8"/>
        <v>111</v>
      </c>
      <c r="R27" s="710" t="s">
        <v>17</v>
      </c>
      <c r="S27" s="711">
        <f>F27</f>
        <v>100</v>
      </c>
      <c r="T27" s="710" t="s">
        <v>17</v>
      </c>
      <c r="U27" s="711">
        <f>H27</f>
        <v>100</v>
      </c>
      <c r="V27" s="710" t="s">
        <v>17</v>
      </c>
      <c r="W27" s="711">
        <f>J27</f>
        <v>100</v>
      </c>
      <c r="X27" s="712"/>
      <c r="Y27" s="3801"/>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801"/>
      <c r="Q28" s="1536">
        <f t="shared" si="8"/>
        <v>111</v>
      </c>
      <c r="R28" s="714" t="s">
        <v>17</v>
      </c>
      <c r="S28" s="715">
        <f t="shared" ref="S28:S40" si="9">F28</f>
        <v>100</v>
      </c>
      <c r="T28" s="714" t="s">
        <v>17</v>
      </c>
      <c r="U28" s="715">
        <f t="shared" ref="U28:U40" si="10">H28</f>
        <v>100</v>
      </c>
      <c r="V28" s="714" t="s">
        <v>17</v>
      </c>
      <c r="W28" s="715">
        <f t="shared" ref="W28:W40" si="11">J28</f>
        <v>100</v>
      </c>
      <c r="X28" s="1539"/>
      <c r="Y28" s="3801"/>
      <c r="Z28" s="1540">
        <f t="shared" ref="Z28:Z40" si="12">Q28</f>
        <v>111</v>
      </c>
      <c r="AA28" s="1537">
        <f t="shared" si="3"/>
        <v>1</v>
      </c>
      <c r="AB28" s="1537">
        <f t="shared" si="4"/>
        <v>1</v>
      </c>
      <c r="AC28" s="1537">
        <f t="shared" si="5"/>
        <v>1</v>
      </c>
    </row>
    <row r="29" spans="1:29" ht="28.5">
      <c r="A29" s="425" t="s">
        <v>2384</v>
      </c>
      <c r="B29" s="67" t="s">
        <v>2514</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809" t="s">
        <v>2386</v>
      </c>
      <c r="Q29" s="1536" t="str">
        <f t="shared" si="8"/>
        <v>建筑类型</v>
      </c>
      <c r="R29" s="714" t="s">
        <v>17</v>
      </c>
      <c r="S29" s="715">
        <f t="shared" si="9"/>
        <v>100</v>
      </c>
      <c r="T29" s="714" t="s">
        <v>17</v>
      </c>
      <c r="U29" s="715">
        <f t="shared" si="10"/>
        <v>100</v>
      </c>
      <c r="V29" s="714" t="s">
        <v>17</v>
      </c>
      <c r="W29" s="715">
        <f t="shared" si="11"/>
        <v>100</v>
      </c>
      <c r="X29" s="1539"/>
      <c r="Y29" s="3805" t="s">
        <v>2386</v>
      </c>
      <c r="Z29" s="1540" t="str">
        <f t="shared" si="12"/>
        <v>建筑类型</v>
      </c>
      <c r="AA29" s="1537">
        <f t="shared" si="3"/>
        <v>1</v>
      </c>
      <c r="AB29" s="1537">
        <f t="shared" si="4"/>
        <v>1</v>
      </c>
      <c r="AC29" s="1537">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805"/>
      <c r="Q30" s="716" t="str">
        <f t="shared" si="8"/>
        <v>项目建筑规模</v>
      </c>
      <c r="R30" s="717" t="s">
        <v>17</v>
      </c>
      <c r="S30" s="718" t="e">
        <f t="shared" si="9"/>
        <v>#N/A</v>
      </c>
      <c r="T30" s="717" t="s">
        <v>17</v>
      </c>
      <c r="U30" s="718" t="e">
        <f t="shared" si="10"/>
        <v>#N/A</v>
      </c>
      <c r="V30" s="717" t="s">
        <v>17</v>
      </c>
      <c r="W30" s="718" t="e">
        <f t="shared" si="11"/>
        <v>#N/A</v>
      </c>
      <c r="X30" s="719"/>
      <c r="Y30" s="3805"/>
      <c r="Z30" s="720" t="str">
        <f t="shared" si="12"/>
        <v>项目建筑规模</v>
      </c>
      <c r="AA30" s="1537" t="e">
        <f t="shared" si="3"/>
        <v>#N/A</v>
      </c>
      <c r="AB30" s="1537" t="e">
        <f t="shared" si="4"/>
        <v>#N/A</v>
      </c>
      <c r="AC30" s="1537"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805"/>
      <c r="Q31" s="1536" t="str">
        <f t="shared" si="8"/>
        <v>建筑结构</v>
      </c>
      <c r="R31" s="714" t="s">
        <v>17</v>
      </c>
      <c r="S31" s="715">
        <f t="shared" si="9"/>
        <v>100</v>
      </c>
      <c r="T31" s="714" t="s">
        <v>17</v>
      </c>
      <c r="U31" s="715">
        <f t="shared" si="10"/>
        <v>100</v>
      </c>
      <c r="V31" s="714" t="s">
        <v>17</v>
      </c>
      <c r="W31" s="715">
        <f t="shared" si="11"/>
        <v>100</v>
      </c>
      <c r="X31" s="1539"/>
      <c r="Y31" s="3805"/>
      <c r="Z31" s="1540" t="str">
        <f t="shared" si="12"/>
        <v>建筑结构</v>
      </c>
      <c r="AA31" s="1537">
        <f t="shared" si="3"/>
        <v>1</v>
      </c>
      <c r="AB31" s="1537">
        <f t="shared" si="4"/>
        <v>1</v>
      </c>
      <c r="AC31" s="1537">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805"/>
      <c r="Q32" s="1536" t="str">
        <f t="shared" si="8"/>
        <v>公共部分装修</v>
      </c>
      <c r="R32" s="714" t="s">
        <v>17</v>
      </c>
      <c r="S32" s="715">
        <f t="shared" si="9"/>
        <v>100</v>
      </c>
      <c r="T32" s="714" t="s">
        <v>17</v>
      </c>
      <c r="U32" s="715">
        <f t="shared" si="10"/>
        <v>100</v>
      </c>
      <c r="V32" s="714" t="s">
        <v>17</v>
      </c>
      <c r="W32" s="715">
        <f t="shared" si="11"/>
        <v>100</v>
      </c>
      <c r="X32" s="1539"/>
      <c r="Y32" s="3805"/>
      <c r="Z32" s="1540" t="str">
        <f t="shared" si="12"/>
        <v>公共部分装修</v>
      </c>
      <c r="AA32" s="1537">
        <f t="shared" si="3"/>
        <v>1</v>
      </c>
      <c r="AB32" s="1537">
        <f t="shared" si="4"/>
        <v>1</v>
      </c>
      <c r="AC32" s="1537">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805"/>
      <c r="Q33" s="1536" t="str">
        <f t="shared" si="8"/>
        <v>成新度</v>
      </c>
      <c r="R33" s="714" t="s">
        <v>17</v>
      </c>
      <c r="S33" s="715" t="e">
        <f t="shared" si="9"/>
        <v>#N/A</v>
      </c>
      <c r="T33" s="714" t="s">
        <v>17</v>
      </c>
      <c r="U33" s="715" t="e">
        <f t="shared" si="10"/>
        <v>#N/A</v>
      </c>
      <c r="V33" s="714" t="s">
        <v>17</v>
      </c>
      <c r="W33" s="715" t="e">
        <f t="shared" si="11"/>
        <v>#N/A</v>
      </c>
      <c r="X33" s="1539"/>
      <c r="Y33" s="3805"/>
      <c r="Z33" s="1540" t="str">
        <f t="shared" si="12"/>
        <v>成新度</v>
      </c>
      <c r="AA33" s="1537" t="e">
        <f t="shared" si="3"/>
        <v>#N/A</v>
      </c>
      <c r="AB33" s="1537" t="e">
        <f t="shared" si="4"/>
        <v>#N/A</v>
      </c>
      <c r="AC33" s="1537"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805"/>
      <c r="Q34" s="1527" t="str">
        <f t="shared" si="8"/>
        <v>物业管理</v>
      </c>
      <c r="R34" s="710" t="s">
        <v>17</v>
      </c>
      <c r="S34" s="711">
        <f t="shared" si="9"/>
        <v>100</v>
      </c>
      <c r="T34" s="710" t="s">
        <v>17</v>
      </c>
      <c r="U34" s="711">
        <f t="shared" si="10"/>
        <v>100</v>
      </c>
      <c r="V34" s="710" t="s">
        <v>17</v>
      </c>
      <c r="W34" s="711">
        <f t="shared" si="11"/>
        <v>100</v>
      </c>
      <c r="X34" s="712"/>
      <c r="Y34" s="3805"/>
      <c r="Z34" s="55" t="str">
        <f t="shared" si="12"/>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805" t="s">
        <v>2386</v>
      </c>
      <c r="Q35" s="1536" t="str">
        <f t="shared" si="8"/>
        <v>市政基础设施</v>
      </c>
      <c r="R35" s="714" t="s">
        <v>17</v>
      </c>
      <c r="S35" s="715">
        <f t="shared" si="9"/>
        <v>100</v>
      </c>
      <c r="T35" s="714" t="s">
        <v>17</v>
      </c>
      <c r="U35" s="715">
        <f t="shared" si="10"/>
        <v>100</v>
      </c>
      <c r="V35" s="714" t="s">
        <v>17</v>
      </c>
      <c r="W35" s="715">
        <f t="shared" si="11"/>
        <v>100</v>
      </c>
      <c r="X35" s="1539"/>
      <c r="Y35" s="3805" t="s">
        <v>2386</v>
      </c>
      <c r="Z35" s="1540" t="str">
        <f t="shared" si="12"/>
        <v>市政基础设施</v>
      </c>
      <c r="AA35" s="1537">
        <f t="shared" si="3"/>
        <v>1</v>
      </c>
      <c r="AB35" s="1537">
        <f t="shared" si="4"/>
        <v>1</v>
      </c>
      <c r="AC35" s="1537">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805"/>
      <c r="Q36" s="1536" t="str">
        <f t="shared" si="8"/>
        <v>内部装修</v>
      </c>
      <c r="R36" s="714" t="s">
        <v>17</v>
      </c>
      <c r="S36" s="715">
        <f t="shared" si="9"/>
        <v>100</v>
      </c>
      <c r="T36" s="714" t="s">
        <v>17</v>
      </c>
      <c r="U36" s="715">
        <f t="shared" si="10"/>
        <v>100</v>
      </c>
      <c r="V36" s="714" t="s">
        <v>17</v>
      </c>
      <c r="W36" s="715">
        <f t="shared" si="11"/>
        <v>100</v>
      </c>
      <c r="X36" s="1539"/>
      <c r="Y36" s="3805"/>
      <c r="Z36" s="1540" t="str">
        <f t="shared" si="12"/>
        <v>内部装修</v>
      </c>
      <c r="AA36" s="1537">
        <f t="shared" si="3"/>
        <v>1</v>
      </c>
      <c r="AB36" s="1537">
        <f t="shared" si="4"/>
        <v>1</v>
      </c>
      <c r="AC36" s="1537">
        <f t="shared" si="5"/>
        <v>1</v>
      </c>
    </row>
    <row r="37" spans="1:29" ht="15">
      <c r="A37" s="431"/>
      <c r="B37" s="381" t="s">
        <v>2524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805"/>
      <c r="Q37" s="1536" t="str">
        <f t="shared" si="8"/>
        <v>内部装修状况</v>
      </c>
      <c r="R37" s="714" t="s">
        <v>17</v>
      </c>
      <c r="S37" s="715">
        <f t="shared" si="9"/>
        <v>100</v>
      </c>
      <c r="T37" s="714" t="s">
        <v>17</v>
      </c>
      <c r="U37" s="715">
        <f t="shared" si="10"/>
        <v>100</v>
      </c>
      <c r="V37" s="714" t="s">
        <v>17</v>
      </c>
      <c r="W37" s="715">
        <f t="shared" si="11"/>
        <v>100</v>
      </c>
      <c r="X37" s="1539"/>
      <c r="Y37" s="3805"/>
      <c r="Z37" s="1540" t="str">
        <f t="shared" si="12"/>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805"/>
      <c r="Q38" s="716">
        <f t="shared" si="8"/>
        <v>111</v>
      </c>
      <c r="R38" s="717" t="s">
        <v>17</v>
      </c>
      <c r="S38" s="718">
        <f t="shared" si="9"/>
        <v>100</v>
      </c>
      <c r="T38" s="717" t="s">
        <v>17</v>
      </c>
      <c r="U38" s="718">
        <f t="shared" si="10"/>
        <v>100</v>
      </c>
      <c r="V38" s="717" t="s">
        <v>17</v>
      </c>
      <c r="W38" s="718">
        <f t="shared" si="11"/>
        <v>100</v>
      </c>
      <c r="X38" s="719"/>
      <c r="Y38" s="3805"/>
      <c r="Z38" s="720">
        <f t="shared" si="12"/>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805"/>
      <c r="Q39" s="1536">
        <f t="shared" si="8"/>
        <v>111</v>
      </c>
      <c r="R39" s="714" t="s">
        <v>17</v>
      </c>
      <c r="S39" s="715">
        <f t="shared" si="9"/>
        <v>100</v>
      </c>
      <c r="T39" s="714" t="s">
        <v>17</v>
      </c>
      <c r="U39" s="715">
        <f t="shared" si="10"/>
        <v>100</v>
      </c>
      <c r="V39" s="714" t="s">
        <v>17</v>
      </c>
      <c r="W39" s="715">
        <f t="shared" si="11"/>
        <v>100</v>
      </c>
      <c r="X39" s="1539"/>
      <c r="Y39" s="3805"/>
      <c r="Z39" s="1540">
        <f t="shared" si="12"/>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806"/>
      <c r="Q40" s="1536">
        <f t="shared" si="8"/>
        <v>111</v>
      </c>
      <c r="R40" s="714" t="s">
        <v>17</v>
      </c>
      <c r="S40" s="715">
        <f t="shared" si="9"/>
        <v>100</v>
      </c>
      <c r="T40" s="714" t="s">
        <v>17</v>
      </c>
      <c r="U40" s="715">
        <f t="shared" si="10"/>
        <v>100</v>
      </c>
      <c r="V40" s="714" t="s">
        <v>17</v>
      </c>
      <c r="W40" s="715">
        <f t="shared" si="11"/>
        <v>100</v>
      </c>
      <c r="X40" s="1539"/>
      <c r="Y40" s="3806"/>
      <c r="Z40" s="1540">
        <f t="shared" si="12"/>
        <v>111</v>
      </c>
      <c r="AA40" s="1537">
        <f t="shared" si="3"/>
        <v>1</v>
      </c>
      <c r="AB40" s="1537">
        <f t="shared" si="4"/>
        <v>1</v>
      </c>
      <c r="AC40" s="1537">
        <f t="shared" si="5"/>
        <v>1</v>
      </c>
    </row>
    <row r="41" spans="1:29" ht="15">
      <c r="A41" s="438" t="s">
        <v>2398</v>
      </c>
      <c r="B41" s="439"/>
      <c r="C41" s="1316" t="s">
        <v>1</v>
      </c>
      <c r="D41" s="1317"/>
      <c r="E41" s="1318"/>
      <c r="F41" s="1319"/>
      <c r="G41" s="1320"/>
      <c r="H41" s="1321"/>
      <c r="I41" s="1318"/>
      <c r="J41" s="1321"/>
      <c r="K41" s="723"/>
      <c r="L41" s="1057"/>
      <c r="M41" s="1058"/>
      <c r="N41" s="1045"/>
      <c r="O41" s="1058"/>
      <c r="P41" s="3798" t="str">
        <f>A41</f>
        <v>成交单价（元/平方米）</v>
      </c>
      <c r="Q41" s="3798"/>
      <c r="R41" s="3799">
        <f>E41</f>
        <v>0</v>
      </c>
      <c r="S41" s="3799"/>
      <c r="T41" s="3799">
        <f>G41</f>
        <v>0</v>
      </c>
      <c r="U41" s="3799"/>
      <c r="V41" s="3799">
        <f>I41</f>
        <v>0</v>
      </c>
      <c r="W41" s="3799"/>
      <c r="X41" s="699"/>
      <c r="Y41" s="721"/>
      <c r="Z41" s="699"/>
      <c r="AA41" s="699"/>
      <c r="AB41" s="699"/>
      <c r="AC41" s="699"/>
    </row>
    <row r="42" spans="1:29" ht="15.75" thickBot="1">
      <c r="A42" s="445" t="s">
        <v>2490</v>
      </c>
      <c r="B42" s="446"/>
      <c r="C42" s="1322" t="e">
        <f>R43</f>
        <v>#DIV/0!</v>
      </c>
      <c r="D42" s="2538" t="s">
        <v>2877</v>
      </c>
      <c r="E42" s="1323" t="e">
        <f>R42</f>
        <v>#DIV/0!</v>
      </c>
      <c r="F42" s="2539"/>
      <c r="G42" s="1322" t="e">
        <f>T42</f>
        <v>#DIV/0!</v>
      </c>
      <c r="H42" s="2539"/>
      <c r="I42" s="1323" t="e">
        <f>V42</f>
        <v>#DIV/0!</v>
      </c>
      <c r="J42" s="2539"/>
      <c r="K42" s="2541">
        <f>F42+H42+J42</f>
        <v>0</v>
      </c>
      <c r="L42" s="1057"/>
      <c r="M42" s="1058"/>
      <c r="N42" s="1045"/>
      <c r="O42" s="1058"/>
      <c r="P42" s="3798" t="str">
        <f>A42</f>
        <v>比较价值（元/平方米）</v>
      </c>
      <c r="Q42" s="3798"/>
      <c r="R42" s="3799" t="e">
        <f>IF(F1="售价",ROUND(PRODUCT(R41,AA7:AA40),0),ROUND(PRODUCT(R41,AA7:AA40),1))</f>
        <v>#DIV/0!</v>
      </c>
      <c r="S42" s="3799"/>
      <c r="T42" s="3799" t="e">
        <f>IF(F1="售价",ROUND(PRODUCT(T41,AB7:AB40),0),ROUND(PRODUCT(T41,AB7:AB40),1))</f>
        <v>#DIV/0!</v>
      </c>
      <c r="U42" s="3799"/>
      <c r="V42" s="3799" t="e">
        <f>IF(F1="售价",ROUND(PRODUCT(V41,AC7:AC40),0),ROUND(PRODUCT(V41,AC7:AC40),1))</f>
        <v>#DIV/0!</v>
      </c>
      <c r="W42" s="3799"/>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795" t="str">
        <f>A43</f>
        <v>估价对象XX用房的比较价值（楼面单价，元/平方米）</v>
      </c>
      <c r="Q43" s="3796"/>
      <c r="R43" s="3797" t="e">
        <f>IF(F1="售价",ROUND(IF(D42="简单平均",AVERAGE(R42:V42),R42*F42+T42*H42+V42*J42),0),ROUND(IF(D42="简单平均",AVERAGE(R42:V42),R42*F42+T42*H42+V42*J42),1))</f>
        <v>#DIV/0!</v>
      </c>
      <c r="S43" s="3797"/>
      <c r="T43" s="3797"/>
      <c r="U43" s="3797"/>
      <c r="V43" s="3797"/>
      <c r="W43" s="3797"/>
      <c r="X43" s="699"/>
      <c r="Y43" s="699"/>
      <c r="Z43" s="699"/>
      <c r="AA43" s="699"/>
      <c r="AB43" s="699"/>
      <c r="AC43" s="699"/>
    </row>
    <row r="44" spans="1:29">
      <c r="A44" s="2952"/>
      <c r="B44" s="2952"/>
      <c r="C44" s="2952"/>
      <c r="D44" s="2952"/>
      <c r="E44" s="2952"/>
      <c r="F44" s="2952"/>
      <c r="G44" s="2956"/>
      <c r="H44" s="2952"/>
      <c r="I44" s="2952"/>
      <c r="J44" s="2952"/>
      <c r="K44" s="2957"/>
      <c r="L44" s="1020"/>
      <c r="M44" s="1058"/>
      <c r="N44" s="1058"/>
      <c r="O44" s="1058"/>
    </row>
    <row r="45" spans="1:29">
      <c r="A45" s="2952"/>
      <c r="B45" s="2952"/>
      <c r="C45" s="2952"/>
      <c r="D45" s="2952"/>
      <c r="E45" s="2952"/>
      <c r="F45" s="2952"/>
      <c r="G45" s="2952"/>
      <c r="H45" s="2952"/>
      <c r="I45" s="2952"/>
      <c r="J45" s="2952"/>
      <c r="K45" s="2957"/>
      <c r="L45" s="1020"/>
      <c r="M45" s="1058"/>
      <c r="N45" s="1058"/>
      <c r="O45" s="1058"/>
    </row>
    <row r="46" spans="1:29" ht="13.5" customHeight="1">
      <c r="A46" s="2952"/>
      <c r="B46" s="2952"/>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1020"/>
      <c r="M46" s="1058"/>
      <c r="N46" s="1058"/>
      <c r="O46" s="1058"/>
    </row>
    <row r="47" spans="1:29" ht="13.5" customHeight="1">
      <c r="A47" s="2952"/>
      <c r="B47" s="2952"/>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1020"/>
      <c r="M47" s="1058"/>
      <c r="N47" s="1058"/>
      <c r="O47" s="1058"/>
    </row>
    <row r="48" spans="1:29" s="459" customFormat="1" ht="13.5" customHeight="1">
      <c r="A48" s="2955"/>
      <c r="B48" s="2955"/>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1061"/>
      <c r="M48" s="1059"/>
      <c r="N48" s="1059"/>
      <c r="O48" s="1059"/>
    </row>
    <row r="49" spans="1:17" s="459" customFormat="1">
      <c r="A49" s="2955"/>
      <c r="B49" s="2958"/>
      <c r="C49" s="2959"/>
      <c r="D49" s="2955"/>
      <c r="E49" s="2955"/>
      <c r="F49" s="2955"/>
      <c r="G49" s="2955"/>
      <c r="H49" s="2955"/>
      <c r="I49" s="2955"/>
      <c r="J49" s="2955"/>
      <c r="K49" s="2960"/>
      <c r="L49" s="1061"/>
      <c r="M49" s="1059"/>
      <c r="N49" s="1059"/>
      <c r="O49" s="1059"/>
    </row>
    <row r="50" spans="1:17">
      <c r="A50" s="2952"/>
      <c r="B50" s="2958"/>
      <c r="C50" s="2959"/>
      <c r="D50" s="2952"/>
      <c r="E50" s="2952"/>
      <c r="F50" s="2952"/>
      <c r="G50" s="2952"/>
      <c r="H50" s="2952"/>
      <c r="I50" s="2952"/>
      <c r="J50" s="2952"/>
      <c r="K50" s="2957"/>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6" t="str">
        <f>YEAR(C7)&amp;"-"&amp;MONTH(C7)</f>
        <v>2017-6</v>
      </c>
      <c r="D52" s="1347">
        <f>EDATE(C52,-1)</f>
        <v>42856</v>
      </c>
      <c r="E52" s="1347">
        <f t="shared" ref="E52:O52" si="13">EDATE(D52,-1)</f>
        <v>42826</v>
      </c>
      <c r="F52" s="1347">
        <f t="shared" si="13"/>
        <v>42795</v>
      </c>
      <c r="G52" s="1347">
        <f t="shared" si="13"/>
        <v>42767</v>
      </c>
      <c r="H52" s="1347">
        <f t="shared" si="13"/>
        <v>42736</v>
      </c>
      <c r="I52" s="1347">
        <f t="shared" si="13"/>
        <v>42705</v>
      </c>
      <c r="J52" s="1347">
        <f t="shared" si="13"/>
        <v>42675</v>
      </c>
      <c r="K52" s="1347">
        <f t="shared" si="13"/>
        <v>42644</v>
      </c>
      <c r="L52" s="1347">
        <f t="shared" si="13"/>
        <v>42614</v>
      </c>
      <c r="M52" s="1347">
        <f t="shared" si="13"/>
        <v>42583</v>
      </c>
      <c r="N52" s="1347">
        <f t="shared" si="13"/>
        <v>42552</v>
      </c>
      <c r="O52" s="1347">
        <f t="shared" si="13"/>
        <v>42522</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7"/>
      <c r="O54" s="2998"/>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4">D62&amp;"（含）"&amp;"-"&amp;E62</f>
        <v>（含）-</v>
      </c>
      <c r="E61" s="504" t="str">
        <f t="shared" si="14"/>
        <v>（含）-</v>
      </c>
      <c r="F61" s="504" t="str">
        <f t="shared" si="14"/>
        <v>（含）-</v>
      </c>
      <c r="G61" s="504" t="str">
        <f t="shared" si="14"/>
        <v>（含）-</v>
      </c>
      <c r="H61" s="504" t="str">
        <f t="shared" si="14"/>
        <v>（含）-</v>
      </c>
      <c r="I61" s="504" t="str">
        <f t="shared" si="14"/>
        <v>（含）-</v>
      </c>
      <c r="J61" s="504" t="str">
        <f t="shared" si="14"/>
        <v>（含）-</v>
      </c>
      <c r="K61" s="504" t="str">
        <f t="shared" si="14"/>
        <v>（含）-</v>
      </c>
      <c r="L61" s="504" t="str">
        <f t="shared" si="14"/>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5">C63-$K11</f>
        <v>100</v>
      </c>
      <c r="E63" s="501">
        <f t="shared" si="15"/>
        <v>100</v>
      </c>
      <c r="F63" s="501">
        <f t="shared" si="15"/>
        <v>100</v>
      </c>
      <c r="G63" s="501">
        <f t="shared" si="15"/>
        <v>100</v>
      </c>
      <c r="H63" s="501">
        <f t="shared" si="15"/>
        <v>100</v>
      </c>
      <c r="I63" s="501">
        <f t="shared" si="15"/>
        <v>100</v>
      </c>
      <c r="J63" s="501">
        <f t="shared" si="15"/>
        <v>100</v>
      </c>
      <c r="K63" s="501">
        <f t="shared" si="15"/>
        <v>100</v>
      </c>
      <c r="L63" s="501">
        <f t="shared" si="15"/>
        <v>100</v>
      </c>
      <c r="M63" s="502">
        <f t="shared" si="15"/>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2525</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2518</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6">C89-$K29</f>
        <v>100</v>
      </c>
      <c r="E89" s="501">
        <f t="shared" si="16"/>
        <v>100</v>
      </c>
      <c r="F89" s="501">
        <f t="shared" si="16"/>
        <v>100</v>
      </c>
      <c r="G89" s="501">
        <f t="shared" si="16"/>
        <v>100</v>
      </c>
      <c r="H89" s="501">
        <f t="shared" si="16"/>
        <v>100</v>
      </c>
      <c r="I89" s="501">
        <f t="shared" si="16"/>
        <v>100</v>
      </c>
      <c r="J89" s="501">
        <f t="shared" si="16"/>
        <v>100</v>
      </c>
      <c r="K89" s="501">
        <f t="shared" si="16"/>
        <v>100</v>
      </c>
      <c r="L89" s="501">
        <f t="shared" si="16"/>
        <v>100</v>
      </c>
      <c r="M89" s="502">
        <f t="shared" si="16"/>
        <v>100</v>
      </c>
      <c r="N89" s="1065"/>
      <c r="O89" s="1065"/>
      <c r="P89" s="45"/>
      <c r="Q89" s="461"/>
    </row>
    <row r="90" spans="1:17" ht="15.75" thickTop="1">
      <c r="A90" s="491"/>
      <c r="B90" s="495" t="s">
        <v>2434</v>
      </c>
      <c r="C90" s="535" t="str">
        <f>C91&amp;"(含)"&amp;"-"&amp;D91</f>
        <v>(含)-</v>
      </c>
      <c r="D90" s="535" t="str">
        <f t="shared" ref="D90:L90" si="17">D91&amp;"(含)"&amp;"-"&amp;E91</f>
        <v>(含)-</v>
      </c>
      <c r="E90" s="535" t="str">
        <f t="shared" si="17"/>
        <v>(含)-</v>
      </c>
      <c r="F90" s="535" t="str">
        <f t="shared" si="17"/>
        <v>(含)-</v>
      </c>
      <c r="G90" s="535" t="str">
        <f t="shared" si="17"/>
        <v>(含)-</v>
      </c>
      <c r="H90" s="535" t="str">
        <f t="shared" si="17"/>
        <v>(含)-</v>
      </c>
      <c r="I90" s="535" t="str">
        <f t="shared" si="17"/>
        <v>(含)-</v>
      </c>
      <c r="J90" s="535" t="str">
        <f t="shared" si="17"/>
        <v>(含)-</v>
      </c>
      <c r="K90" s="535" t="str">
        <f t="shared" si="17"/>
        <v>(含)-</v>
      </c>
      <c r="L90" s="535" t="str">
        <f t="shared" si="17"/>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18">C94-$K31</f>
        <v>100</v>
      </c>
      <c r="E94" s="501">
        <f t="shared" si="18"/>
        <v>100</v>
      </c>
      <c r="F94" s="501">
        <f t="shared" si="18"/>
        <v>100</v>
      </c>
      <c r="G94" s="501">
        <f t="shared" si="18"/>
        <v>100</v>
      </c>
      <c r="H94" s="501">
        <f t="shared" si="18"/>
        <v>100</v>
      </c>
      <c r="I94" s="501">
        <f t="shared" si="18"/>
        <v>100</v>
      </c>
      <c r="J94" s="501">
        <f t="shared" si="18"/>
        <v>100</v>
      </c>
      <c r="K94" s="501">
        <f t="shared" si="18"/>
        <v>100</v>
      </c>
      <c r="L94" s="501">
        <f t="shared" si="18"/>
        <v>100</v>
      </c>
      <c r="M94" s="502">
        <f t="shared" si="18"/>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19">C96-$K32</f>
        <v>100</v>
      </c>
      <c r="E96" s="501">
        <f t="shared" si="19"/>
        <v>100</v>
      </c>
      <c r="F96" s="501">
        <f t="shared" si="19"/>
        <v>100</v>
      </c>
      <c r="G96" s="501">
        <f t="shared" si="19"/>
        <v>100</v>
      </c>
      <c r="H96" s="501">
        <f t="shared" si="19"/>
        <v>100</v>
      </c>
      <c r="I96" s="501">
        <f t="shared" si="19"/>
        <v>100</v>
      </c>
      <c r="J96" s="501">
        <f t="shared" si="19"/>
        <v>100</v>
      </c>
      <c r="K96" s="501">
        <f t="shared" si="19"/>
        <v>100</v>
      </c>
      <c r="L96" s="501">
        <f t="shared" si="19"/>
        <v>100</v>
      </c>
      <c r="M96" s="502">
        <f t="shared" si="19"/>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0">D99+$K33</f>
        <v>100</v>
      </c>
      <c r="F99" s="501">
        <f t="shared" si="20"/>
        <v>100</v>
      </c>
      <c r="G99" s="501">
        <f t="shared" si="20"/>
        <v>100</v>
      </c>
      <c r="H99" s="501">
        <f t="shared" si="20"/>
        <v>100</v>
      </c>
      <c r="I99" s="501">
        <f t="shared" si="20"/>
        <v>100</v>
      </c>
      <c r="J99" s="501">
        <f t="shared" si="20"/>
        <v>100</v>
      </c>
      <c r="K99" s="501">
        <f t="shared" si="20"/>
        <v>100</v>
      </c>
      <c r="L99" s="501">
        <f t="shared" si="20"/>
        <v>100</v>
      </c>
      <c r="M99" s="501">
        <f t="shared" si="20"/>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1">D101-$K34</f>
        <v>100</v>
      </c>
      <c r="F101" s="501">
        <f t="shared" si="21"/>
        <v>100</v>
      </c>
      <c r="G101" s="501">
        <f t="shared" si="21"/>
        <v>100</v>
      </c>
      <c r="H101" s="501">
        <f t="shared" si="21"/>
        <v>100</v>
      </c>
      <c r="I101" s="501">
        <f t="shared" si="21"/>
        <v>100</v>
      </c>
      <c r="J101" s="501">
        <f t="shared" si="21"/>
        <v>100</v>
      </c>
      <c r="K101" s="501">
        <f t="shared" si="21"/>
        <v>100</v>
      </c>
      <c r="L101" s="501">
        <f t="shared" si="21"/>
        <v>100</v>
      </c>
      <c r="M101" s="501">
        <f t="shared" si="21"/>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2">C103-$K35</f>
        <v>100</v>
      </c>
      <c r="E103" s="501">
        <f t="shared" si="22"/>
        <v>100</v>
      </c>
      <c r="F103" s="501">
        <f t="shared" si="22"/>
        <v>100</v>
      </c>
      <c r="G103" s="501">
        <f t="shared" si="22"/>
        <v>100</v>
      </c>
      <c r="H103" s="501">
        <f t="shared" si="22"/>
        <v>100</v>
      </c>
      <c r="I103" s="501">
        <f t="shared" si="22"/>
        <v>100</v>
      </c>
      <c r="J103" s="501">
        <f t="shared" si="22"/>
        <v>100</v>
      </c>
      <c r="K103" s="501">
        <f t="shared" si="22"/>
        <v>100</v>
      </c>
      <c r="L103" s="501">
        <f t="shared" si="22"/>
        <v>100</v>
      </c>
      <c r="M103" s="502">
        <f t="shared" si="22"/>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2526</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3">C107-$K37</f>
        <v>100</v>
      </c>
      <c r="E107" s="501">
        <f t="shared" si="23"/>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207" priority="20" stopIfTrue="1" operator="containsText" text="超过">
      <formula>NOT(ISERROR(SEARCH("超过",F46)))</formula>
    </cfRule>
  </conditionalFormatting>
  <conditionalFormatting sqref="H48">
    <cfRule type="containsText" dxfId="206" priority="19" stopIfTrue="1" operator="containsText" text="超过">
      <formula>NOT(ISERROR(SEARCH("超过",H48)))</formula>
    </cfRule>
  </conditionalFormatting>
  <conditionalFormatting sqref="F48">
    <cfRule type="containsText" dxfId="205" priority="18" stopIfTrue="1" operator="containsText" text="超过">
      <formula>NOT(ISERROR(SEARCH("超过",F48)))</formula>
    </cfRule>
  </conditionalFormatting>
  <conditionalFormatting sqref="F47 H47">
    <cfRule type="containsText" dxfId="204" priority="17" stopIfTrue="1" operator="containsText" text="超过">
      <formula>NOT(ISERROR(SEARCH("超过",F47)))</formula>
    </cfRule>
  </conditionalFormatting>
  <conditionalFormatting sqref="E46">
    <cfRule type="expression" dxfId="203" priority="16" stopIfTrue="1">
      <formula>$F$46="超过30%"</formula>
    </cfRule>
  </conditionalFormatting>
  <conditionalFormatting sqref="E47">
    <cfRule type="expression" dxfId="202" priority="15" stopIfTrue="1">
      <formula>$F$47="超过20%"</formula>
    </cfRule>
  </conditionalFormatting>
  <conditionalFormatting sqref="E48">
    <cfRule type="expression" dxfId="201" priority="14" stopIfTrue="1">
      <formula>$F$48="超过30%"</formula>
    </cfRule>
  </conditionalFormatting>
  <conditionalFormatting sqref="G48">
    <cfRule type="expression" dxfId="200" priority="13" stopIfTrue="1">
      <formula>$H$48="超过30%"</formula>
    </cfRule>
  </conditionalFormatting>
  <conditionalFormatting sqref="G46">
    <cfRule type="expression" dxfId="199" priority="12" stopIfTrue="1">
      <formula>$H$46="超过30%"</formula>
    </cfRule>
  </conditionalFormatting>
  <conditionalFormatting sqref="G47">
    <cfRule type="expression" dxfId="198" priority="11" stopIfTrue="1">
      <formula>$H$47="超过20%"</formula>
    </cfRule>
  </conditionalFormatting>
  <conditionalFormatting sqref="J46">
    <cfRule type="containsText" dxfId="197" priority="10" stopIfTrue="1" operator="containsText" text="超过">
      <formula>NOT(ISERROR(SEARCH("超过",J46)))</formula>
    </cfRule>
  </conditionalFormatting>
  <conditionalFormatting sqref="J48">
    <cfRule type="containsText" dxfId="196" priority="9" stopIfTrue="1" operator="containsText" text="超过">
      <formula>NOT(ISERROR(SEARCH("超过",J48)))</formula>
    </cfRule>
  </conditionalFormatting>
  <conditionalFormatting sqref="J47">
    <cfRule type="containsText" dxfId="195" priority="8" stopIfTrue="1" operator="containsText" text="超过">
      <formula>NOT(ISERROR(SEARCH("超过",J47)))</formula>
    </cfRule>
  </conditionalFormatting>
  <conditionalFormatting sqref="I46">
    <cfRule type="expression" dxfId="194" priority="7" stopIfTrue="1">
      <formula>$J$46="超过30%"</formula>
    </cfRule>
  </conditionalFormatting>
  <conditionalFormatting sqref="I47">
    <cfRule type="expression" dxfId="193" priority="6" stopIfTrue="1">
      <formula>$J$47="超过20%"</formula>
    </cfRule>
  </conditionalFormatting>
  <conditionalFormatting sqref="I48">
    <cfRule type="expression" dxfId="192" priority="5" stopIfTrue="1">
      <formula>$J$48="超过30%"</formula>
    </cfRule>
  </conditionalFormatting>
  <conditionalFormatting sqref="F42">
    <cfRule type="expression" dxfId="191" priority="4">
      <formula>$D$42="简单平均"</formula>
    </cfRule>
  </conditionalFormatting>
  <conditionalFormatting sqref="H42">
    <cfRule type="expression" dxfId="190" priority="3">
      <formula>$D$42="简单平均"</formula>
    </cfRule>
  </conditionalFormatting>
  <conditionalFormatting sqref="J42">
    <cfRule type="expression" dxfId="189" priority="2">
      <formula>$D$42="简单平均"</formula>
    </cfRule>
  </conditionalFormatting>
  <conditionalFormatting sqref="F7:F40 H7:H40 J7:J40">
    <cfRule type="cellIs" dxfId="188" priority="1" operator="notEqual">
      <formula>100</formula>
    </cfRule>
  </conditionalFormatting>
  <dataValidations count="20">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20 G20 E20 I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8 E8 G8 I8" xr:uid="{00000000-0002-0000-1A00-000005000000}">
      <formula1>工业交易情况</formula1>
    </dataValidation>
    <dataValidation type="list" allowBlank="1" showInputMessage="1" showErrorMessage="1" sqref="E9 G9 I9" xr:uid="{00000000-0002-0000-1A00-000006000000}">
      <formula1>工业用途</formula1>
    </dataValidation>
    <dataValidation type="list" allowBlank="1" showInputMessage="1" showErrorMessage="1" sqref="C29 E29 G29 I29" xr:uid="{00000000-0002-0000-1A00-000007000000}">
      <formula1>工业建筑类型</formula1>
    </dataValidation>
    <dataValidation type="list" allowBlank="1" showInputMessage="1" showErrorMessage="1" sqref="C31 E31 G31 I31" xr:uid="{00000000-0002-0000-1A00-000008000000}">
      <formula1>工业建筑结构</formula1>
    </dataValidation>
    <dataValidation type="list" allowBlank="1" showInputMessage="1" showErrorMessage="1" sqref="C32 E32 G32 I32" xr:uid="{00000000-0002-0000-1A00-000009000000}">
      <formula1>工业公共部分装修</formula1>
    </dataValidation>
    <dataValidation type="list" allowBlank="1" showInputMessage="1" showErrorMessage="1" sqref="C34 E34 G34 I34" xr:uid="{00000000-0002-0000-1A00-00000A000000}">
      <formula1>工业物业管理</formula1>
    </dataValidation>
    <dataValidation type="list" allowBlank="1" showInputMessage="1" showErrorMessage="1" sqref="C35 E35 G35 I35" xr:uid="{00000000-0002-0000-1A00-00000B000000}">
      <formula1>工业基础设施水平</formula1>
    </dataValidation>
    <dataValidation type="list" allowBlank="1" showInputMessage="1" showErrorMessage="1" sqref="C36 E36 G36 I36" xr:uid="{00000000-0002-0000-1A00-00000C000000}">
      <formula1>工业内部装修</formula1>
    </dataValidation>
    <dataValidation type="list" allowBlank="1" showInputMessage="1" showErrorMessage="1" sqref="C37 E37 G37 I37" xr:uid="{00000000-0002-0000-1A00-00000D000000}">
      <formula1>内部装修维护情况</formula1>
    </dataValidation>
    <dataValidation type="list" allowBlank="1" showInputMessage="1" showErrorMessage="1" sqref="C16 E16 G16 I16" xr:uid="{00000000-0002-0000-1A00-00000E000000}">
      <formula1>产业集聚程度</formula1>
    </dataValidation>
    <dataValidation type="list" allowBlank="1" showInputMessage="1" showErrorMessage="1" sqref="C22 E22 G22 I22" xr:uid="{00000000-0002-0000-1A00-00000F000000}">
      <formula1>基础设施水平</formula1>
    </dataValidation>
    <dataValidation type="list" allowBlank="1" showInputMessage="1" showErrorMessage="1" sqref="F1" xr:uid="{00000000-0002-0000-1A00-000010000000}">
      <formula1>"售价,租金"</formula1>
    </dataValidation>
    <dataValidation type="list" allowBlank="1" showInputMessage="1" showErrorMessage="1" sqref="C2" xr:uid="{00000000-0002-0000-1A00-000011000000}">
      <formula1>"需扣减承租人权益,——"</formula1>
    </dataValidation>
    <dataValidation type="list" allowBlank="1" showInputMessage="1" showErrorMessage="1" sqref="F2" xr:uid="{00000000-0002-0000-1A00-000012000000}">
      <formula1>估价方法</formula1>
    </dataValidation>
    <dataValidation type="list" allowBlank="1" showInputMessage="1" showErrorMessage="1" sqref="D42" xr:uid="{00000000-0002-0000-1A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2527</v>
      </c>
      <c r="B1" s="1391"/>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7"/>
      <c r="D2" s="1038" t="e">
        <f ca="1">SUMIF(INDIRECT("'"&amp;F2&amp;"'"&amp;"!A:A"),"承租人权益价值",INDIRECT("'"&amp;F2&amp;"'"&amp;"!c:c"))</f>
        <v>#REF!</v>
      </c>
      <c r="E2" s="2068" t="s">
        <v>2149</v>
      </c>
      <c r="F2" s="2069"/>
      <c r="G2" s="1039"/>
      <c r="H2" s="1039"/>
      <c r="I2" s="1039"/>
      <c r="J2" s="1039"/>
      <c r="K2" s="1041"/>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29" ht="15">
      <c r="A4" s="361" t="s">
        <v>2466</v>
      </c>
      <c r="B4" s="362"/>
      <c r="C4" s="3781" t="s">
        <v>2467</v>
      </c>
      <c r="D4" s="3782"/>
      <c r="E4" s="3783" t="s">
        <v>2468</v>
      </c>
      <c r="F4" s="3784"/>
      <c r="G4" s="3781" t="s">
        <v>2469</v>
      </c>
      <c r="H4" s="3782"/>
      <c r="I4" s="3781" t="s">
        <v>2470</v>
      </c>
      <c r="J4" s="3782"/>
      <c r="K4" s="567" t="s">
        <v>2471</v>
      </c>
      <c r="L4" s="2942"/>
      <c r="M4" s="2943"/>
      <c r="N4" s="2943"/>
      <c r="O4" s="2943"/>
      <c r="P4" s="3785" t="s">
        <v>2472</v>
      </c>
      <c r="Q4" s="3786"/>
      <c r="R4" s="3768" t="s">
        <v>2468</v>
      </c>
      <c r="S4" s="3769"/>
      <c r="T4" s="3768" t="s">
        <v>2469</v>
      </c>
      <c r="U4" s="3769"/>
      <c r="V4" s="3793" t="s">
        <v>2470</v>
      </c>
      <c r="W4" s="3793"/>
      <c r="X4" s="1539"/>
      <c r="Y4" s="3768" t="s">
        <v>2472</v>
      </c>
      <c r="Z4" s="3769"/>
      <c r="AA4" s="3763" t="s">
        <v>2468</v>
      </c>
      <c r="AB4" s="3764" t="s">
        <v>2469</v>
      </c>
      <c r="AC4" s="3763" t="s">
        <v>2470</v>
      </c>
    </row>
    <row r="5" spans="1:29" ht="15">
      <c r="A5" s="364"/>
      <c r="B5" s="365"/>
      <c r="C5" s="3774" t="s">
        <v>2363</v>
      </c>
      <c r="D5" s="3775"/>
      <c r="E5" s="3772" t="s">
        <v>2364</v>
      </c>
      <c r="F5" s="3773"/>
      <c r="G5" s="3774" t="s">
        <v>2365</v>
      </c>
      <c r="H5" s="3775"/>
      <c r="I5" s="3774" t="s">
        <v>2366</v>
      </c>
      <c r="J5" s="3775"/>
      <c r="K5" s="567"/>
      <c r="L5" s="2942"/>
      <c r="M5" s="2943"/>
      <c r="N5" s="2943"/>
      <c r="O5" s="2943"/>
      <c r="P5" s="3787"/>
      <c r="Q5" s="3788"/>
      <c r="R5" s="3770"/>
      <c r="S5" s="3771"/>
      <c r="T5" s="3770"/>
      <c r="U5" s="3771"/>
      <c r="V5" s="3793"/>
      <c r="W5" s="3793"/>
      <c r="X5" s="1539"/>
      <c r="Y5" s="3770"/>
      <c r="Z5" s="3771"/>
      <c r="AA5" s="3764"/>
      <c r="AB5" s="3764"/>
      <c r="AC5" s="3764"/>
    </row>
    <row r="6" spans="1:29" ht="15.75" thickBot="1">
      <c r="A6" s="366"/>
      <c r="B6" s="367"/>
      <c r="C6" s="3776" t="s">
        <v>2367</v>
      </c>
      <c r="D6" s="3777"/>
      <c r="E6" s="3778" t="s">
        <v>2367</v>
      </c>
      <c r="F6" s="3779"/>
      <c r="G6" s="3776" t="s">
        <v>2367</v>
      </c>
      <c r="H6" s="3777"/>
      <c r="I6" s="3776" t="s">
        <v>2367</v>
      </c>
      <c r="J6" s="3777"/>
      <c r="K6" s="567" t="s">
        <v>2368</v>
      </c>
      <c r="L6" s="2942"/>
      <c r="M6" s="2943"/>
      <c r="N6" s="2943"/>
      <c r="O6" s="2943"/>
      <c r="P6" s="3789"/>
      <c r="Q6" s="3790"/>
      <c r="R6" s="3770"/>
      <c r="S6" s="3771"/>
      <c r="T6" s="3791"/>
      <c r="U6" s="3792"/>
      <c r="V6" s="3793"/>
      <c r="W6" s="3793"/>
      <c r="X6" s="1539"/>
      <c r="Y6" s="3791"/>
      <c r="Z6" s="3792"/>
      <c r="AA6" s="3765"/>
      <c r="AB6" s="3765"/>
      <c r="AC6" s="3765"/>
    </row>
    <row r="7" spans="1:29" s="113" customFormat="1" ht="15.75" thickBot="1">
      <c r="A7" s="368" t="s">
        <v>2369</v>
      </c>
      <c r="B7" s="369"/>
      <c r="C7" s="370">
        <f>'数据-取费表'!B2</f>
        <v>42914</v>
      </c>
      <c r="D7" s="371">
        <v>100</v>
      </c>
      <c r="E7" s="372"/>
      <c r="F7" s="373">
        <f>SUMIF(46:46,YEAR(E7)&amp;"-"&amp;MONTH(E7),47:47)</f>
        <v>0</v>
      </c>
      <c r="G7" s="2160"/>
      <c r="H7" s="371">
        <f>SUMIF(46:46,YEAR(G7)&amp;"-"&amp;MONTH(G7),47:47)</f>
        <v>0</v>
      </c>
      <c r="I7" s="372"/>
      <c r="J7" s="371">
        <f>SUMIF(46:46,YEAR(I7)&amp;"-"&amp;MONTH(I7),47:47)</f>
        <v>0</v>
      </c>
      <c r="K7" s="568"/>
      <c r="L7" s="2944"/>
      <c r="M7" s="2945"/>
      <c r="N7" s="2945"/>
      <c r="O7" s="2945"/>
      <c r="P7" s="3766" t="s">
        <v>2370</v>
      </c>
      <c r="Q7" s="3794"/>
      <c r="R7" s="710" t="s">
        <v>17</v>
      </c>
      <c r="S7" s="711">
        <f t="shared" ref="S7:S14" si="0">F7</f>
        <v>0</v>
      </c>
      <c r="T7" s="710" t="s">
        <v>17</v>
      </c>
      <c r="U7" s="711">
        <f t="shared" ref="U7:U14" si="1">H7</f>
        <v>0</v>
      </c>
      <c r="V7" s="710" t="s">
        <v>17</v>
      </c>
      <c r="W7" s="711">
        <f t="shared" ref="W7:W14" si="2">J7</f>
        <v>0</v>
      </c>
      <c r="X7" s="712"/>
      <c r="Y7" s="3766" t="s">
        <v>2370</v>
      </c>
      <c r="Z7" s="3767"/>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4"/>
      <c r="M8" s="2945"/>
      <c r="N8" s="2945"/>
      <c r="O8" s="2945"/>
      <c r="P8" s="3766" t="s">
        <v>2373</v>
      </c>
      <c r="Q8" s="3767"/>
      <c r="R8" s="710" t="s">
        <v>17</v>
      </c>
      <c r="S8" s="711">
        <f t="shared" si="0"/>
        <v>0</v>
      </c>
      <c r="T8" s="710" t="s">
        <v>17</v>
      </c>
      <c r="U8" s="711">
        <f t="shared" si="1"/>
        <v>0</v>
      </c>
      <c r="V8" s="710" t="s">
        <v>17</v>
      </c>
      <c r="W8" s="711">
        <f t="shared" si="2"/>
        <v>0</v>
      </c>
      <c r="X8" s="712"/>
      <c r="Y8" s="3766" t="s">
        <v>2373</v>
      </c>
      <c r="Z8" s="3767"/>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4"/>
      <c r="M9" s="2945"/>
      <c r="N9" s="2945"/>
      <c r="O9" s="2999"/>
      <c r="P9" s="3798" t="s">
        <v>2376</v>
      </c>
      <c r="Q9" s="1527" t="str">
        <f t="shared" ref="Q9:Q14" si="6">B9</f>
        <v>用途</v>
      </c>
      <c r="R9" s="710" t="s">
        <v>17</v>
      </c>
      <c r="S9" s="711">
        <f t="shared" si="0"/>
        <v>100</v>
      </c>
      <c r="T9" s="710" t="s">
        <v>17</v>
      </c>
      <c r="U9" s="711">
        <f t="shared" si="1"/>
        <v>100</v>
      </c>
      <c r="V9" s="710" t="s">
        <v>17</v>
      </c>
      <c r="W9" s="711">
        <f t="shared" si="2"/>
        <v>100</v>
      </c>
      <c r="X9" s="712"/>
      <c r="Y9" s="3708"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6"/>
      <c r="M10" s="2947"/>
      <c r="N10" s="2947"/>
      <c r="O10" s="3000"/>
      <c r="P10" s="3798"/>
      <c r="Q10" s="1527" t="str">
        <f t="shared" si="6"/>
        <v>土地使用年限（年）</v>
      </c>
      <c r="R10" s="710" t="s">
        <v>17</v>
      </c>
      <c r="S10" s="711">
        <f t="shared" si="0"/>
        <v>100</v>
      </c>
      <c r="T10" s="710" t="s">
        <v>17</v>
      </c>
      <c r="U10" s="711">
        <f t="shared" si="1"/>
        <v>100</v>
      </c>
      <c r="V10" s="710" t="s">
        <v>17</v>
      </c>
      <c r="W10" s="711">
        <f t="shared" si="2"/>
        <v>100</v>
      </c>
      <c r="X10" s="712"/>
      <c r="Y10" s="3708"/>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48"/>
      <c r="M11" s="2943"/>
      <c r="N11" s="2943"/>
      <c r="O11" s="3001"/>
      <c r="P11" s="3798"/>
      <c r="Q11" s="1527">
        <f t="shared" si="6"/>
        <v>111</v>
      </c>
      <c r="R11" s="710" t="s">
        <v>17</v>
      </c>
      <c r="S11" s="711">
        <f t="shared" si="0"/>
        <v>100</v>
      </c>
      <c r="T11" s="710" t="s">
        <v>17</v>
      </c>
      <c r="U11" s="711">
        <f t="shared" si="1"/>
        <v>100</v>
      </c>
      <c r="V11" s="710" t="s">
        <v>17</v>
      </c>
      <c r="W11" s="711">
        <f t="shared" si="2"/>
        <v>100</v>
      </c>
      <c r="X11" s="712"/>
      <c r="Y11" s="3708"/>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4"/>
      <c r="M12" s="2945"/>
      <c r="N12" s="2945"/>
      <c r="O12" s="2999"/>
      <c r="P12" s="3798"/>
      <c r="Q12" s="1527">
        <f t="shared" si="6"/>
        <v>111</v>
      </c>
      <c r="R12" s="710" t="s">
        <v>17</v>
      </c>
      <c r="S12" s="711">
        <f t="shared" si="0"/>
        <v>100</v>
      </c>
      <c r="T12" s="710" t="s">
        <v>17</v>
      </c>
      <c r="U12" s="711">
        <f t="shared" si="1"/>
        <v>100</v>
      </c>
      <c r="V12" s="710" t="s">
        <v>17</v>
      </c>
      <c r="W12" s="711">
        <f t="shared" si="2"/>
        <v>100</v>
      </c>
      <c r="X12" s="712"/>
      <c r="Y12" s="3708"/>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49"/>
      <c r="M13" s="2943"/>
      <c r="N13" s="2943"/>
      <c r="O13" s="3001"/>
      <c r="P13" s="3798"/>
      <c r="Q13" s="1527">
        <f t="shared" si="6"/>
        <v>111</v>
      </c>
      <c r="R13" s="710" t="s">
        <v>17</v>
      </c>
      <c r="S13" s="711">
        <f t="shared" si="0"/>
        <v>100</v>
      </c>
      <c r="T13" s="710" t="s">
        <v>17</v>
      </c>
      <c r="U13" s="711">
        <f t="shared" si="1"/>
        <v>100</v>
      </c>
      <c r="V13" s="710" t="s">
        <v>17</v>
      </c>
      <c r="W13" s="711">
        <f t="shared" si="2"/>
        <v>100</v>
      </c>
      <c r="X13" s="712"/>
      <c r="Y13" s="3708"/>
      <c r="Z13" s="55">
        <f t="shared" si="7"/>
        <v>111</v>
      </c>
      <c r="AA13" s="713">
        <f t="shared" si="3"/>
        <v>1</v>
      </c>
      <c r="AB13" s="713">
        <f t="shared" si="4"/>
        <v>1</v>
      </c>
      <c r="AC13" s="713">
        <f t="shared" si="5"/>
        <v>1</v>
      </c>
    </row>
    <row r="14" spans="1:29" ht="228">
      <c r="A14" s="399" t="s">
        <v>2380</v>
      </c>
      <c r="B14" s="65" t="s">
        <v>2529</v>
      </c>
      <c r="C14" s="2157" t="str">
        <f>IF(B1="工业",估价对象房地状况!G4,估价对象房地状况!C6)</f>
        <v>估价对象位于东四路口的东南角，紧临城市主干道-朝阳门内大街，西距东四南大街100米，距离地铁5号线（2007年通车）与6号线（2012年通车）东四站75米，多条公交线路通达，公共交通便利，停车便捷度好，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9"/>
      <c r="M14" s="2943"/>
      <c r="N14" s="2943"/>
      <c r="O14" s="3001"/>
      <c r="P14" s="3800" t="s">
        <v>2381</v>
      </c>
      <c r="Q14" s="1536" t="str">
        <f t="shared" si="6"/>
        <v>交通便捷度</v>
      </c>
      <c r="R14" s="714" t="s">
        <v>17</v>
      </c>
      <c r="S14" s="715">
        <f t="shared" si="0"/>
        <v>100</v>
      </c>
      <c r="T14" s="714" t="s">
        <v>17</v>
      </c>
      <c r="U14" s="715">
        <f t="shared" si="1"/>
        <v>100</v>
      </c>
      <c r="V14" s="714" t="s">
        <v>17</v>
      </c>
      <c r="W14" s="715">
        <f t="shared" si="2"/>
        <v>100</v>
      </c>
      <c r="X14" s="1539"/>
      <c r="Y14" s="3800" t="s">
        <v>2381</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49"/>
      <c r="M15" s="2943"/>
      <c r="N15" s="2943"/>
      <c r="O15" s="3001"/>
      <c r="P15" s="3801"/>
      <c r="Q15" s="1536"/>
      <c r="R15" s="714"/>
      <c r="S15" s="715"/>
      <c r="T15" s="714"/>
      <c r="U15" s="715"/>
      <c r="V15" s="714"/>
      <c r="W15" s="715"/>
      <c r="X15" s="1539"/>
      <c r="Y15" s="3801"/>
      <c r="Z15" s="1540"/>
      <c r="AA15" s="1537">
        <v>1</v>
      </c>
      <c r="AB15" s="1537">
        <v>1</v>
      </c>
      <c r="AC15" s="1537">
        <v>1</v>
      </c>
    </row>
    <row r="16" spans="1:29" ht="285">
      <c r="A16" s="387"/>
      <c r="B16" s="410" t="s">
        <v>2509</v>
      </c>
      <c r="C16" s="2086" t="str">
        <f>IF(B1="工业",估价对象房地状况!G5,估价对象房地状况!C7)</f>
        <v>估价对象所在区域有购物场所（隆福广场、物美超市等），教育机构（灯市口小学、北京市第一六六中学），医疗网点（北京市东城区口腔医院、北京市东城区朝阳门社区卫生服务中心），金融网点（中国邮政储蓄银行、中国工商银行、北京农商银行、广发银行），综合分析，公共配套设施齐备程度较好。</v>
      </c>
      <c r="D16" s="414">
        <v>100</v>
      </c>
      <c r="E16" s="416"/>
      <c r="F16" s="417">
        <f>SUMIF(63:63,E17,64:64)-SUMIF(63:63,C17,64:64)+100</f>
        <v>100</v>
      </c>
      <c r="G16" s="418"/>
      <c r="H16" s="414">
        <f>SUMIF(63:63,G17,64:64)-SUMIF(63:63,C17,64:64)+100</f>
        <v>100</v>
      </c>
      <c r="I16" s="416"/>
      <c r="J16" s="414">
        <f>SUMIF(63:63,I17,64:64)-SUMIF(63:63,C17,64:64)+100</f>
        <v>100</v>
      </c>
      <c r="K16" s="571"/>
      <c r="L16" s="2949"/>
      <c r="M16" s="2943"/>
      <c r="N16" s="2943"/>
      <c r="O16" s="3001"/>
      <c r="P16" s="3801"/>
      <c r="Q16" s="1536" t="str">
        <f>B16</f>
        <v>公共配套设施</v>
      </c>
      <c r="R16" s="714" t="s">
        <v>17</v>
      </c>
      <c r="S16" s="715">
        <f>F16</f>
        <v>100</v>
      </c>
      <c r="T16" s="714" t="s">
        <v>17</v>
      </c>
      <c r="U16" s="715">
        <f>H16</f>
        <v>100</v>
      </c>
      <c r="V16" s="714" t="s">
        <v>17</v>
      </c>
      <c r="W16" s="715">
        <f>J16</f>
        <v>100</v>
      </c>
      <c r="X16" s="1539"/>
      <c r="Y16" s="3801"/>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49"/>
      <c r="M17" s="2943"/>
      <c r="N17" s="2943"/>
      <c r="O17" s="3001"/>
      <c r="P17" s="3801"/>
      <c r="Q17" s="1536"/>
      <c r="R17" s="714"/>
      <c r="S17" s="715"/>
      <c r="T17" s="714"/>
      <c r="U17" s="715"/>
      <c r="V17" s="714"/>
      <c r="W17" s="715"/>
      <c r="X17" s="1539"/>
      <c r="Y17" s="3801"/>
      <c r="Z17" s="1540"/>
      <c r="AA17" s="1537">
        <v>1</v>
      </c>
      <c r="AB17" s="1537">
        <v>1</v>
      </c>
      <c r="AC17" s="1537">
        <v>1</v>
      </c>
    </row>
    <row r="18" spans="1:29" ht="42.75">
      <c r="A18" s="387"/>
      <c r="B18" s="1293" t="s">
        <v>2510</v>
      </c>
      <c r="C18" s="2086" t="str">
        <f>IF(B1="工业",估价对象房地状况!G6,估价对象房地状况!C8)</f>
        <v>估价对象所在区域基础设施水平-七通</v>
      </c>
      <c r="D18" s="414">
        <v>100</v>
      </c>
      <c r="E18" s="411"/>
      <c r="F18" s="417">
        <f>SUMIF(65:65,E19,66:66)-SUMIF(65:65,C19,66:66)+100</f>
        <v>100</v>
      </c>
      <c r="G18" s="413"/>
      <c r="H18" s="414">
        <f>SUMIF(65:65,G19,66:66)-SUMIF(65:65,C19,66:66)+100</f>
        <v>100</v>
      </c>
      <c r="I18" s="416"/>
      <c r="J18" s="414">
        <f>SUMIF(65:65,I19,66:66)-SUMIF(65:65,C19,66:66)+100</f>
        <v>100</v>
      </c>
      <c r="K18" s="571"/>
      <c r="L18" s="2949"/>
      <c r="M18" s="2943"/>
      <c r="N18" s="2943"/>
      <c r="O18" s="3001"/>
      <c r="P18" s="3801"/>
      <c r="Q18" s="1536" t="str">
        <f>B18</f>
        <v>基础设施水平</v>
      </c>
      <c r="R18" s="714" t="s">
        <v>17</v>
      </c>
      <c r="S18" s="715">
        <f>F18</f>
        <v>100</v>
      </c>
      <c r="T18" s="714" t="s">
        <v>17</v>
      </c>
      <c r="U18" s="715">
        <f>H18</f>
        <v>100</v>
      </c>
      <c r="V18" s="714" t="s">
        <v>17</v>
      </c>
      <c r="W18" s="715">
        <f>J18</f>
        <v>100</v>
      </c>
      <c r="X18" s="1539"/>
      <c r="Y18" s="3801"/>
      <c r="Z18" s="1540" t="str">
        <f>Q18</f>
        <v>基础设施水平</v>
      </c>
      <c r="AA18" s="1537">
        <f>D18/F18</f>
        <v>1</v>
      </c>
      <c r="AB18" s="1537">
        <f>D18/H18</f>
        <v>1</v>
      </c>
      <c r="AC18" s="1537">
        <f>D18/J18</f>
        <v>1</v>
      </c>
    </row>
    <row r="19" spans="1:29" ht="15">
      <c r="A19" s="387"/>
      <c r="B19" s="1293"/>
      <c r="C19" s="2087"/>
      <c r="D19" s="409"/>
      <c r="E19" s="2087"/>
      <c r="F19" s="412"/>
      <c r="G19" s="2087"/>
      <c r="H19" s="407"/>
      <c r="I19" s="406"/>
      <c r="J19" s="407"/>
      <c r="K19" s="1292"/>
      <c r="L19" s="2949"/>
      <c r="M19" s="2943"/>
      <c r="N19" s="2943"/>
      <c r="O19" s="3001"/>
      <c r="P19" s="3801"/>
      <c r="Q19" s="1536"/>
      <c r="R19" s="714"/>
      <c r="S19" s="715"/>
      <c r="T19" s="714"/>
      <c r="U19" s="715"/>
      <c r="V19" s="714"/>
      <c r="W19" s="715"/>
      <c r="X19" s="1539"/>
      <c r="Y19" s="3801"/>
      <c r="Z19" s="1540"/>
      <c r="AA19" s="1537">
        <v>1</v>
      </c>
      <c r="AB19" s="1537">
        <v>1</v>
      </c>
      <c r="AC19" s="1537">
        <v>1</v>
      </c>
    </row>
    <row r="20" spans="1:29" ht="57">
      <c r="A20" s="387"/>
      <c r="B20" s="410" t="s">
        <v>2530</v>
      </c>
      <c r="C20" s="2086" t="str">
        <f>IF(B1="工业",估价对象房地状况!G7,估价对象房地状况!C9)</f>
        <v>周边有隆福寺广场、东四清真寺等，自然及人文环境较好</v>
      </c>
      <c r="D20" s="414">
        <v>100</v>
      </c>
      <c r="E20" s="416"/>
      <c r="F20" s="417">
        <f>SUMIF(67:67,E21,68:68)-SUMIF(67:67,C21,68:68)+100</f>
        <v>100</v>
      </c>
      <c r="G20" s="418"/>
      <c r="H20" s="409">
        <f>SUMIF(67:67,G21,68:68)-SUMIF(67:67,C21,68:68)+100</f>
        <v>100</v>
      </c>
      <c r="I20" s="411"/>
      <c r="J20" s="409">
        <f>SUMIF(67:67,I21,68:68)-SUMIF(67:67,C21,68:68)+100</f>
        <v>100</v>
      </c>
      <c r="K20" s="571"/>
      <c r="L20" s="2949"/>
      <c r="M20" s="2943"/>
      <c r="N20" s="2943"/>
      <c r="O20" s="3001"/>
      <c r="P20" s="3801"/>
      <c r="Q20" s="1536" t="str">
        <f>B20</f>
        <v>自然及人文环境</v>
      </c>
      <c r="R20" s="714" t="s">
        <v>17</v>
      </c>
      <c r="S20" s="715">
        <f>F20</f>
        <v>100</v>
      </c>
      <c r="T20" s="714" t="s">
        <v>17</v>
      </c>
      <c r="U20" s="715">
        <f>H20</f>
        <v>100</v>
      </c>
      <c r="V20" s="714" t="s">
        <v>17</v>
      </c>
      <c r="W20" s="715">
        <f>J20</f>
        <v>100</v>
      </c>
      <c r="X20" s="1539"/>
      <c r="Y20" s="3801"/>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49"/>
      <c r="M21" s="2943"/>
      <c r="N21" s="2943"/>
      <c r="O21" s="3001"/>
      <c r="P21" s="3801"/>
      <c r="Q21" s="1536"/>
      <c r="R21" s="714"/>
      <c r="S21" s="715"/>
      <c r="T21" s="714"/>
      <c r="U21" s="715"/>
      <c r="V21" s="714"/>
      <c r="W21" s="715"/>
      <c r="X21" s="1539"/>
      <c r="Y21" s="3801"/>
      <c r="Z21" s="1540"/>
      <c r="AA21" s="1537">
        <v>1</v>
      </c>
      <c r="AB21" s="1537">
        <v>1</v>
      </c>
      <c r="AC21" s="1537">
        <v>1</v>
      </c>
    </row>
    <row r="22" spans="1:29" ht="15">
      <c r="A22" s="387"/>
      <c r="B22" s="410" t="s">
        <v>2531</v>
      </c>
      <c r="C22" s="573"/>
      <c r="D22" s="409">
        <v>100</v>
      </c>
      <c r="E22" s="573"/>
      <c r="F22" s="420">
        <f>SUMIF(69:69,E22,70:70)-SUMIF(69:69,C22,70:70)+100</f>
        <v>100</v>
      </c>
      <c r="G22" s="573"/>
      <c r="H22" s="394">
        <f>SUMIF(69:69,G22,70:70)-SUMIF(69:69,C22,70:70)+100</f>
        <v>100</v>
      </c>
      <c r="I22" s="573"/>
      <c r="J22" s="394">
        <f>SUMIF(69:69,I22,70:70)-SUMIF(69:69,C22,70:70)+100</f>
        <v>100</v>
      </c>
      <c r="K22" s="569"/>
      <c r="L22" s="2949"/>
      <c r="M22" s="2943"/>
      <c r="N22" s="2943"/>
      <c r="O22" s="3001"/>
      <c r="P22" s="3801"/>
      <c r="Q22" s="1536" t="str">
        <f>B22</f>
        <v>楼层</v>
      </c>
      <c r="R22" s="714" t="s">
        <v>17</v>
      </c>
      <c r="S22" s="715">
        <f>F22</f>
        <v>100</v>
      </c>
      <c r="T22" s="714" t="s">
        <v>17</v>
      </c>
      <c r="U22" s="715">
        <f>H22</f>
        <v>100</v>
      </c>
      <c r="V22" s="714" t="s">
        <v>17</v>
      </c>
      <c r="W22" s="715">
        <f>J22</f>
        <v>100</v>
      </c>
      <c r="X22" s="1539"/>
      <c r="Y22" s="3801"/>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49"/>
      <c r="M23" s="2943"/>
      <c r="N23" s="2943"/>
      <c r="O23" s="3001"/>
      <c r="P23" s="3801"/>
      <c r="Q23" s="1536">
        <f>B23</f>
        <v>111</v>
      </c>
      <c r="R23" s="714" t="s">
        <v>17</v>
      </c>
      <c r="S23" s="715">
        <f>F23</f>
        <v>100</v>
      </c>
      <c r="T23" s="714" t="s">
        <v>17</v>
      </c>
      <c r="U23" s="715">
        <f>H23</f>
        <v>100</v>
      </c>
      <c r="V23" s="714" t="s">
        <v>17</v>
      </c>
      <c r="W23" s="715">
        <f>J23</f>
        <v>100</v>
      </c>
      <c r="X23" s="1539"/>
      <c r="Y23" s="3801"/>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49"/>
      <c r="M24" s="2943"/>
      <c r="N24" s="2943"/>
      <c r="O24" s="3001"/>
      <c r="P24" s="3801"/>
      <c r="Q24" s="1536">
        <f t="shared" ref="Q24:Q34" si="8">B24</f>
        <v>111</v>
      </c>
      <c r="R24" s="714" t="s">
        <v>17</v>
      </c>
      <c r="S24" s="715">
        <f>F24</f>
        <v>100</v>
      </c>
      <c r="T24" s="714" t="s">
        <v>17</v>
      </c>
      <c r="U24" s="715">
        <f>H24</f>
        <v>100</v>
      </c>
      <c r="V24" s="714" t="s">
        <v>17</v>
      </c>
      <c r="W24" s="715">
        <f>J24</f>
        <v>100</v>
      </c>
      <c r="X24" s="1539"/>
      <c r="Y24" s="3801"/>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4"/>
      <c r="M25" s="2945"/>
      <c r="N25" s="2945"/>
      <c r="O25" s="2999"/>
      <c r="P25" s="3801"/>
      <c r="Q25" s="1527">
        <f t="shared" si="8"/>
        <v>111</v>
      </c>
      <c r="R25" s="710" t="s">
        <v>17</v>
      </c>
      <c r="S25" s="711">
        <f>F25</f>
        <v>100</v>
      </c>
      <c r="T25" s="710" t="s">
        <v>17</v>
      </c>
      <c r="U25" s="711">
        <f>H25</f>
        <v>100</v>
      </c>
      <c r="V25" s="710" t="s">
        <v>17</v>
      </c>
      <c r="W25" s="711">
        <f>J25</f>
        <v>100</v>
      </c>
      <c r="X25" s="712"/>
      <c r="Y25" s="3801"/>
      <c r="Z25" s="55">
        <f>Q25</f>
        <v>111</v>
      </c>
      <c r="AA25" s="1537">
        <f>D25/F25</f>
        <v>1</v>
      </c>
      <c r="AB25" s="1537">
        <f>D25/H25</f>
        <v>1</v>
      </c>
      <c r="AC25" s="1537">
        <f>D25/J25</f>
        <v>1</v>
      </c>
    </row>
    <row r="26" spans="1:29" ht="28.5">
      <c r="A26" s="425" t="s">
        <v>2384</v>
      </c>
      <c r="B26" s="67" t="s">
        <v>2533</v>
      </c>
      <c r="C26" s="2153"/>
      <c r="D26" s="426">
        <v>100</v>
      </c>
      <c r="E26" s="2153"/>
      <c r="F26" s="623">
        <f>SUMIF(77:77,E26,78:78)-SUMIF(77:77,C26,78:78)+100</f>
        <v>100</v>
      </c>
      <c r="G26" s="2153"/>
      <c r="H26" s="426">
        <f>SUMIF(77:77,G26,78:78)-SUMIF(77:77,C26,78:78)+100</f>
        <v>100</v>
      </c>
      <c r="I26" s="2153"/>
      <c r="J26" s="426">
        <f>SUMIF(77:77,I26,78:78)-SUMIF(77:77,C26,78:78)+100</f>
        <v>100</v>
      </c>
      <c r="K26" s="569"/>
      <c r="L26" s="2949"/>
      <c r="M26" s="2943"/>
      <c r="N26" s="2943"/>
      <c r="O26" s="3001"/>
      <c r="P26" s="3809" t="s">
        <v>2386</v>
      </c>
      <c r="Q26" s="1536" t="str">
        <f t="shared" si="8"/>
        <v>公共部分装修</v>
      </c>
      <c r="R26" s="714" t="s">
        <v>17</v>
      </c>
      <c r="S26" s="715">
        <f t="shared" ref="S26:S34" si="9">F26</f>
        <v>100</v>
      </c>
      <c r="T26" s="714" t="s">
        <v>17</v>
      </c>
      <c r="U26" s="715">
        <f t="shared" ref="U26:U34" si="10">H26</f>
        <v>100</v>
      </c>
      <c r="V26" s="714" t="s">
        <v>17</v>
      </c>
      <c r="W26" s="715">
        <f t="shared" ref="W26:W34" si="11">J26</f>
        <v>100</v>
      </c>
      <c r="X26" s="1539"/>
      <c r="Y26" s="3805" t="s">
        <v>2386</v>
      </c>
      <c r="Z26" s="1540" t="str">
        <f t="shared" ref="Z26:Z34" si="12">Q26</f>
        <v>公共部分装修</v>
      </c>
      <c r="AA26" s="1537">
        <f t="shared" si="3"/>
        <v>1</v>
      </c>
      <c r="AB26" s="1537">
        <f t="shared" si="4"/>
        <v>1</v>
      </c>
      <c r="AC26" s="1537">
        <f t="shared" si="5"/>
        <v>1</v>
      </c>
    </row>
    <row r="27" spans="1:29" s="430" customFormat="1" ht="15">
      <c r="A27" s="427"/>
      <c r="B27" s="381" t="s">
        <v>2534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8"/>
      <c r="M27" s="2950"/>
      <c r="N27" s="2950"/>
      <c r="O27" s="3002"/>
      <c r="P27" s="3805"/>
      <c r="Q27" s="716" t="str">
        <f t="shared" si="8"/>
        <v>成新率</v>
      </c>
      <c r="R27" s="717" t="s">
        <v>17</v>
      </c>
      <c r="S27" s="718" t="e">
        <f t="shared" si="9"/>
        <v>#N/A</v>
      </c>
      <c r="T27" s="717" t="s">
        <v>17</v>
      </c>
      <c r="U27" s="718" t="e">
        <f t="shared" si="10"/>
        <v>#N/A</v>
      </c>
      <c r="V27" s="717" t="s">
        <v>17</v>
      </c>
      <c r="W27" s="718" t="e">
        <f t="shared" si="11"/>
        <v>#N/A</v>
      </c>
      <c r="X27" s="719"/>
      <c r="Y27" s="3805"/>
      <c r="Z27" s="720" t="str">
        <f t="shared" si="12"/>
        <v>成新率</v>
      </c>
      <c r="AA27" s="1537" t="e">
        <f t="shared" si="3"/>
        <v>#N/A</v>
      </c>
      <c r="AB27" s="1537" t="e">
        <f t="shared" si="4"/>
        <v>#N/A</v>
      </c>
      <c r="AC27" s="1537" t="e">
        <f t="shared" si="5"/>
        <v>#N/A</v>
      </c>
    </row>
    <row r="28" spans="1:29" ht="15">
      <c r="A28" s="431"/>
      <c r="B28" s="381" t="s">
        <v>2535</v>
      </c>
      <c r="C28" s="419"/>
      <c r="D28" s="394">
        <v>100</v>
      </c>
      <c r="E28" s="419"/>
      <c r="F28" s="420">
        <f>SUMIF(82:82,E28,83:83)-SUMIF(82:82,C28,83:83)+100</f>
        <v>100</v>
      </c>
      <c r="G28" s="419"/>
      <c r="H28" s="394">
        <f>SUMIF(82:82,G28,83:83)-SUMIF(82:82,C28,83:83)+100</f>
        <v>100</v>
      </c>
      <c r="I28" s="419"/>
      <c r="J28" s="394">
        <f>SUMIF(82:82,I28,83:83)-SUMIF(82:82,C28,83:83)+100</f>
        <v>100</v>
      </c>
      <c r="K28" s="569"/>
      <c r="L28" s="2949"/>
      <c r="M28" s="2943"/>
      <c r="N28" s="2943"/>
      <c r="O28" s="3001"/>
      <c r="P28" s="3805"/>
      <c r="Q28" s="1536" t="str">
        <f t="shared" si="8"/>
        <v>物业等级</v>
      </c>
      <c r="R28" s="714" t="s">
        <v>17</v>
      </c>
      <c r="S28" s="715">
        <f t="shared" si="9"/>
        <v>100</v>
      </c>
      <c r="T28" s="714" t="s">
        <v>17</v>
      </c>
      <c r="U28" s="715">
        <f t="shared" si="10"/>
        <v>100</v>
      </c>
      <c r="V28" s="714" t="s">
        <v>17</v>
      </c>
      <c r="W28" s="715">
        <f t="shared" si="11"/>
        <v>100</v>
      </c>
      <c r="X28" s="1539"/>
      <c r="Y28" s="3805"/>
      <c r="Z28" s="1540" t="str">
        <f t="shared" si="12"/>
        <v>物业等级</v>
      </c>
      <c r="AA28" s="1537">
        <f t="shared" si="3"/>
        <v>1</v>
      </c>
      <c r="AB28" s="1537">
        <f t="shared" si="4"/>
        <v>1</v>
      </c>
      <c r="AC28" s="1537">
        <f t="shared" si="5"/>
        <v>1</v>
      </c>
    </row>
    <row r="29" spans="1:29" ht="15">
      <c r="A29" s="431"/>
      <c r="B29" s="381" t="s">
        <v>2556</v>
      </c>
      <c r="C29" s="613"/>
      <c r="D29" s="394">
        <v>100</v>
      </c>
      <c r="E29" s="613"/>
      <c r="F29" s="420">
        <f>SUMIF(84:84,E29,85:85)-SUMIF(84:84,C29,85:85)+100</f>
        <v>100</v>
      </c>
      <c r="G29" s="613"/>
      <c r="H29" s="394">
        <f>SUMIF(84:84,G29,85:85)-SUMIF(84:84,C29,85:85)+100</f>
        <v>100</v>
      </c>
      <c r="I29" s="613"/>
      <c r="J29" s="394">
        <f>SUMIF(84:84,I29,85:85)-SUMIF(84:84,C29,85:85)+100</f>
        <v>100</v>
      </c>
      <c r="K29" s="569"/>
      <c r="L29" s="2949"/>
      <c r="M29" s="2943"/>
      <c r="N29" s="2943"/>
      <c r="O29" s="3001"/>
      <c r="P29" s="3805"/>
      <c r="Q29" s="1536" t="str">
        <f t="shared" si="8"/>
        <v>有无电梯</v>
      </c>
      <c r="R29" s="714" t="s">
        <v>17</v>
      </c>
      <c r="S29" s="715">
        <f t="shared" si="9"/>
        <v>100</v>
      </c>
      <c r="T29" s="714" t="s">
        <v>17</v>
      </c>
      <c r="U29" s="715">
        <f t="shared" si="10"/>
        <v>100</v>
      </c>
      <c r="V29" s="714" t="s">
        <v>17</v>
      </c>
      <c r="W29" s="715">
        <f t="shared" si="11"/>
        <v>100</v>
      </c>
      <c r="X29" s="1539"/>
      <c r="Y29" s="3805"/>
      <c r="Z29" s="1540" t="str">
        <f t="shared" si="12"/>
        <v>有无电梯</v>
      </c>
      <c r="AA29" s="1537">
        <f t="shared" si="3"/>
        <v>1</v>
      </c>
      <c r="AB29" s="1537">
        <f t="shared" si="4"/>
        <v>1</v>
      </c>
      <c r="AC29" s="1537">
        <f t="shared" si="5"/>
        <v>1</v>
      </c>
    </row>
    <row r="30" spans="1:29" ht="15">
      <c r="A30" s="431"/>
      <c r="B30" s="381" t="s">
        <v>2557</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9"/>
      <c r="M30" s="2943"/>
      <c r="N30" s="2943"/>
      <c r="O30" s="3001"/>
      <c r="P30" s="3805"/>
      <c r="Q30" s="1536" t="str">
        <f t="shared" si="8"/>
        <v>建筑面积</v>
      </c>
      <c r="R30" s="714" t="s">
        <v>17</v>
      </c>
      <c r="S30" s="715" t="e">
        <f t="shared" si="9"/>
        <v>#N/A</v>
      </c>
      <c r="T30" s="714" t="s">
        <v>17</v>
      </c>
      <c r="U30" s="715" t="e">
        <f t="shared" si="10"/>
        <v>#N/A</v>
      </c>
      <c r="V30" s="714" t="s">
        <v>17</v>
      </c>
      <c r="W30" s="715" t="e">
        <f t="shared" si="11"/>
        <v>#N/A</v>
      </c>
      <c r="X30" s="1539"/>
      <c r="Y30" s="3805"/>
      <c r="Z30" s="1540" t="str">
        <f t="shared" si="12"/>
        <v>建筑面积</v>
      </c>
      <c r="AA30" s="1537" t="e">
        <f t="shared" si="3"/>
        <v>#N/A</v>
      </c>
      <c r="AB30" s="1537" t="e">
        <f t="shared" si="4"/>
        <v>#N/A</v>
      </c>
      <c r="AC30" s="1537" t="e">
        <f t="shared" si="5"/>
        <v>#N/A</v>
      </c>
    </row>
    <row r="31" spans="1:29" s="113" customFormat="1" ht="15">
      <c r="A31" s="432"/>
      <c r="B31" s="381" t="s">
        <v>2558</v>
      </c>
      <c r="C31" s="613"/>
      <c r="D31" s="132">
        <v>100</v>
      </c>
      <c r="E31" s="613"/>
      <c r="F31" s="420">
        <f>SUMIF(89:89,E31,90:90)-SUMIF(89:89,C31,90:90)+100</f>
        <v>100</v>
      </c>
      <c r="G31" s="613"/>
      <c r="H31" s="394">
        <f>SUMIF(89:89,G31,90:90)-SUMIF(89:89,C31,90:90)+100</f>
        <v>100</v>
      </c>
      <c r="I31" s="613"/>
      <c r="J31" s="394">
        <f>SUMIF(89:89,I31,90:90)-SUMIF(89:89,C31,90:90)+100</f>
        <v>100</v>
      </c>
      <c r="K31" s="569"/>
      <c r="L31" s="2944"/>
      <c r="M31" s="2945"/>
      <c r="N31" s="2945"/>
      <c r="O31" s="2999"/>
      <c r="P31" s="3805"/>
      <c r="Q31" s="1527" t="str">
        <f t="shared" si="8"/>
        <v>是否封闭</v>
      </c>
      <c r="R31" s="710" t="s">
        <v>17</v>
      </c>
      <c r="S31" s="711">
        <f t="shared" si="9"/>
        <v>100</v>
      </c>
      <c r="T31" s="710" t="s">
        <v>17</v>
      </c>
      <c r="U31" s="711">
        <f t="shared" si="10"/>
        <v>100</v>
      </c>
      <c r="V31" s="710" t="s">
        <v>17</v>
      </c>
      <c r="W31" s="711">
        <f t="shared" si="11"/>
        <v>100</v>
      </c>
      <c r="X31" s="712"/>
      <c r="Y31" s="3805"/>
      <c r="Z31" s="55" t="str">
        <f t="shared" si="12"/>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49"/>
      <c r="M32" s="2943"/>
      <c r="N32" s="2943"/>
      <c r="O32" s="3001"/>
      <c r="P32" s="3805" t="s">
        <v>2386</v>
      </c>
      <c r="Q32" s="1536">
        <f t="shared" si="8"/>
        <v>111</v>
      </c>
      <c r="R32" s="714" t="s">
        <v>17</v>
      </c>
      <c r="S32" s="715">
        <f t="shared" si="9"/>
        <v>100</v>
      </c>
      <c r="T32" s="714" t="s">
        <v>17</v>
      </c>
      <c r="U32" s="715">
        <f t="shared" si="10"/>
        <v>100</v>
      </c>
      <c r="V32" s="714" t="s">
        <v>17</v>
      </c>
      <c r="W32" s="715">
        <f t="shared" si="11"/>
        <v>100</v>
      </c>
      <c r="X32" s="1539"/>
      <c r="Y32" s="3805" t="s">
        <v>2386</v>
      </c>
      <c r="Z32" s="1540">
        <f t="shared" si="12"/>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49"/>
      <c r="M33" s="2943"/>
      <c r="N33" s="2943"/>
      <c r="O33" s="3001"/>
      <c r="P33" s="3805"/>
      <c r="Q33" s="1536">
        <f t="shared" si="8"/>
        <v>111</v>
      </c>
      <c r="R33" s="714" t="s">
        <v>17</v>
      </c>
      <c r="S33" s="715">
        <f t="shared" si="9"/>
        <v>100</v>
      </c>
      <c r="T33" s="714" t="s">
        <v>17</v>
      </c>
      <c r="U33" s="715">
        <f t="shared" si="10"/>
        <v>100</v>
      </c>
      <c r="V33" s="714" t="s">
        <v>17</v>
      </c>
      <c r="W33" s="715">
        <f t="shared" si="11"/>
        <v>100</v>
      </c>
      <c r="X33" s="1539"/>
      <c r="Y33" s="3805"/>
      <c r="Z33" s="1540">
        <f t="shared" si="12"/>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49"/>
      <c r="M34" s="2943"/>
      <c r="N34" s="2943"/>
      <c r="O34" s="3001"/>
      <c r="P34" s="3805"/>
      <c r="Q34" s="1536">
        <f t="shared" si="8"/>
        <v>111</v>
      </c>
      <c r="R34" s="714" t="s">
        <v>17</v>
      </c>
      <c r="S34" s="715">
        <f t="shared" si="9"/>
        <v>100</v>
      </c>
      <c r="T34" s="714" t="s">
        <v>17</v>
      </c>
      <c r="U34" s="715">
        <f t="shared" si="10"/>
        <v>100</v>
      </c>
      <c r="V34" s="714" t="s">
        <v>17</v>
      </c>
      <c r="W34" s="715">
        <f t="shared" si="11"/>
        <v>100</v>
      </c>
      <c r="X34" s="1539"/>
      <c r="Y34" s="3805"/>
      <c r="Z34" s="1540">
        <f t="shared" si="12"/>
        <v>111</v>
      </c>
      <c r="AA34" s="1537">
        <f t="shared" si="3"/>
        <v>1</v>
      </c>
      <c r="AB34" s="1537">
        <f t="shared" si="4"/>
        <v>1</v>
      </c>
      <c r="AC34" s="1537">
        <f t="shared" si="5"/>
        <v>1</v>
      </c>
    </row>
    <row r="35" spans="1:30" ht="15">
      <c r="A35" s="438" t="s">
        <v>2398</v>
      </c>
      <c r="B35" s="439"/>
      <c r="C35" s="1316" t="s">
        <v>1</v>
      </c>
      <c r="D35" s="1317"/>
      <c r="E35" s="1318"/>
      <c r="F35" s="1319"/>
      <c r="G35" s="1320"/>
      <c r="H35" s="1321"/>
      <c r="I35" s="1318"/>
      <c r="J35" s="1321"/>
      <c r="K35" s="723"/>
      <c r="L35" s="2951"/>
      <c r="M35" s="2952"/>
      <c r="N35" s="2943"/>
      <c r="O35" s="2952"/>
      <c r="P35" s="3798" t="str">
        <f>A35</f>
        <v>成交单价（元/平方米）</v>
      </c>
      <c r="Q35" s="3798"/>
      <c r="R35" s="3799">
        <f>E35</f>
        <v>0</v>
      </c>
      <c r="S35" s="3799"/>
      <c r="T35" s="3799">
        <f>G35</f>
        <v>0</v>
      </c>
      <c r="U35" s="3799"/>
      <c r="V35" s="3799">
        <f>I35</f>
        <v>0</v>
      </c>
      <c r="W35" s="3799"/>
      <c r="X35" s="699"/>
      <c r="Y35" s="721"/>
      <c r="Z35" s="699"/>
      <c r="AA35" s="699"/>
      <c r="AB35" s="699"/>
      <c r="AC35" s="699"/>
    </row>
    <row r="36" spans="1:30" ht="15.75" thickBot="1">
      <c r="A36" s="445" t="s">
        <v>2490</v>
      </c>
      <c r="B36" s="446"/>
      <c r="C36" s="1322" t="e">
        <f>R37</f>
        <v>#DIV/0!</v>
      </c>
      <c r="D36" s="2538" t="s">
        <v>2877</v>
      </c>
      <c r="E36" s="1323" t="e">
        <f>R36</f>
        <v>#DIV/0!</v>
      </c>
      <c r="F36" s="2539"/>
      <c r="G36" s="1322" t="e">
        <f>T36</f>
        <v>#DIV/0!</v>
      </c>
      <c r="H36" s="2539"/>
      <c r="I36" s="1323" t="e">
        <f>V36</f>
        <v>#DIV/0!</v>
      </c>
      <c r="J36" s="2539"/>
      <c r="K36" s="2541">
        <f>F36+H36+J36</f>
        <v>0</v>
      </c>
      <c r="L36" s="2951"/>
      <c r="M36" s="2952"/>
      <c r="N36" s="2943"/>
      <c r="O36" s="2952"/>
      <c r="P36" s="3798" t="str">
        <f>A36</f>
        <v>比较价值（元/平方米）</v>
      </c>
      <c r="Q36" s="3798"/>
      <c r="R36" s="3799" t="e">
        <f>IF(F1="售价",ROUND(PRODUCT(R35,AA7:AA34),0),ROUND(PRODUCT(R35,AA7:AA34),1))</f>
        <v>#DIV/0!</v>
      </c>
      <c r="S36" s="3799"/>
      <c r="T36" s="3799" t="e">
        <f>IF(F1="售价",ROUND(PRODUCT(T35,AB7:AB34),0),ROUND(PRODUCT(T35,AB7:AB34),1))</f>
        <v>#DIV/0!</v>
      </c>
      <c r="U36" s="3799"/>
      <c r="V36" s="3799" t="e">
        <f>IF(F1="售价",ROUND(PRODUCT(V35,AC7:AC34),0),ROUND(PRODUCT(V35,AC7:AC34),1))</f>
        <v>#DIV/0!</v>
      </c>
      <c r="W36" s="3799"/>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51"/>
      <c r="M37" s="2952"/>
      <c r="N37" s="2952"/>
      <c r="O37" s="2952"/>
      <c r="P37" s="3795" t="str">
        <f>A37</f>
        <v>估价对象XX用房的比较价值（楼面单价，元/平方米）</v>
      </c>
      <c r="Q37" s="3796"/>
      <c r="R37" s="3810" t="e">
        <f>IF(F1="售价",ROUND(IF(D36="简单平均",AVERAGE(R36:W36),R36*F36+T36*H36+V36*J36),0),ROUND(IF(D36="简单平均",AVERAGE(R36:V36),R36*F36+T36*H36+V36*J36),1))</f>
        <v>#DIV/0!</v>
      </c>
      <c r="S37" s="3810"/>
      <c r="T37" s="3810"/>
      <c r="U37" s="3810"/>
      <c r="V37" s="3810"/>
      <c r="W37" s="3810"/>
      <c r="X37" s="699"/>
      <c r="Y37" s="699"/>
      <c r="Z37" s="699"/>
      <c r="AA37" s="699"/>
      <c r="AB37" s="699"/>
      <c r="AC37" s="699"/>
    </row>
    <row r="38" spans="1:30">
      <c r="A38" s="2952"/>
      <c r="B38" s="2952"/>
      <c r="C38" s="2952"/>
      <c r="D38" s="2952"/>
      <c r="E38" s="2952"/>
      <c r="F38" s="2952"/>
      <c r="G38" s="2956"/>
      <c r="H38" s="2952"/>
      <c r="I38" s="2952"/>
      <c r="J38" s="2952"/>
      <c r="K38" s="2957"/>
      <c r="L38" s="2953"/>
      <c r="M38" s="2952"/>
      <c r="N38" s="2952"/>
      <c r="O38" s="2952"/>
      <c r="P38" s="2952"/>
      <c r="Q38" s="2952"/>
      <c r="R38" s="2952"/>
      <c r="S38" s="2952"/>
      <c r="T38" s="2952"/>
      <c r="U38" s="2952"/>
      <c r="V38" s="2952"/>
      <c r="W38" s="2952"/>
      <c r="X38" s="2952"/>
      <c r="Y38" s="2952"/>
      <c r="Z38" s="2952"/>
      <c r="AA38" s="2952"/>
      <c r="AB38" s="2952"/>
      <c r="AC38" s="2952"/>
      <c r="AD38" s="2952"/>
    </row>
    <row r="39" spans="1:30">
      <c r="A39" s="2952"/>
      <c r="B39" s="2952"/>
      <c r="C39" s="2952"/>
      <c r="D39" s="2952"/>
      <c r="E39" s="2952"/>
      <c r="F39" s="2952"/>
      <c r="G39" s="2952"/>
      <c r="H39" s="2952"/>
      <c r="I39" s="2952"/>
      <c r="J39" s="2952"/>
      <c r="K39" s="2957"/>
      <c r="L39" s="2953"/>
      <c r="M39" s="2952"/>
      <c r="N39" s="2952"/>
      <c r="O39" s="2952"/>
      <c r="P39" s="2952"/>
      <c r="Q39" s="2952"/>
      <c r="R39" s="2952"/>
      <c r="S39" s="2952"/>
      <c r="T39" s="2952"/>
      <c r="U39" s="2952"/>
      <c r="V39" s="2952"/>
      <c r="W39" s="2952"/>
      <c r="X39" s="2952"/>
      <c r="Y39" s="2952"/>
      <c r="Z39" s="2952"/>
      <c r="AA39" s="2952"/>
      <c r="AB39" s="2952"/>
      <c r="AC39" s="2952"/>
      <c r="AD39" s="2952"/>
    </row>
    <row r="40" spans="1:30" ht="13.5" customHeight="1">
      <c r="A40" s="2952"/>
      <c r="B40" s="2952"/>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7"/>
      <c r="L40" s="2953"/>
      <c r="M40" s="2952"/>
      <c r="N40" s="2952"/>
      <c r="O40" s="2952"/>
      <c r="P40" s="2952"/>
      <c r="Q40" s="2952"/>
      <c r="R40" s="2952"/>
      <c r="S40" s="2952"/>
      <c r="T40" s="2952"/>
      <c r="U40" s="2952"/>
      <c r="V40" s="2952"/>
      <c r="W40" s="2952"/>
      <c r="X40" s="2952"/>
      <c r="Y40" s="2952"/>
      <c r="Z40" s="2952"/>
      <c r="AA40" s="2952"/>
      <c r="AB40" s="2952"/>
      <c r="AC40" s="2952"/>
      <c r="AD40" s="2952"/>
    </row>
    <row r="41" spans="1:30" ht="13.5" customHeight="1">
      <c r="A41" s="2952"/>
      <c r="B41" s="2952"/>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7"/>
      <c r="L41" s="2953"/>
      <c r="M41" s="2952"/>
      <c r="N41" s="2952"/>
      <c r="O41" s="2952"/>
      <c r="P41" s="2952"/>
      <c r="Q41" s="2952"/>
      <c r="R41" s="2952"/>
      <c r="S41" s="2952"/>
      <c r="T41" s="2952"/>
      <c r="U41" s="2952"/>
      <c r="V41" s="2952"/>
      <c r="W41" s="2952"/>
      <c r="X41" s="2952"/>
      <c r="Y41" s="2952"/>
      <c r="Z41" s="2952"/>
      <c r="AA41" s="2952"/>
      <c r="AB41" s="2952"/>
      <c r="AC41" s="2952"/>
      <c r="AD41" s="2952"/>
    </row>
    <row r="42" spans="1:30" s="459" customFormat="1" ht="13.5" customHeight="1">
      <c r="A42" s="2955"/>
      <c r="B42" s="2955"/>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0"/>
      <c r="L42" s="2954"/>
      <c r="M42" s="2955"/>
      <c r="N42" s="2955"/>
      <c r="O42" s="2955"/>
      <c r="P42" s="2955"/>
      <c r="Q42" s="2955"/>
      <c r="R42" s="2955"/>
      <c r="S42" s="2955"/>
      <c r="T42" s="2955"/>
      <c r="U42" s="2955"/>
      <c r="V42" s="2955"/>
      <c r="W42" s="2955"/>
      <c r="X42" s="2955"/>
      <c r="Y42" s="2955"/>
      <c r="Z42" s="2955"/>
      <c r="AA42" s="2955"/>
      <c r="AB42" s="2955"/>
      <c r="AC42" s="2955"/>
      <c r="AD42" s="2955"/>
    </row>
    <row r="43" spans="1:30" s="459" customFormat="1">
      <c r="A43" s="2955"/>
      <c r="B43" s="2958"/>
      <c r="C43" s="2959"/>
      <c r="D43" s="2955"/>
      <c r="E43" s="2955"/>
      <c r="F43" s="2955"/>
      <c r="G43" s="2955"/>
      <c r="H43" s="2955"/>
      <c r="I43" s="2955"/>
      <c r="J43" s="2955"/>
      <c r="K43" s="2960"/>
      <c r="L43" s="2954"/>
      <c r="M43" s="2955"/>
      <c r="N43" s="2955"/>
      <c r="O43" s="2955"/>
      <c r="P43" s="2955"/>
      <c r="Q43" s="2955"/>
      <c r="R43" s="2955"/>
      <c r="S43" s="2955"/>
      <c r="T43" s="2955"/>
      <c r="U43" s="2955"/>
      <c r="V43" s="2955"/>
      <c r="W43" s="2955"/>
      <c r="X43" s="2955"/>
      <c r="Y43" s="2955"/>
      <c r="Z43" s="2955"/>
      <c r="AA43" s="2955"/>
      <c r="AB43" s="2955"/>
      <c r="AC43" s="2955"/>
      <c r="AD43" s="2955"/>
    </row>
    <row r="44" spans="1:30">
      <c r="A44" s="2952"/>
      <c r="B44" s="2958"/>
      <c r="C44" s="2959"/>
      <c r="D44" s="2952"/>
      <c r="E44" s="2952"/>
      <c r="F44" s="2952"/>
      <c r="G44" s="2952"/>
      <c r="H44" s="2952"/>
      <c r="I44" s="2952"/>
      <c r="J44" s="2952"/>
      <c r="K44" s="2957"/>
      <c r="L44" s="2953"/>
      <c r="M44" s="2952"/>
      <c r="N44" s="2952"/>
      <c r="O44" s="2952"/>
      <c r="P44" s="2952"/>
      <c r="Q44" s="2952"/>
      <c r="R44" s="2952"/>
      <c r="S44" s="2952"/>
      <c r="T44" s="2952"/>
      <c r="U44" s="2952"/>
      <c r="V44" s="2952"/>
      <c r="W44" s="2952"/>
      <c r="X44" s="2952"/>
      <c r="Y44" s="2952"/>
      <c r="Z44" s="2952"/>
      <c r="AA44" s="2952"/>
      <c r="AB44" s="2952"/>
      <c r="AC44" s="2952"/>
      <c r="AD44" s="2952"/>
    </row>
    <row r="45" spans="1:30" ht="21.75" thickBot="1">
      <c r="A45" s="703" t="s">
        <v>2495</v>
      </c>
      <c r="B45" s="699"/>
      <c r="C45" s="704"/>
      <c r="D45" s="704"/>
      <c r="E45" s="704"/>
      <c r="F45" s="705"/>
      <c r="G45" s="705"/>
      <c r="H45" s="704"/>
      <c r="I45" s="704"/>
      <c r="J45" s="704"/>
      <c r="K45" s="706"/>
      <c r="L45" s="707"/>
      <c r="M45" s="704"/>
      <c r="N45" s="2996"/>
      <c r="O45" s="2996"/>
      <c r="P45" s="2996"/>
      <c r="Q45" s="2966"/>
      <c r="R45" s="2952"/>
      <c r="S45" s="2952"/>
      <c r="T45" s="2952"/>
      <c r="U45" s="2952"/>
      <c r="V45" s="2952"/>
      <c r="W45" s="2952"/>
      <c r="X45" s="2952"/>
      <c r="Y45" s="2952"/>
      <c r="Z45" s="2952"/>
      <c r="AA45" s="2952"/>
      <c r="AB45" s="2952"/>
      <c r="AC45" s="2952"/>
      <c r="AD45" s="2952"/>
    </row>
    <row r="46" spans="1:30" s="465" customFormat="1" ht="15">
      <c r="A46" s="462" t="s">
        <v>2369</v>
      </c>
      <c r="B46" s="463"/>
      <c r="C46" s="1346" t="str">
        <f>YEAR(C7)&amp;"-"&amp;MONTH(C7)</f>
        <v>2017-6</v>
      </c>
      <c r="D46" s="1347">
        <f>EDATE(C46,-1)</f>
        <v>42856</v>
      </c>
      <c r="E46" s="1347">
        <f t="shared" ref="E46:O46" si="13">EDATE(D46,-1)</f>
        <v>42826</v>
      </c>
      <c r="F46" s="1347">
        <f t="shared" si="13"/>
        <v>42795</v>
      </c>
      <c r="G46" s="1347">
        <f t="shared" si="13"/>
        <v>42767</v>
      </c>
      <c r="H46" s="1347">
        <f t="shared" si="13"/>
        <v>42736</v>
      </c>
      <c r="I46" s="1347">
        <f t="shared" si="13"/>
        <v>42705</v>
      </c>
      <c r="J46" s="1347">
        <f t="shared" si="13"/>
        <v>42675</v>
      </c>
      <c r="K46" s="1347">
        <f t="shared" si="13"/>
        <v>42644</v>
      </c>
      <c r="L46" s="1347">
        <f t="shared" si="13"/>
        <v>42614</v>
      </c>
      <c r="M46" s="1347">
        <f t="shared" si="13"/>
        <v>42583</v>
      </c>
      <c r="N46" s="1347">
        <f t="shared" si="13"/>
        <v>42552</v>
      </c>
      <c r="O46" s="1347">
        <f t="shared" si="13"/>
        <v>42522</v>
      </c>
      <c r="P46" s="3003"/>
      <c r="Q46" s="2968"/>
      <c r="R46" s="2968"/>
      <c r="S46" s="2968"/>
      <c r="T46" s="2968"/>
      <c r="U46" s="2968"/>
      <c r="V46" s="2968"/>
      <c r="W46" s="2968"/>
      <c r="X46" s="2968"/>
      <c r="Y46" s="2968"/>
      <c r="Z46" s="2968"/>
      <c r="AA46" s="2968"/>
      <c r="AB46" s="2968"/>
      <c r="AC46" s="2968"/>
      <c r="AD46" s="2968"/>
    </row>
    <row r="47" spans="1:30" s="113" customFormat="1" ht="15">
      <c r="A47" s="466"/>
      <c r="B47" s="467"/>
      <c r="C47" s="1345">
        <v>100</v>
      </c>
      <c r="D47" s="469"/>
      <c r="E47" s="469"/>
      <c r="F47" s="469"/>
      <c r="G47" s="469"/>
      <c r="H47" s="469"/>
      <c r="I47" s="469"/>
      <c r="J47" s="469"/>
      <c r="K47" s="469"/>
      <c r="L47" s="469"/>
      <c r="M47" s="470"/>
      <c r="N47" s="469"/>
      <c r="O47" s="471"/>
      <c r="P47" s="2966"/>
      <c r="Q47" s="2886"/>
      <c r="R47" s="2886"/>
      <c r="S47" s="2886"/>
      <c r="T47" s="2886"/>
      <c r="U47" s="2886"/>
      <c r="V47" s="2886"/>
      <c r="W47" s="2886"/>
      <c r="X47" s="2886"/>
      <c r="Y47" s="2886"/>
      <c r="Z47" s="2886"/>
      <c r="AA47" s="2886"/>
      <c r="AB47" s="2886"/>
      <c r="AC47" s="2886"/>
      <c r="AD47" s="2886"/>
    </row>
    <row r="48" spans="1:30" s="113" customFormat="1" ht="15.75" thickBot="1">
      <c r="A48" s="472" t="s">
        <v>2406</v>
      </c>
      <c r="B48" s="473"/>
      <c r="C48" s="474"/>
      <c r="D48" s="475"/>
      <c r="E48" s="475"/>
      <c r="F48" s="475"/>
      <c r="G48" s="475"/>
      <c r="H48" s="475"/>
      <c r="I48" s="475"/>
      <c r="J48" s="475"/>
      <c r="K48" s="475"/>
      <c r="L48" s="475"/>
      <c r="M48" s="476"/>
      <c r="N48" s="475"/>
      <c r="O48" s="477"/>
      <c r="P48" s="2966"/>
      <c r="Q48" s="2966"/>
      <c r="R48" s="2886"/>
      <c r="S48" s="2886"/>
      <c r="T48" s="2886"/>
      <c r="U48" s="2886"/>
      <c r="V48" s="2886"/>
      <c r="W48" s="2886"/>
      <c r="X48" s="2886"/>
      <c r="Y48" s="2886"/>
      <c r="Z48" s="2886"/>
      <c r="AA48" s="2886"/>
      <c r="AB48" s="2886"/>
      <c r="AC48" s="2886"/>
      <c r="AD48" s="2886"/>
    </row>
    <row r="49" spans="1:30" s="113" customFormat="1" ht="15">
      <c r="A49" s="478" t="s">
        <v>2371</v>
      </c>
      <c r="B49" s="467"/>
      <c r="C49" s="479" t="s">
        <v>2473</v>
      </c>
      <c r="D49" s="480"/>
      <c r="E49" s="480"/>
      <c r="F49" s="480"/>
      <c r="G49" s="480"/>
      <c r="H49" s="480"/>
      <c r="I49" s="480"/>
      <c r="J49" s="480"/>
      <c r="K49" s="480"/>
      <c r="L49" s="481"/>
      <c r="M49" s="482"/>
      <c r="N49" s="2979"/>
      <c r="O49" s="2979"/>
      <c r="P49" s="3004"/>
      <c r="Q49" s="2966"/>
      <c r="R49" s="2886"/>
      <c r="S49" s="2886"/>
      <c r="T49" s="2886"/>
      <c r="U49" s="2886"/>
      <c r="V49" s="2886"/>
      <c r="W49" s="2886"/>
      <c r="X49" s="2886"/>
      <c r="Y49" s="2886"/>
      <c r="Z49" s="2886"/>
      <c r="AA49" s="2886"/>
      <c r="AB49" s="2886"/>
      <c r="AC49" s="2886"/>
      <c r="AD49" s="2886"/>
    </row>
    <row r="50" spans="1:30" s="113" customFormat="1" ht="15.75" thickBot="1">
      <c r="A50" s="478"/>
      <c r="B50" s="467"/>
      <c r="C50" s="595">
        <v>100</v>
      </c>
      <c r="D50" s="469"/>
      <c r="E50" s="469"/>
      <c r="F50" s="469"/>
      <c r="G50" s="469"/>
      <c r="H50" s="469"/>
      <c r="I50" s="469"/>
      <c r="J50" s="469"/>
      <c r="K50" s="469"/>
      <c r="L50" s="469"/>
      <c r="M50" s="471"/>
      <c r="N50" s="2979"/>
      <c r="O50" s="2979"/>
      <c r="P50" s="2966"/>
      <c r="Q50" s="2966"/>
      <c r="R50" s="2886"/>
      <c r="S50" s="2886"/>
      <c r="T50" s="2886"/>
      <c r="U50" s="2886"/>
      <c r="V50" s="2886"/>
      <c r="W50" s="2886"/>
      <c r="X50" s="2886"/>
      <c r="Y50" s="2886"/>
      <c r="Z50" s="2886"/>
      <c r="AA50" s="2886"/>
      <c r="AB50" s="2886"/>
      <c r="AC50" s="2886"/>
      <c r="AD50" s="2886"/>
    </row>
    <row r="51" spans="1:30">
      <c r="A51" s="484" t="s">
        <v>2409</v>
      </c>
      <c r="B51" s="485" t="s">
        <v>2375</v>
      </c>
      <c r="C51" s="486">
        <f>C9</f>
        <v>0</v>
      </c>
      <c r="D51" s="487"/>
      <c r="E51" s="487"/>
      <c r="F51" s="487"/>
      <c r="G51" s="487"/>
      <c r="H51" s="487"/>
      <c r="I51" s="487"/>
      <c r="J51" s="487"/>
      <c r="K51" s="488"/>
      <c r="L51" s="489"/>
      <c r="M51" s="490"/>
      <c r="N51" s="2980"/>
      <c r="O51" s="2980"/>
      <c r="P51" s="3005"/>
      <c r="Q51" s="2966"/>
      <c r="R51" s="2952"/>
      <c r="S51" s="2952"/>
      <c r="T51" s="2952"/>
      <c r="U51" s="2952"/>
      <c r="V51" s="2952"/>
      <c r="W51" s="2952"/>
      <c r="X51" s="2952"/>
      <c r="Y51" s="2952"/>
      <c r="Z51" s="2952"/>
      <c r="AA51" s="2952"/>
      <c r="AB51" s="2952"/>
      <c r="AC51" s="2952"/>
      <c r="AD51" s="2952"/>
    </row>
    <row r="52" spans="1:30" ht="15.75" thickBot="1">
      <c r="A52" s="491"/>
      <c r="B52" s="492"/>
      <c r="C52" s="493">
        <v>100</v>
      </c>
      <c r="D52" s="493"/>
      <c r="E52" s="493"/>
      <c r="F52" s="493"/>
      <c r="G52" s="493"/>
      <c r="H52" s="493"/>
      <c r="I52" s="493"/>
      <c r="J52" s="493"/>
      <c r="K52" s="493"/>
      <c r="L52" s="493"/>
      <c r="M52" s="494"/>
      <c r="N52" s="2981"/>
      <c r="O52" s="2981"/>
      <c r="P52" s="3005"/>
      <c r="Q52" s="2966"/>
      <c r="R52" s="2952"/>
      <c r="S52" s="2952"/>
      <c r="T52" s="2952"/>
      <c r="U52" s="2952"/>
      <c r="V52" s="2952"/>
      <c r="W52" s="2952"/>
      <c r="X52" s="2952"/>
      <c r="Y52" s="2952"/>
      <c r="Z52" s="2952"/>
      <c r="AA52" s="2952"/>
      <c r="AB52" s="2952"/>
      <c r="AC52" s="2952"/>
      <c r="AD52" s="2952"/>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0"/>
      <c r="O53" s="2980"/>
      <c r="P53" s="3005"/>
      <c r="Q53" s="2966"/>
      <c r="R53" s="2952"/>
      <c r="S53" s="2952"/>
      <c r="T53" s="2952"/>
      <c r="U53" s="2952"/>
      <c r="V53" s="2952"/>
      <c r="W53" s="2952"/>
      <c r="X53" s="2952"/>
      <c r="Y53" s="2952"/>
      <c r="Z53" s="2952"/>
      <c r="AA53" s="2952"/>
      <c r="AB53" s="2952"/>
      <c r="AC53" s="2952"/>
      <c r="AD53" s="295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1"/>
      <c r="O54" s="2981"/>
      <c r="P54" s="3005"/>
      <c r="Q54" s="2966"/>
      <c r="R54" s="2952"/>
      <c r="S54" s="2952"/>
      <c r="T54" s="2952"/>
      <c r="U54" s="2952"/>
      <c r="V54" s="2952"/>
      <c r="W54" s="2952"/>
      <c r="X54" s="2952"/>
      <c r="Y54" s="2952"/>
      <c r="Z54" s="2952"/>
      <c r="AA54" s="2952"/>
      <c r="AB54" s="2952"/>
      <c r="AC54" s="2952"/>
      <c r="AD54" s="2952"/>
    </row>
    <row r="55" spans="1:30" ht="15.75" thickTop="1">
      <c r="A55" s="491"/>
      <c r="B55" s="616">
        <f>B11</f>
        <v>111</v>
      </c>
      <c r="C55" s="506"/>
      <c r="D55" s="506"/>
      <c r="E55" s="506"/>
      <c r="F55" s="506"/>
      <c r="G55" s="506"/>
      <c r="H55" s="506"/>
      <c r="I55" s="506"/>
      <c r="J55" s="506"/>
      <c r="K55" s="507"/>
      <c r="L55" s="508"/>
      <c r="M55" s="509"/>
      <c r="N55" s="2980"/>
      <c r="O55" s="2980"/>
      <c r="P55" s="3005"/>
      <c r="Q55" s="2966"/>
      <c r="R55" s="2952"/>
      <c r="S55" s="2952"/>
      <c r="T55" s="2952"/>
      <c r="U55" s="2952"/>
      <c r="V55" s="2952"/>
      <c r="W55" s="2952"/>
      <c r="X55" s="2952"/>
      <c r="Y55" s="2952"/>
      <c r="Z55" s="2952"/>
      <c r="AA55" s="2952"/>
      <c r="AB55" s="2952"/>
      <c r="AC55" s="2952"/>
      <c r="AD55" s="2952"/>
    </row>
    <row r="56" spans="1:30" ht="15.75" thickBot="1">
      <c r="A56" s="491"/>
      <c r="B56" s="492"/>
      <c r="C56" s="517"/>
      <c r="D56" s="493"/>
      <c r="E56" s="493"/>
      <c r="F56" s="493"/>
      <c r="G56" s="493"/>
      <c r="H56" s="493"/>
      <c r="I56" s="493"/>
      <c r="J56" s="493"/>
      <c r="K56" s="493"/>
      <c r="L56" s="493"/>
      <c r="M56" s="494"/>
      <c r="N56" s="2981"/>
      <c r="O56" s="2981"/>
      <c r="P56" s="3005"/>
      <c r="Q56" s="2966"/>
      <c r="R56" s="2952"/>
      <c r="S56" s="2952"/>
      <c r="T56" s="2952"/>
      <c r="U56" s="2952"/>
      <c r="V56" s="2952"/>
      <c r="W56" s="2952"/>
      <c r="X56" s="2952"/>
      <c r="Y56" s="2952"/>
      <c r="Z56" s="2952"/>
      <c r="AA56" s="2952"/>
      <c r="AB56" s="2952"/>
      <c r="AC56" s="2952"/>
      <c r="AD56" s="2952"/>
    </row>
    <row r="57" spans="1:30" s="430" customFormat="1" ht="15.75" thickTop="1">
      <c r="A57" s="510"/>
      <c r="B57" s="495">
        <f>B12</f>
        <v>111</v>
      </c>
      <c r="C57" s="506"/>
      <c r="D57" s="506"/>
      <c r="E57" s="506"/>
      <c r="F57" s="506"/>
      <c r="G57" s="511"/>
      <c r="H57" s="512"/>
      <c r="I57" s="512"/>
      <c r="J57" s="512"/>
      <c r="K57" s="512"/>
      <c r="L57" s="513"/>
      <c r="M57" s="514"/>
      <c r="N57" s="2982"/>
      <c r="O57" s="2982"/>
      <c r="P57" s="3006"/>
      <c r="Q57" s="2973"/>
      <c r="R57" s="2974"/>
      <c r="S57" s="2974"/>
      <c r="T57" s="2974"/>
      <c r="U57" s="2974"/>
      <c r="V57" s="2974"/>
      <c r="W57" s="2974"/>
      <c r="X57" s="2974"/>
      <c r="Y57" s="2974"/>
      <c r="Z57" s="2974"/>
      <c r="AA57" s="2974"/>
      <c r="AB57" s="2974"/>
      <c r="AC57" s="2974"/>
      <c r="AD57" s="2974"/>
    </row>
    <row r="58" spans="1:30" s="430" customFormat="1" ht="15.75" thickBot="1">
      <c r="A58" s="510"/>
      <c r="B58" s="500"/>
      <c r="C58" s="517"/>
      <c r="D58" s="493"/>
      <c r="E58" s="493"/>
      <c r="F58" s="493"/>
      <c r="G58" s="493"/>
      <c r="H58" s="493"/>
      <c r="I58" s="493"/>
      <c r="J58" s="493"/>
      <c r="K58" s="493"/>
      <c r="L58" s="493"/>
      <c r="M58" s="494"/>
      <c r="N58" s="2981"/>
      <c r="O58" s="2981"/>
      <c r="P58" s="3006"/>
      <c r="Q58" s="2973"/>
      <c r="R58" s="2974"/>
      <c r="S58" s="2974"/>
      <c r="T58" s="2974"/>
      <c r="U58" s="2974"/>
      <c r="V58" s="2974"/>
      <c r="W58" s="2974"/>
      <c r="X58" s="2974"/>
      <c r="Y58" s="2974"/>
      <c r="Z58" s="2974"/>
      <c r="AA58" s="2974"/>
      <c r="AB58" s="2974"/>
      <c r="AC58" s="2974"/>
      <c r="AD58" s="2974"/>
    </row>
    <row r="59" spans="1:30" s="430" customFormat="1" ht="15.75" thickTop="1">
      <c r="A59" s="510"/>
      <c r="B59" s="495">
        <f>B13</f>
        <v>111</v>
      </c>
      <c r="C59" s="506"/>
      <c r="D59" s="506"/>
      <c r="E59" s="506"/>
      <c r="F59" s="506"/>
      <c r="G59" s="511"/>
      <c r="H59" s="512"/>
      <c r="I59" s="512"/>
      <c r="J59" s="512"/>
      <c r="K59" s="512"/>
      <c r="L59" s="513"/>
      <c r="M59" s="514"/>
      <c r="N59" s="2982"/>
      <c r="O59" s="2982"/>
      <c r="P59" s="2950"/>
      <c r="Q59" s="2976"/>
      <c r="R59" s="2974"/>
      <c r="S59" s="2974"/>
      <c r="T59" s="2974"/>
      <c r="U59" s="2974"/>
      <c r="V59" s="2974"/>
      <c r="W59" s="2974"/>
      <c r="X59" s="2974"/>
      <c r="Y59" s="2974"/>
      <c r="Z59" s="2974"/>
      <c r="AA59" s="2974"/>
      <c r="AB59" s="2974"/>
      <c r="AC59" s="2974"/>
      <c r="AD59" s="2974"/>
    </row>
    <row r="60" spans="1:30" s="430" customFormat="1" ht="15.75" thickBot="1">
      <c r="A60" s="510"/>
      <c r="B60" s="500"/>
      <c r="C60" s="517"/>
      <c r="D60" s="517"/>
      <c r="E60" s="517"/>
      <c r="F60" s="517"/>
      <c r="G60" s="517"/>
      <c r="H60" s="519"/>
      <c r="I60" s="519"/>
      <c r="J60" s="519"/>
      <c r="K60" s="519"/>
      <c r="L60" s="519"/>
      <c r="M60" s="520"/>
      <c r="N60" s="2982"/>
      <c r="O60" s="2982"/>
      <c r="P60" s="3006"/>
      <c r="Q60" s="2973"/>
      <c r="R60" s="2974"/>
      <c r="S60" s="2974"/>
      <c r="T60" s="2974"/>
      <c r="U60" s="2974"/>
      <c r="V60" s="2974"/>
      <c r="W60" s="2974"/>
      <c r="X60" s="2974"/>
      <c r="Y60" s="2974"/>
      <c r="Z60" s="2974"/>
      <c r="AA60" s="2974"/>
      <c r="AB60" s="2974"/>
      <c r="AC60" s="2974"/>
      <c r="AD60" s="2974"/>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0"/>
      <c r="O61" s="2980"/>
      <c r="P61" s="3007"/>
      <c r="Q61" s="2966"/>
      <c r="R61" s="2952"/>
      <c r="S61" s="2952"/>
      <c r="T61" s="2952"/>
      <c r="U61" s="2952"/>
      <c r="V61" s="2952"/>
      <c r="W61" s="2952"/>
      <c r="X61" s="2952"/>
      <c r="Y61" s="2952"/>
      <c r="Z61" s="2952"/>
      <c r="AA61" s="2952"/>
      <c r="AB61" s="2952"/>
      <c r="AC61" s="2952"/>
      <c r="AD61" s="295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1"/>
      <c r="O62" s="2981"/>
      <c r="P62" s="3005"/>
      <c r="Q62" s="2966"/>
      <c r="R62" s="2952"/>
      <c r="S62" s="2952"/>
      <c r="T62" s="2952"/>
      <c r="U62" s="2952"/>
      <c r="V62" s="2952"/>
      <c r="W62" s="2952"/>
      <c r="X62" s="2952"/>
      <c r="Y62" s="2952"/>
      <c r="Z62" s="2952"/>
      <c r="AA62" s="2952"/>
      <c r="AB62" s="2952"/>
      <c r="AC62" s="2952"/>
      <c r="AD62" s="2952"/>
    </row>
    <row r="63" spans="1:30" ht="27.75" thickTop="1">
      <c r="A63" s="491"/>
      <c r="B63" s="495" t="s">
        <v>2559</v>
      </c>
      <c r="C63" s="535" t="s">
        <v>2418</v>
      </c>
      <c r="D63" s="535" t="s">
        <v>2419</v>
      </c>
      <c r="E63" s="535" t="s">
        <v>2420</v>
      </c>
      <c r="F63" s="535" t="s">
        <v>2421</v>
      </c>
      <c r="G63" s="535" t="s">
        <v>2422</v>
      </c>
      <c r="H63" s="496"/>
      <c r="I63" s="496"/>
      <c r="J63" s="496"/>
      <c r="K63" s="497"/>
      <c r="L63" s="498"/>
      <c r="M63" s="499"/>
      <c r="N63" s="2980"/>
      <c r="O63" s="2980"/>
      <c r="P63" s="3005"/>
      <c r="Q63" s="2966"/>
      <c r="R63" s="2952"/>
      <c r="S63" s="2952"/>
      <c r="T63" s="2952"/>
      <c r="U63" s="2952"/>
      <c r="V63" s="2952"/>
      <c r="W63" s="2952"/>
      <c r="X63" s="2952"/>
      <c r="Y63" s="2952"/>
      <c r="Z63" s="2952"/>
      <c r="AA63" s="2952"/>
      <c r="AB63" s="2952"/>
      <c r="AC63" s="2952"/>
      <c r="AD63" s="295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1"/>
      <c r="O64" s="2981"/>
      <c r="P64" s="3005"/>
      <c r="Q64" s="2966"/>
      <c r="R64" s="2952"/>
      <c r="S64" s="2952"/>
      <c r="T64" s="2952"/>
      <c r="U64" s="2952"/>
      <c r="V64" s="2952"/>
      <c r="W64" s="2952"/>
      <c r="X64" s="2952"/>
      <c r="Y64" s="2952"/>
      <c r="Z64" s="2952"/>
      <c r="AA64" s="2952"/>
      <c r="AB64" s="2952"/>
      <c r="AC64" s="2952"/>
      <c r="AD64" s="2952"/>
    </row>
    <row r="65" spans="1:30" ht="15.75" thickTop="1">
      <c r="A65" s="491"/>
      <c r="B65" s="503" t="s">
        <v>2510</v>
      </c>
      <c r="C65" s="616" t="s">
        <v>2496</v>
      </c>
      <c r="D65" s="616" t="s">
        <v>2497</v>
      </c>
      <c r="E65" s="616" t="s">
        <v>2498</v>
      </c>
      <c r="F65" s="616" t="s">
        <v>2499</v>
      </c>
      <c r="G65" s="616" t="s">
        <v>2500</v>
      </c>
      <c r="H65" s="496"/>
      <c r="I65" s="496"/>
      <c r="J65" s="496"/>
      <c r="K65" s="496"/>
      <c r="L65" s="496"/>
      <c r="M65" s="1291"/>
      <c r="N65" s="2981"/>
      <c r="O65" s="2981"/>
      <c r="P65" s="3005"/>
      <c r="Q65" s="2966"/>
      <c r="R65" s="2952"/>
      <c r="S65" s="2952"/>
      <c r="T65" s="2952"/>
      <c r="U65" s="2952"/>
      <c r="V65" s="2952"/>
      <c r="W65" s="2952"/>
      <c r="X65" s="2952"/>
      <c r="Y65" s="2952"/>
      <c r="Z65" s="2952"/>
      <c r="AA65" s="2952"/>
      <c r="AB65" s="2952"/>
      <c r="AC65" s="2952"/>
      <c r="AD65" s="295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1"/>
      <c r="O66" s="2981"/>
      <c r="P66" s="3005"/>
      <c r="Q66" s="2966"/>
      <c r="R66" s="2952"/>
      <c r="S66" s="2952"/>
      <c r="T66" s="2952"/>
      <c r="U66" s="2952"/>
      <c r="V66" s="2952"/>
      <c r="W66" s="2952"/>
      <c r="X66" s="2952"/>
      <c r="Y66" s="2952"/>
      <c r="Z66" s="2952"/>
      <c r="AA66" s="2952"/>
      <c r="AB66" s="2952"/>
      <c r="AC66" s="2952"/>
      <c r="AD66" s="2952"/>
    </row>
    <row r="67" spans="1:30" ht="15.75" thickTop="1">
      <c r="A67" s="491"/>
      <c r="B67" s="495" t="s">
        <v>2430</v>
      </c>
      <c r="C67" s="535" t="s">
        <v>2418</v>
      </c>
      <c r="D67" s="535" t="s">
        <v>2419</v>
      </c>
      <c r="E67" s="535" t="s">
        <v>2420</v>
      </c>
      <c r="F67" s="535" t="s">
        <v>2421</v>
      </c>
      <c r="G67" s="535" t="s">
        <v>2422</v>
      </c>
      <c r="H67" s="496"/>
      <c r="I67" s="496"/>
      <c r="J67" s="496"/>
      <c r="K67" s="497"/>
      <c r="L67" s="498"/>
      <c r="M67" s="499"/>
      <c r="N67" s="2980"/>
      <c r="O67" s="2980"/>
      <c r="P67" s="3005"/>
      <c r="Q67" s="2966"/>
      <c r="R67" s="2952"/>
      <c r="S67" s="2952"/>
      <c r="T67" s="2952"/>
      <c r="U67" s="2952"/>
      <c r="V67" s="2952"/>
      <c r="W67" s="2952"/>
      <c r="X67" s="2952"/>
      <c r="Y67" s="2952"/>
      <c r="Z67" s="2952"/>
      <c r="AA67" s="2952"/>
      <c r="AB67" s="2952"/>
      <c r="AC67" s="2952"/>
      <c r="AD67" s="295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1"/>
      <c r="O68" s="2981"/>
      <c r="P68" s="3005"/>
      <c r="Q68" s="2966"/>
      <c r="R68" s="2952"/>
      <c r="S68" s="2952"/>
      <c r="T68" s="2952"/>
      <c r="U68" s="2952"/>
      <c r="V68" s="2952"/>
      <c r="W68" s="2952"/>
      <c r="X68" s="2952"/>
      <c r="Y68" s="2952"/>
      <c r="Z68" s="2952"/>
      <c r="AA68" s="2952"/>
      <c r="AB68" s="2952"/>
      <c r="AC68" s="2952"/>
      <c r="AD68" s="2952"/>
    </row>
    <row r="69" spans="1:30" ht="15.75" thickTop="1">
      <c r="A69" s="491"/>
      <c r="B69" s="495" t="s">
        <v>2548</v>
      </c>
      <c r="C69" s="511"/>
      <c r="D69" s="511"/>
      <c r="E69" s="511"/>
      <c r="F69" s="511"/>
      <c r="G69" s="511"/>
      <c r="H69" s="540"/>
      <c r="I69" s="540"/>
      <c r="J69" s="540"/>
      <c r="K69" s="541"/>
      <c r="L69" s="542"/>
      <c r="M69" s="543"/>
      <c r="N69" s="2980"/>
      <c r="O69" s="2980"/>
      <c r="P69" s="3005"/>
      <c r="Q69" s="2966"/>
      <c r="R69" s="2952"/>
      <c r="S69" s="2952"/>
      <c r="T69" s="2952"/>
      <c r="U69" s="2952"/>
      <c r="V69" s="2952"/>
      <c r="W69" s="2952"/>
      <c r="X69" s="2952"/>
      <c r="Y69" s="2952"/>
      <c r="Z69" s="2952"/>
      <c r="AA69" s="2952"/>
      <c r="AB69" s="2952"/>
      <c r="AC69" s="2952"/>
      <c r="AD69" s="2952"/>
    </row>
    <row r="70" spans="1:30" ht="15.75" thickBot="1">
      <c r="A70" s="491"/>
      <c r="B70" s="500"/>
      <c r="C70" s="501">
        <v>100</v>
      </c>
      <c r="D70" s="501">
        <f>C70-$K22</f>
        <v>100</v>
      </c>
      <c r="E70" s="501"/>
      <c r="F70" s="501"/>
      <c r="G70" s="501"/>
      <c r="H70" s="501"/>
      <c r="I70" s="501"/>
      <c r="J70" s="501"/>
      <c r="K70" s="501"/>
      <c r="L70" s="501"/>
      <c r="M70" s="502"/>
      <c r="N70" s="2981"/>
      <c r="O70" s="2981"/>
      <c r="P70" s="3005"/>
      <c r="Q70" s="2966"/>
      <c r="R70" s="2952"/>
      <c r="S70" s="2952"/>
      <c r="T70" s="2952"/>
      <c r="U70" s="2952"/>
      <c r="V70" s="2952"/>
      <c r="W70" s="2952"/>
      <c r="X70" s="2952"/>
      <c r="Y70" s="2952"/>
      <c r="Z70" s="2952"/>
      <c r="AA70" s="2952"/>
      <c r="AB70" s="2952"/>
      <c r="AC70" s="2952"/>
      <c r="AD70" s="2952"/>
    </row>
    <row r="71" spans="1:30" s="113" customFormat="1" ht="15.75" thickTop="1">
      <c r="A71" s="536"/>
      <c r="B71" s="495">
        <f>B23</f>
        <v>111</v>
      </c>
      <c r="C71" s="506"/>
      <c r="D71" s="506"/>
      <c r="E71" s="506"/>
      <c r="F71" s="506"/>
      <c r="G71" s="511"/>
      <c r="H71" s="511"/>
      <c r="I71" s="511"/>
      <c r="J71" s="511"/>
      <c r="K71" s="511"/>
      <c r="L71" s="537"/>
      <c r="M71" s="538"/>
      <c r="N71" s="2979"/>
      <c r="O71" s="2979"/>
      <c r="P71" s="3005"/>
      <c r="Q71" s="2966"/>
      <c r="R71" s="2886"/>
      <c r="S71" s="2886"/>
      <c r="T71" s="2886"/>
      <c r="U71" s="2886"/>
      <c r="V71" s="2886"/>
      <c r="W71" s="2886"/>
      <c r="X71" s="2886"/>
      <c r="Y71" s="2886"/>
      <c r="Z71" s="2886"/>
      <c r="AA71" s="2886"/>
      <c r="AB71" s="2886"/>
      <c r="AC71" s="2886"/>
      <c r="AD71" s="2886"/>
    </row>
    <row r="72" spans="1:30" s="113" customFormat="1" ht="15.75" thickBot="1">
      <c r="A72" s="536"/>
      <c r="B72" s="500"/>
      <c r="C72" s="517"/>
      <c r="D72" s="493"/>
      <c r="E72" s="493"/>
      <c r="F72" s="493"/>
      <c r="G72" s="493"/>
      <c r="H72" s="493"/>
      <c r="I72" s="493"/>
      <c r="J72" s="493"/>
      <c r="K72" s="493"/>
      <c r="L72" s="493"/>
      <c r="M72" s="494"/>
      <c r="N72" s="2981"/>
      <c r="O72" s="2981"/>
      <c r="P72" s="3005"/>
      <c r="Q72" s="2966"/>
      <c r="R72" s="2886"/>
      <c r="S72" s="2886"/>
      <c r="T72" s="2886"/>
      <c r="U72" s="2886"/>
      <c r="V72" s="2886"/>
      <c r="W72" s="2886"/>
      <c r="X72" s="2886"/>
      <c r="Y72" s="2886"/>
      <c r="Z72" s="2886"/>
      <c r="AA72" s="2886"/>
      <c r="AB72" s="2886"/>
      <c r="AC72" s="2886"/>
      <c r="AD72" s="2886"/>
    </row>
    <row r="73" spans="1:30" s="113" customFormat="1" ht="15.75" thickTop="1">
      <c r="A73" s="536"/>
      <c r="B73" s="495">
        <f>B24</f>
        <v>111</v>
      </c>
      <c r="C73" s="506"/>
      <c r="D73" s="506"/>
      <c r="E73" s="506"/>
      <c r="F73" s="506"/>
      <c r="G73" s="511"/>
      <c r="H73" s="511"/>
      <c r="I73" s="511"/>
      <c r="J73" s="511"/>
      <c r="K73" s="511"/>
      <c r="L73" s="511"/>
      <c r="M73" s="538"/>
      <c r="N73" s="2979"/>
      <c r="O73" s="2979"/>
      <c r="P73" s="3005"/>
      <c r="Q73" s="2966"/>
      <c r="R73" s="2886"/>
      <c r="S73" s="2886"/>
      <c r="T73" s="2886"/>
      <c r="U73" s="2886"/>
      <c r="V73" s="2886"/>
      <c r="W73" s="2886"/>
      <c r="X73" s="2886"/>
      <c r="Y73" s="2886"/>
      <c r="Z73" s="2886"/>
      <c r="AA73" s="2886"/>
      <c r="AB73" s="2886"/>
      <c r="AC73" s="2886"/>
      <c r="AD73" s="2886"/>
    </row>
    <row r="74" spans="1:30" s="113" customFormat="1" ht="15.75" thickBot="1">
      <c r="A74" s="536"/>
      <c r="B74" s="500"/>
      <c r="C74" s="517"/>
      <c r="D74" s="493"/>
      <c r="E74" s="493"/>
      <c r="F74" s="493"/>
      <c r="G74" s="493"/>
      <c r="H74" s="493"/>
      <c r="I74" s="493"/>
      <c r="J74" s="493"/>
      <c r="K74" s="493"/>
      <c r="L74" s="493"/>
      <c r="M74" s="494"/>
      <c r="N74" s="2981"/>
      <c r="O74" s="2981"/>
      <c r="P74" s="3005"/>
      <c r="Q74" s="2966"/>
      <c r="R74" s="2886"/>
      <c r="S74" s="2886"/>
      <c r="T74" s="2886"/>
      <c r="U74" s="2886"/>
      <c r="V74" s="2886"/>
      <c r="W74" s="2886"/>
      <c r="X74" s="2886"/>
      <c r="Y74" s="2886"/>
      <c r="Z74" s="2886"/>
      <c r="AA74" s="2886"/>
      <c r="AB74" s="2886"/>
      <c r="AC74" s="2886"/>
      <c r="AD74" s="2886"/>
    </row>
    <row r="75" spans="1:30" s="430" customFormat="1" ht="15.75" thickTop="1">
      <c r="A75" s="510"/>
      <c r="B75" s="495">
        <f>B25</f>
        <v>111</v>
      </c>
      <c r="C75" s="506"/>
      <c r="D75" s="506"/>
      <c r="E75" s="506"/>
      <c r="F75" s="506"/>
      <c r="G75" s="511"/>
      <c r="H75" s="512"/>
      <c r="I75" s="512"/>
      <c r="J75" s="512"/>
      <c r="K75" s="512"/>
      <c r="L75" s="513"/>
      <c r="M75" s="514"/>
      <c r="N75" s="2982"/>
      <c r="O75" s="2982"/>
      <c r="P75" s="3006"/>
      <c r="Q75" s="2973"/>
      <c r="R75" s="2974"/>
      <c r="S75" s="2974"/>
      <c r="T75" s="2974"/>
      <c r="U75" s="2974"/>
      <c r="V75" s="2974"/>
      <c r="W75" s="2974"/>
      <c r="X75" s="2974"/>
      <c r="Y75" s="2974"/>
      <c r="Z75" s="2974"/>
      <c r="AA75" s="2974"/>
      <c r="AB75" s="2974"/>
      <c r="AC75" s="2974"/>
      <c r="AD75" s="2974"/>
    </row>
    <row r="76" spans="1:30" s="430" customFormat="1" ht="15.75" thickBot="1">
      <c r="A76" s="510"/>
      <c r="B76" s="500"/>
      <c r="C76" s="517"/>
      <c r="D76" s="517"/>
      <c r="E76" s="517"/>
      <c r="F76" s="517"/>
      <c r="G76" s="493"/>
      <c r="H76" s="493"/>
      <c r="I76" s="493"/>
      <c r="J76" s="493"/>
      <c r="K76" s="493"/>
      <c r="L76" s="493"/>
      <c r="M76" s="494"/>
      <c r="N76" s="2982"/>
      <c r="O76" s="2982"/>
      <c r="P76" s="3006"/>
      <c r="Q76" s="2973"/>
      <c r="R76" s="2974"/>
      <c r="S76" s="2974"/>
      <c r="T76" s="2974"/>
      <c r="U76" s="2974"/>
      <c r="V76" s="2974"/>
      <c r="W76" s="2974"/>
      <c r="X76" s="2974"/>
      <c r="Y76" s="2974"/>
      <c r="Z76" s="2974"/>
      <c r="AA76" s="2974"/>
      <c r="AB76" s="2974"/>
      <c r="AC76" s="2974"/>
      <c r="AD76" s="2974"/>
    </row>
    <row r="77" spans="1:30" ht="15" thickTop="1">
      <c r="A77" s="484" t="s">
        <v>2384</v>
      </c>
      <c r="B77" s="485" t="s">
        <v>2437</v>
      </c>
      <c r="C77" s="511"/>
      <c r="D77" s="511"/>
      <c r="E77" s="487"/>
      <c r="F77" s="487"/>
      <c r="G77" s="487"/>
      <c r="H77" s="487"/>
      <c r="I77" s="487"/>
      <c r="J77" s="487"/>
      <c r="K77" s="488"/>
      <c r="L77" s="489"/>
      <c r="M77" s="490"/>
      <c r="N77" s="2980"/>
      <c r="O77" s="2980"/>
      <c r="P77" s="3005"/>
      <c r="Q77" s="2966"/>
      <c r="R77" s="2952"/>
      <c r="S77" s="2952"/>
      <c r="T77" s="2952"/>
      <c r="U77" s="2952"/>
      <c r="V77" s="2952"/>
      <c r="W77" s="2952"/>
      <c r="X77" s="2952"/>
      <c r="Y77" s="2952"/>
      <c r="Z77" s="2952"/>
      <c r="AA77" s="2952"/>
      <c r="AB77" s="2952"/>
      <c r="AC77" s="2952"/>
      <c r="AD77" s="2952"/>
    </row>
    <row r="78" spans="1:30" ht="15.75" thickBot="1">
      <c r="A78" s="491"/>
      <c r="B78" s="500"/>
      <c r="C78" s="501">
        <v>100</v>
      </c>
      <c r="D78" s="501">
        <f t="shared" ref="D78:M78" si="14">C78-$K26</f>
        <v>100</v>
      </c>
      <c r="E78" s="501">
        <f t="shared" si="14"/>
        <v>100</v>
      </c>
      <c r="F78" s="501">
        <f t="shared" si="14"/>
        <v>100</v>
      </c>
      <c r="G78" s="501">
        <f t="shared" si="14"/>
        <v>100</v>
      </c>
      <c r="H78" s="501">
        <f t="shared" si="14"/>
        <v>100</v>
      </c>
      <c r="I78" s="501">
        <f t="shared" si="14"/>
        <v>100</v>
      </c>
      <c r="J78" s="501">
        <f t="shared" si="14"/>
        <v>100</v>
      </c>
      <c r="K78" s="501">
        <f t="shared" si="14"/>
        <v>100</v>
      </c>
      <c r="L78" s="501">
        <f t="shared" si="14"/>
        <v>100</v>
      </c>
      <c r="M78" s="502">
        <f t="shared" si="14"/>
        <v>100</v>
      </c>
      <c r="N78" s="2981"/>
      <c r="O78" s="2981"/>
      <c r="P78" s="3005"/>
      <c r="Q78" s="2966"/>
      <c r="R78" s="2952"/>
      <c r="S78" s="2952"/>
      <c r="T78" s="2952"/>
      <c r="U78" s="2952"/>
      <c r="V78" s="2952"/>
      <c r="W78" s="2952"/>
      <c r="X78" s="2952"/>
      <c r="Y78" s="2952"/>
      <c r="Z78" s="2952"/>
      <c r="AA78" s="2952"/>
      <c r="AB78" s="2952"/>
      <c r="AC78" s="2952"/>
      <c r="AD78" s="2952"/>
    </row>
    <row r="79" spans="1:30" ht="15.75" thickTop="1">
      <c r="A79" s="491"/>
      <c r="B79" s="495" t="s">
        <v>2551</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9"/>
      <c r="O79" s="2979"/>
      <c r="P79" s="3005"/>
      <c r="Q79" s="2966"/>
      <c r="R79" s="2952"/>
      <c r="S79" s="2952"/>
      <c r="T79" s="2952"/>
      <c r="U79" s="2952"/>
      <c r="V79" s="2952"/>
      <c r="W79" s="2952"/>
      <c r="X79" s="2952"/>
      <c r="Y79" s="2952"/>
      <c r="Z79" s="2952"/>
      <c r="AA79" s="2952"/>
      <c r="AB79" s="2952"/>
      <c r="AC79" s="2952"/>
      <c r="AD79" s="2952"/>
    </row>
    <row r="80" spans="1:30" ht="15">
      <c r="A80" s="491"/>
      <c r="B80" s="503"/>
      <c r="C80" s="560">
        <v>0.5</v>
      </c>
      <c r="D80" s="560">
        <v>0.6</v>
      </c>
      <c r="E80" s="560">
        <v>0.7</v>
      </c>
      <c r="F80" s="560">
        <v>0.8</v>
      </c>
      <c r="G80" s="560">
        <v>0.9</v>
      </c>
      <c r="H80" s="560">
        <v>1.0001</v>
      </c>
      <c r="I80" s="616"/>
      <c r="J80" s="616"/>
      <c r="K80" s="624"/>
      <c r="L80" s="625"/>
      <c r="M80" s="626"/>
      <c r="N80" s="2979"/>
      <c r="O80" s="2979"/>
      <c r="P80" s="3005"/>
      <c r="Q80" s="2966"/>
      <c r="R80" s="2952"/>
      <c r="S80" s="2952"/>
      <c r="T80" s="2952"/>
      <c r="U80" s="2952"/>
      <c r="V80" s="2952"/>
      <c r="W80" s="2952"/>
      <c r="X80" s="2952"/>
      <c r="Y80" s="2952"/>
      <c r="Z80" s="2952"/>
      <c r="AA80" s="2952"/>
      <c r="AB80" s="2952"/>
      <c r="AC80" s="2952"/>
      <c r="AD80" s="2952"/>
    </row>
    <row r="81" spans="1:30" s="430" customFormat="1" ht="15.75" thickBot="1">
      <c r="A81" s="510"/>
      <c r="B81" s="500"/>
      <c r="C81" s="539">
        <v>100</v>
      </c>
      <c r="D81" s="501">
        <f t="shared" ref="D81:M81" si="15">C81+$K27</f>
        <v>100</v>
      </c>
      <c r="E81" s="501">
        <f t="shared" si="15"/>
        <v>100</v>
      </c>
      <c r="F81" s="501">
        <f t="shared" si="15"/>
        <v>100</v>
      </c>
      <c r="G81" s="501">
        <f t="shared" si="15"/>
        <v>100</v>
      </c>
      <c r="H81" s="501">
        <f t="shared" si="15"/>
        <v>100</v>
      </c>
      <c r="I81" s="501">
        <f t="shared" si="15"/>
        <v>100</v>
      </c>
      <c r="J81" s="501">
        <f t="shared" si="15"/>
        <v>100</v>
      </c>
      <c r="K81" s="501">
        <f t="shared" si="15"/>
        <v>100</v>
      </c>
      <c r="L81" s="501">
        <f t="shared" si="15"/>
        <v>100</v>
      </c>
      <c r="M81" s="501">
        <f t="shared" si="15"/>
        <v>100</v>
      </c>
      <c r="N81" s="2981"/>
      <c r="O81" s="2981"/>
      <c r="P81" s="3006"/>
      <c r="Q81" s="2973"/>
      <c r="R81" s="2974"/>
      <c r="S81" s="2974"/>
      <c r="T81" s="2974"/>
      <c r="U81" s="2974"/>
      <c r="V81" s="2974"/>
      <c r="W81" s="2974"/>
      <c r="X81" s="2974"/>
      <c r="Y81" s="2974"/>
      <c r="Z81" s="2974"/>
      <c r="AA81" s="2974"/>
      <c r="AB81" s="2974"/>
      <c r="AC81" s="2974"/>
      <c r="AD81" s="2974"/>
    </row>
    <row r="82" spans="1:30" ht="15" thickTop="1">
      <c r="A82" s="556"/>
      <c r="B82" s="503" t="s">
        <v>2552</v>
      </c>
      <c r="C82" s="511"/>
      <c r="D82" s="511"/>
      <c r="E82" s="540"/>
      <c r="F82" s="540"/>
      <c r="G82" s="540"/>
      <c r="H82" s="540"/>
      <c r="I82" s="540"/>
      <c r="J82" s="540"/>
      <c r="K82" s="541"/>
      <c r="L82" s="542"/>
      <c r="M82" s="543"/>
      <c r="N82" s="2980"/>
      <c r="O82" s="2980"/>
      <c r="P82" s="3005"/>
      <c r="Q82" s="2966"/>
      <c r="R82" s="2952"/>
      <c r="S82" s="2952"/>
      <c r="T82" s="2952"/>
      <c r="U82" s="2952"/>
      <c r="V82" s="2952"/>
      <c r="W82" s="2952"/>
      <c r="X82" s="2952"/>
      <c r="Y82" s="2952"/>
      <c r="Z82" s="2952"/>
      <c r="AA82" s="2952"/>
      <c r="AB82" s="2952"/>
      <c r="AC82" s="2952"/>
      <c r="AD82" s="2952"/>
    </row>
    <row r="83" spans="1:30" ht="15.75" thickBot="1">
      <c r="A83" s="491"/>
      <c r="B83" s="500"/>
      <c r="C83" s="501">
        <v>100</v>
      </c>
      <c r="D83" s="501">
        <f t="shared" ref="D83:M83" si="16">C83-$K28</f>
        <v>100</v>
      </c>
      <c r="E83" s="501">
        <f t="shared" si="16"/>
        <v>100</v>
      </c>
      <c r="F83" s="501">
        <f t="shared" si="16"/>
        <v>100</v>
      </c>
      <c r="G83" s="501">
        <f t="shared" si="16"/>
        <v>100</v>
      </c>
      <c r="H83" s="501">
        <f t="shared" si="16"/>
        <v>100</v>
      </c>
      <c r="I83" s="501">
        <f t="shared" si="16"/>
        <v>100</v>
      </c>
      <c r="J83" s="501">
        <f t="shared" si="16"/>
        <v>100</v>
      </c>
      <c r="K83" s="501">
        <f t="shared" si="16"/>
        <v>100</v>
      </c>
      <c r="L83" s="501">
        <f t="shared" si="16"/>
        <v>100</v>
      </c>
      <c r="M83" s="502">
        <f t="shared" si="16"/>
        <v>100</v>
      </c>
      <c r="N83" s="2981"/>
      <c r="O83" s="2981"/>
      <c r="P83" s="3005"/>
      <c r="Q83" s="2966"/>
      <c r="R83" s="2952"/>
      <c r="S83" s="2952"/>
      <c r="T83" s="2952"/>
      <c r="U83" s="2952"/>
      <c r="V83" s="2952"/>
      <c r="W83" s="2952"/>
      <c r="X83" s="2952"/>
      <c r="Y83" s="2952"/>
      <c r="Z83" s="2952"/>
      <c r="AA83" s="2952"/>
      <c r="AB83" s="2952"/>
      <c r="AC83" s="2952"/>
      <c r="AD83" s="2952"/>
    </row>
    <row r="84" spans="1:30" ht="15" thickTop="1">
      <c r="A84" s="556"/>
      <c r="B84" s="495" t="s">
        <v>2560</v>
      </c>
      <c r="C84" s="511"/>
      <c r="D84" s="511"/>
      <c r="E84" s="511"/>
      <c r="F84" s="511"/>
      <c r="G84" s="511"/>
      <c r="H84" s="511"/>
      <c r="I84" s="540"/>
      <c r="J84" s="540"/>
      <c r="K84" s="541"/>
      <c r="L84" s="542"/>
      <c r="M84" s="543"/>
      <c r="N84" s="2980"/>
      <c r="O84" s="2980"/>
      <c r="P84" s="3005"/>
      <c r="Q84" s="2966"/>
      <c r="R84" s="2952"/>
      <c r="S84" s="2952"/>
      <c r="T84" s="2952"/>
      <c r="U84" s="2952"/>
      <c r="V84" s="2952"/>
      <c r="W84" s="2952"/>
      <c r="X84" s="2952"/>
      <c r="Y84" s="2952"/>
      <c r="Z84" s="2952"/>
      <c r="AA84" s="2952"/>
      <c r="AB84" s="2952"/>
      <c r="AC84" s="2952"/>
      <c r="AD84" s="2952"/>
    </row>
    <row r="85" spans="1:30" ht="15.75" thickBot="1">
      <c r="A85" s="491"/>
      <c r="B85" s="500"/>
      <c r="C85" s="539">
        <v>100</v>
      </c>
      <c r="D85" s="501">
        <f t="shared" ref="D85:M85" si="17">C85+$K29</f>
        <v>100</v>
      </c>
      <c r="E85" s="501">
        <f t="shared" si="17"/>
        <v>100</v>
      </c>
      <c r="F85" s="501">
        <f t="shared" si="17"/>
        <v>100</v>
      </c>
      <c r="G85" s="501">
        <f t="shared" si="17"/>
        <v>100</v>
      </c>
      <c r="H85" s="501">
        <f t="shared" si="17"/>
        <v>100</v>
      </c>
      <c r="I85" s="501">
        <f t="shared" si="17"/>
        <v>100</v>
      </c>
      <c r="J85" s="501">
        <f t="shared" si="17"/>
        <v>100</v>
      </c>
      <c r="K85" s="501">
        <f t="shared" si="17"/>
        <v>100</v>
      </c>
      <c r="L85" s="501">
        <f t="shared" si="17"/>
        <v>100</v>
      </c>
      <c r="M85" s="501">
        <f t="shared" si="17"/>
        <v>100</v>
      </c>
      <c r="N85" s="2981"/>
      <c r="O85" s="2981"/>
      <c r="P85" s="3005"/>
      <c r="Q85" s="2966"/>
      <c r="R85" s="2952"/>
      <c r="S85" s="2952"/>
      <c r="T85" s="2952"/>
      <c r="U85" s="2952"/>
      <c r="V85" s="2952"/>
      <c r="W85" s="2952"/>
      <c r="X85" s="2952"/>
      <c r="Y85" s="2952"/>
      <c r="Z85" s="2952"/>
      <c r="AA85" s="2952"/>
      <c r="AB85" s="2952"/>
      <c r="AC85" s="2952"/>
      <c r="AD85" s="2952"/>
    </row>
    <row r="86" spans="1:30" ht="15" thickTop="1">
      <c r="A86" s="556"/>
      <c r="B86" s="503" t="s">
        <v>2561</v>
      </c>
      <c r="C86" s="535" t="str">
        <f t="shared" ref="C86:L86" si="18">C87&amp;"(含)"&amp;"-"&amp;D87</f>
        <v>(含)-</v>
      </c>
      <c r="D86" s="535" t="str">
        <f t="shared" si="18"/>
        <v>(含)-</v>
      </c>
      <c r="E86" s="535" t="str">
        <f t="shared" si="18"/>
        <v>(含)-</v>
      </c>
      <c r="F86" s="535" t="str">
        <f t="shared" si="18"/>
        <v>(含)-</v>
      </c>
      <c r="G86" s="535" t="str">
        <f t="shared" si="18"/>
        <v>(含)-</v>
      </c>
      <c r="H86" s="535" t="str">
        <f t="shared" si="18"/>
        <v>(含)-</v>
      </c>
      <c r="I86" s="535" t="str">
        <f t="shared" si="18"/>
        <v>(含)-</v>
      </c>
      <c r="J86" s="535" t="str">
        <f t="shared" si="18"/>
        <v>(含)-</v>
      </c>
      <c r="K86" s="535" t="str">
        <f t="shared" si="18"/>
        <v>(含)-</v>
      </c>
      <c r="L86" s="535" t="str">
        <f t="shared" si="18"/>
        <v>(含)-</v>
      </c>
      <c r="M86" s="578" t="str">
        <f>M87&amp;"(含)"&amp;"-"&amp;P87</f>
        <v>(含)-</v>
      </c>
      <c r="N86" s="2980"/>
      <c r="O86" s="2980"/>
      <c r="P86" s="3005"/>
      <c r="Q86" s="2966"/>
      <c r="R86" s="2952"/>
      <c r="S86" s="2952"/>
      <c r="T86" s="2952"/>
      <c r="U86" s="2952"/>
      <c r="V86" s="2952"/>
      <c r="W86" s="2952"/>
      <c r="X86" s="2952"/>
      <c r="Y86" s="2952"/>
      <c r="Z86" s="2952"/>
      <c r="AA86" s="2952"/>
      <c r="AB86" s="2952"/>
      <c r="AC86" s="2952"/>
      <c r="AD86" s="2952"/>
    </row>
    <row r="87" spans="1:30">
      <c r="A87" s="556"/>
      <c r="B87" s="503"/>
      <c r="C87" s="552"/>
      <c r="D87" s="552"/>
      <c r="E87" s="552"/>
      <c r="F87" s="552"/>
      <c r="G87" s="552"/>
      <c r="H87" s="552"/>
      <c r="I87" s="552"/>
      <c r="J87" s="553"/>
      <c r="K87" s="553"/>
      <c r="L87" s="554"/>
      <c r="M87" s="555"/>
      <c r="N87" s="2980"/>
      <c r="O87" s="2980"/>
      <c r="P87" s="3005"/>
      <c r="Q87" s="2966"/>
      <c r="R87" s="2952"/>
      <c r="S87" s="2952"/>
      <c r="T87" s="2952"/>
      <c r="U87" s="2952"/>
      <c r="V87" s="2952"/>
      <c r="W87" s="2952"/>
      <c r="X87" s="2952"/>
      <c r="Y87" s="2952"/>
      <c r="Z87" s="2952"/>
      <c r="AA87" s="2952"/>
      <c r="AB87" s="2952"/>
      <c r="AC87" s="2952"/>
      <c r="AD87" s="2952"/>
    </row>
    <row r="88" spans="1:30" ht="15.75" thickBot="1">
      <c r="A88" s="491"/>
      <c r="B88" s="500"/>
      <c r="C88" s="517"/>
      <c r="D88" s="493"/>
      <c r="E88" s="493"/>
      <c r="F88" s="493"/>
      <c r="G88" s="493"/>
      <c r="H88" s="493"/>
      <c r="I88" s="493"/>
      <c r="J88" s="493"/>
      <c r="K88" s="493"/>
      <c r="L88" s="493"/>
      <c r="M88" s="493"/>
      <c r="N88" s="2981"/>
      <c r="O88" s="2981"/>
      <c r="P88" s="3005"/>
      <c r="Q88" s="2966"/>
      <c r="R88" s="2952"/>
      <c r="S88" s="2952"/>
      <c r="T88" s="2952"/>
      <c r="U88" s="2952"/>
      <c r="V88" s="2952"/>
      <c r="W88" s="2952"/>
      <c r="X88" s="2952"/>
      <c r="Y88" s="2952"/>
      <c r="Z88" s="2952"/>
      <c r="AA88" s="2952"/>
      <c r="AB88" s="2952"/>
      <c r="AC88" s="2952"/>
      <c r="AD88" s="2952"/>
    </row>
    <row r="89" spans="1:30" s="430" customFormat="1" ht="15" thickTop="1">
      <c r="A89" s="550"/>
      <c r="B89" s="495" t="s">
        <v>2562</v>
      </c>
      <c r="C89" s="511"/>
      <c r="D89" s="511"/>
      <c r="E89" s="511"/>
      <c r="F89" s="511"/>
      <c r="G89" s="511"/>
      <c r="H89" s="511"/>
      <c r="I89" s="511"/>
      <c r="J89" s="511"/>
      <c r="K89" s="511"/>
      <c r="L89" s="511"/>
      <c r="M89" s="538"/>
      <c r="N89" s="2982"/>
      <c r="O89" s="2982"/>
      <c r="P89" s="3006"/>
      <c r="Q89" s="2973"/>
      <c r="R89" s="2974"/>
      <c r="S89" s="2974"/>
      <c r="T89" s="2974"/>
      <c r="U89" s="2974"/>
      <c r="V89" s="2974"/>
      <c r="W89" s="2974"/>
      <c r="X89" s="2974"/>
      <c r="Y89" s="2974"/>
      <c r="Z89" s="2974"/>
      <c r="AA89" s="2974"/>
      <c r="AB89" s="2974"/>
      <c r="AC89" s="2974"/>
      <c r="AD89" s="2974"/>
    </row>
    <row r="90" spans="1:30" s="430" customFormat="1" ht="15.75" thickBot="1">
      <c r="A90" s="510"/>
      <c r="B90" s="500"/>
      <c r="C90" s="517"/>
      <c r="D90" s="493"/>
      <c r="E90" s="493"/>
      <c r="F90" s="493"/>
      <c r="G90" s="493"/>
      <c r="H90" s="493"/>
      <c r="I90" s="493"/>
      <c r="J90" s="493"/>
      <c r="K90" s="493"/>
      <c r="L90" s="493"/>
      <c r="M90" s="494"/>
      <c r="N90" s="2982"/>
      <c r="O90" s="2982"/>
      <c r="P90" s="3006"/>
      <c r="Q90" s="2973"/>
      <c r="R90" s="2974"/>
      <c r="S90" s="2974"/>
      <c r="T90" s="2974"/>
      <c r="U90" s="2974"/>
      <c r="V90" s="2974"/>
      <c r="W90" s="2974"/>
      <c r="X90" s="2974"/>
      <c r="Y90" s="2974"/>
      <c r="Z90" s="2974"/>
      <c r="AA90" s="2974"/>
      <c r="AB90" s="2974"/>
      <c r="AC90" s="2974"/>
      <c r="AD90" s="2974"/>
    </row>
    <row r="91" spans="1:30" ht="15" thickTop="1">
      <c r="A91" s="556"/>
      <c r="B91" s="495">
        <f>B32</f>
        <v>111</v>
      </c>
      <c r="C91" s="506"/>
      <c r="D91" s="506"/>
      <c r="E91" s="506"/>
      <c r="F91" s="506"/>
      <c r="G91" s="511"/>
      <c r="H91" s="512"/>
      <c r="I91" s="512"/>
      <c r="J91" s="512"/>
      <c r="K91" s="512"/>
      <c r="L91" s="513"/>
      <c r="M91" s="514"/>
      <c r="N91" s="2980"/>
      <c r="O91" s="2980"/>
      <c r="P91" s="3005"/>
      <c r="Q91" s="2966"/>
      <c r="R91" s="2952"/>
      <c r="S91" s="2952"/>
      <c r="T91" s="2952"/>
      <c r="U91" s="2952"/>
      <c r="V91" s="2952"/>
      <c r="W91" s="2952"/>
      <c r="X91" s="2952"/>
      <c r="Y91" s="2952"/>
      <c r="Z91" s="2952"/>
      <c r="AA91" s="2952"/>
      <c r="AB91" s="2952"/>
      <c r="AC91" s="2952"/>
      <c r="AD91" s="2952"/>
    </row>
    <row r="92" spans="1:30" ht="15.75" thickBot="1">
      <c r="A92" s="491"/>
      <c r="B92" s="500"/>
      <c r="C92" s="517"/>
      <c r="D92" s="493"/>
      <c r="E92" s="493"/>
      <c r="F92" s="493"/>
      <c r="G92" s="517"/>
      <c r="H92" s="519"/>
      <c r="I92" s="519"/>
      <c r="J92" s="519"/>
      <c r="K92" s="519"/>
      <c r="L92" s="519"/>
      <c r="M92" s="520"/>
      <c r="N92" s="2981"/>
      <c r="O92" s="2981"/>
      <c r="P92" s="3005"/>
      <c r="Q92" s="2966"/>
      <c r="R92" s="2952"/>
      <c r="S92" s="2952"/>
      <c r="T92" s="2952"/>
      <c r="U92" s="2952"/>
      <c r="V92" s="2952"/>
      <c r="W92" s="2952"/>
      <c r="X92" s="2952"/>
      <c r="Y92" s="2952"/>
      <c r="Z92" s="2952"/>
      <c r="AA92" s="2952"/>
      <c r="AB92" s="2952"/>
      <c r="AC92" s="2952"/>
      <c r="AD92" s="2952"/>
    </row>
    <row r="93" spans="1:30" ht="15" thickTop="1">
      <c r="A93" s="556"/>
      <c r="B93" s="495">
        <f>B33</f>
        <v>111</v>
      </c>
      <c r="C93" s="506"/>
      <c r="D93" s="506"/>
      <c r="E93" s="506"/>
      <c r="F93" s="506"/>
      <c r="G93" s="511"/>
      <c r="H93" s="512"/>
      <c r="I93" s="512"/>
      <c r="J93" s="512"/>
      <c r="K93" s="512"/>
      <c r="L93" s="513"/>
      <c r="M93" s="514"/>
      <c r="N93" s="2980"/>
      <c r="O93" s="2980"/>
      <c r="P93" s="3005"/>
      <c r="Q93" s="2966"/>
      <c r="R93" s="2952"/>
      <c r="S93" s="2952"/>
      <c r="T93" s="2952"/>
      <c r="U93" s="2952"/>
      <c r="V93" s="2952"/>
      <c r="W93" s="2952"/>
      <c r="X93" s="2952"/>
      <c r="Y93" s="2952"/>
      <c r="Z93" s="2952"/>
      <c r="AA93" s="2952"/>
      <c r="AB93" s="2952"/>
      <c r="AC93" s="2952"/>
      <c r="AD93" s="2952"/>
    </row>
    <row r="94" spans="1:30" ht="15.75" thickBot="1">
      <c r="A94" s="491"/>
      <c r="B94" s="500"/>
      <c r="C94" s="517"/>
      <c r="D94" s="493"/>
      <c r="E94" s="493"/>
      <c r="F94" s="493"/>
      <c r="G94" s="517"/>
      <c r="H94" s="519"/>
      <c r="I94" s="519"/>
      <c r="J94" s="519"/>
      <c r="K94" s="519"/>
      <c r="L94" s="519"/>
      <c r="M94" s="520"/>
      <c r="N94" s="2981"/>
      <c r="O94" s="2981"/>
      <c r="P94" s="3005"/>
      <c r="Q94" s="2966"/>
      <c r="R94" s="2952"/>
      <c r="S94" s="2952"/>
      <c r="T94" s="2952"/>
      <c r="U94" s="2952"/>
      <c r="V94" s="2952"/>
      <c r="W94" s="2952"/>
      <c r="X94" s="2952"/>
      <c r="Y94" s="2952"/>
      <c r="Z94" s="2952"/>
      <c r="AA94" s="2952"/>
      <c r="AB94" s="2952"/>
      <c r="AC94" s="2952"/>
      <c r="AD94" s="2952"/>
    </row>
    <row r="95" spans="1:30" ht="15" thickTop="1">
      <c r="A95" s="556"/>
      <c r="B95" s="592">
        <f>B34</f>
        <v>111</v>
      </c>
      <c r="C95" s="506"/>
      <c r="D95" s="506"/>
      <c r="E95" s="506"/>
      <c r="F95" s="506"/>
      <c r="G95" s="511"/>
      <c r="H95" s="512"/>
      <c r="I95" s="512"/>
      <c r="J95" s="512"/>
      <c r="K95" s="512"/>
      <c r="L95" s="513"/>
      <c r="M95" s="514"/>
      <c r="N95" s="2981"/>
      <c r="O95" s="2981"/>
      <c r="P95" s="3008"/>
      <c r="Q95" s="2995"/>
      <c r="R95" s="2952"/>
      <c r="S95" s="2952"/>
      <c r="T95" s="2952"/>
      <c r="U95" s="2952"/>
      <c r="V95" s="2952"/>
      <c r="W95" s="2952"/>
      <c r="X95" s="2952"/>
      <c r="Y95" s="2952"/>
      <c r="Z95" s="2952"/>
      <c r="AA95" s="2952"/>
      <c r="AB95" s="2952"/>
      <c r="AC95" s="2952"/>
      <c r="AD95" s="2952"/>
    </row>
    <row r="96" spans="1:30" ht="15.75" thickBot="1">
      <c r="A96" s="491"/>
      <c r="B96" s="500"/>
      <c r="C96" s="517"/>
      <c r="D96" s="517"/>
      <c r="E96" s="517"/>
      <c r="F96" s="517"/>
      <c r="G96" s="517"/>
      <c r="H96" s="519"/>
      <c r="I96" s="519"/>
      <c r="J96" s="519"/>
      <c r="K96" s="519"/>
      <c r="L96" s="519"/>
      <c r="M96" s="520"/>
      <c r="N96" s="2981"/>
      <c r="O96" s="2981"/>
      <c r="P96" s="3005"/>
      <c r="Q96" s="2966"/>
      <c r="R96" s="2952"/>
      <c r="S96" s="2952"/>
      <c r="T96" s="2952"/>
      <c r="U96" s="2952"/>
      <c r="V96" s="2952"/>
      <c r="W96" s="2952"/>
      <c r="X96" s="2952"/>
      <c r="Y96" s="2952"/>
      <c r="Z96" s="2952"/>
      <c r="AA96" s="2952"/>
      <c r="AB96" s="2952"/>
      <c r="AC96" s="2952"/>
      <c r="AD96" s="2952"/>
    </row>
    <row r="97" spans="1:30" ht="15" thickTop="1">
      <c r="N97" s="2952"/>
      <c r="O97" s="2952"/>
      <c r="P97" s="2952"/>
      <c r="Q97" s="2952"/>
      <c r="R97" s="2952"/>
      <c r="S97" s="2952"/>
      <c r="T97" s="2952"/>
      <c r="U97" s="2952"/>
      <c r="V97" s="2952"/>
      <c r="W97" s="2952"/>
      <c r="X97" s="2952"/>
      <c r="Y97" s="2952"/>
      <c r="Z97" s="2952"/>
      <c r="AA97" s="2952"/>
      <c r="AB97" s="2952"/>
      <c r="AC97" s="2952"/>
      <c r="AD97" s="2952"/>
    </row>
    <row r="98" spans="1:30">
      <c r="A98" s="1067"/>
      <c r="B98" s="1067"/>
      <c r="C98" s="1067"/>
      <c r="D98" s="1067"/>
      <c r="E98" s="1067"/>
      <c r="F98" s="1067"/>
      <c r="G98" s="1067"/>
      <c r="H98" s="1067"/>
      <c r="I98" s="1067"/>
      <c r="J98" s="1067"/>
      <c r="K98" s="1068"/>
      <c r="L98" s="1069"/>
      <c r="M98" s="1067"/>
      <c r="N98" s="2952"/>
      <c r="O98" s="2952"/>
      <c r="P98" s="2952"/>
      <c r="Q98" s="2952"/>
      <c r="R98" s="2952"/>
      <c r="S98" s="2952"/>
      <c r="T98" s="2952"/>
      <c r="U98" s="2952"/>
      <c r="V98" s="2952"/>
      <c r="W98" s="2952"/>
      <c r="X98" s="2952"/>
      <c r="Y98" s="2952"/>
      <c r="Z98" s="2952"/>
      <c r="AA98" s="2952"/>
      <c r="AB98" s="2952"/>
      <c r="AC98" s="2952"/>
      <c r="AD98" s="2952"/>
    </row>
    <row r="99" spans="1:30">
      <c r="A99" s="1067"/>
      <c r="B99" s="1067"/>
      <c r="C99" s="1067"/>
      <c r="D99" s="1067"/>
      <c r="E99" s="1067"/>
      <c r="F99" s="1067"/>
      <c r="G99" s="1067"/>
      <c r="H99" s="1067"/>
      <c r="I99" s="1067"/>
      <c r="J99" s="1067"/>
      <c r="K99" s="1068"/>
      <c r="L99" s="1069"/>
      <c r="M99" s="1067"/>
      <c r="N99" s="2952"/>
      <c r="O99" s="2952"/>
      <c r="P99" s="2952"/>
      <c r="Q99" s="2952"/>
      <c r="R99" s="2952"/>
      <c r="S99" s="2952"/>
      <c r="T99" s="2952"/>
      <c r="U99" s="2952"/>
      <c r="V99" s="2952"/>
      <c r="W99" s="2952"/>
      <c r="X99" s="2952"/>
      <c r="Y99" s="2952"/>
      <c r="Z99" s="2952"/>
      <c r="AA99" s="2952"/>
      <c r="AB99" s="2952"/>
      <c r="AC99" s="2952"/>
      <c r="AD99" s="2952"/>
    </row>
    <row r="100" spans="1:30">
      <c r="A100" s="1067"/>
      <c r="B100" s="1067"/>
      <c r="C100" s="1067"/>
      <c r="D100" s="1067"/>
      <c r="E100" s="1067"/>
      <c r="F100" s="1067"/>
      <c r="G100" s="1067"/>
      <c r="H100" s="1067"/>
      <c r="I100" s="1067"/>
      <c r="J100" s="1067"/>
      <c r="K100" s="1068"/>
      <c r="L100" s="1069"/>
      <c r="M100" s="1067"/>
      <c r="N100" s="2952"/>
      <c r="O100" s="2952"/>
      <c r="P100" s="2952"/>
      <c r="Q100" s="2952"/>
      <c r="R100" s="2952"/>
      <c r="S100" s="2952"/>
      <c r="T100" s="2952"/>
      <c r="U100" s="2952"/>
      <c r="V100" s="2952"/>
      <c r="W100" s="2952"/>
      <c r="X100" s="2952"/>
      <c r="Y100" s="2952"/>
      <c r="Z100" s="2952"/>
      <c r="AA100" s="2952"/>
      <c r="AB100" s="2952"/>
      <c r="AC100" s="2952"/>
      <c r="AD100" s="2952"/>
    </row>
    <row r="101" spans="1:30">
      <c r="A101" s="1067"/>
      <c r="B101" s="1067"/>
      <c r="C101" s="1067"/>
      <c r="D101" s="1067"/>
      <c r="E101" s="1067"/>
      <c r="F101" s="1067"/>
      <c r="G101" s="1067"/>
      <c r="H101" s="1067"/>
      <c r="I101" s="1067"/>
      <c r="J101" s="1067"/>
      <c r="K101" s="1068"/>
      <c r="L101" s="1069"/>
      <c r="M101" s="1067"/>
      <c r="N101" s="2952"/>
      <c r="O101" s="2952"/>
      <c r="P101" s="2952"/>
      <c r="Q101" s="2952"/>
      <c r="R101" s="2952"/>
      <c r="S101" s="2952"/>
      <c r="T101" s="2952"/>
      <c r="U101" s="2952"/>
      <c r="V101" s="2952"/>
      <c r="W101" s="2952"/>
      <c r="X101" s="2952"/>
      <c r="Y101" s="2952"/>
      <c r="Z101" s="2952"/>
      <c r="AA101" s="2952"/>
      <c r="AB101" s="2952"/>
      <c r="AC101" s="2952"/>
      <c r="AD101" s="2952"/>
    </row>
    <row r="102" spans="1:30">
      <c r="A102" s="1067"/>
      <c r="B102" s="1067"/>
      <c r="C102" s="1067"/>
      <c r="D102" s="1067"/>
      <c r="E102" s="1067"/>
      <c r="F102" s="1067"/>
      <c r="G102" s="1067"/>
      <c r="H102" s="1067"/>
      <c r="I102" s="1067"/>
      <c r="J102" s="1067"/>
      <c r="K102" s="1068"/>
      <c r="L102" s="1069"/>
      <c r="M102" s="1067"/>
      <c r="N102" s="2952"/>
      <c r="O102" s="2952"/>
      <c r="P102" s="2952"/>
      <c r="Q102" s="2952"/>
      <c r="R102" s="2952"/>
      <c r="S102" s="2952"/>
      <c r="T102" s="2952"/>
      <c r="U102" s="2952"/>
      <c r="V102" s="2952"/>
      <c r="W102" s="2952"/>
      <c r="X102" s="2952"/>
      <c r="Y102" s="2952"/>
      <c r="Z102" s="2952"/>
      <c r="AA102" s="2952"/>
      <c r="AB102" s="2952"/>
      <c r="AC102" s="2952"/>
      <c r="AD102" s="2952"/>
    </row>
    <row r="103" spans="1:30">
      <c r="A103" s="1067"/>
      <c r="B103" s="1067"/>
      <c r="C103" s="1067"/>
      <c r="D103" s="1067"/>
      <c r="E103" s="1067"/>
      <c r="F103" s="1067"/>
      <c r="G103" s="1067"/>
      <c r="H103" s="1067"/>
      <c r="I103" s="1067"/>
      <c r="J103" s="1067"/>
      <c r="K103" s="1068"/>
      <c r="L103" s="1069"/>
      <c r="M103" s="1067"/>
      <c r="N103" s="1067"/>
      <c r="O103" s="1067"/>
      <c r="P103" s="2952"/>
      <c r="Q103" s="2952"/>
      <c r="R103" s="2952"/>
      <c r="S103" s="2952"/>
      <c r="T103" s="2952"/>
      <c r="U103" s="2952"/>
      <c r="V103" s="2952"/>
      <c r="W103" s="2952"/>
      <c r="X103" s="2952"/>
      <c r="Y103" s="2952"/>
      <c r="Z103" s="2952"/>
      <c r="AA103" s="2952"/>
      <c r="AB103" s="2952"/>
      <c r="AC103" s="2952"/>
      <c r="AD103" s="2952"/>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187" priority="18" stopIfTrue="1" operator="containsText" text="超过">
      <formula>NOT(ISERROR(SEARCH("超过",F40)))</formula>
    </cfRule>
  </conditionalFormatting>
  <conditionalFormatting sqref="J42">
    <cfRule type="containsText" dxfId="186" priority="17" stopIfTrue="1" operator="containsText" text="超过">
      <formula>NOT(ISERROR(SEARCH("超过",J42)))</formula>
    </cfRule>
  </conditionalFormatting>
  <conditionalFormatting sqref="H42">
    <cfRule type="containsText" dxfId="185" priority="16" stopIfTrue="1" operator="containsText" text="超过">
      <formula>NOT(ISERROR(SEARCH("超过",H42)))</formula>
    </cfRule>
  </conditionalFormatting>
  <conditionalFormatting sqref="F42">
    <cfRule type="containsText" dxfId="184" priority="15" stopIfTrue="1" operator="containsText" text="超过">
      <formula>NOT(ISERROR(SEARCH("超过",F42)))</formula>
    </cfRule>
  </conditionalFormatting>
  <conditionalFormatting sqref="F41 H41 J41">
    <cfRule type="containsText" dxfId="183" priority="14" stopIfTrue="1" operator="containsText" text="超过">
      <formula>NOT(ISERROR(SEARCH("超过",F41)))</formula>
    </cfRule>
  </conditionalFormatting>
  <conditionalFormatting sqref="E40">
    <cfRule type="expression" dxfId="182" priority="13" stopIfTrue="1">
      <formula>$F$40="超过30%"</formula>
    </cfRule>
  </conditionalFormatting>
  <conditionalFormatting sqref="G42">
    <cfRule type="expression" dxfId="181" priority="12" stopIfTrue="1">
      <formula>$H$54+$H$42="超过30%"</formula>
    </cfRule>
  </conditionalFormatting>
  <conditionalFormatting sqref="E41">
    <cfRule type="expression" dxfId="180" priority="11" stopIfTrue="1">
      <formula>$F$41="超过20%"</formula>
    </cfRule>
  </conditionalFormatting>
  <conditionalFormatting sqref="E42">
    <cfRule type="expression" dxfId="179" priority="10" stopIfTrue="1">
      <formula>$F$42="超过30%"</formula>
    </cfRule>
  </conditionalFormatting>
  <conditionalFormatting sqref="G40">
    <cfRule type="expression" dxfId="178" priority="9" stopIfTrue="1">
      <formula>$H$52+$H$40="超过30%"</formula>
    </cfRule>
  </conditionalFormatting>
  <conditionalFormatting sqref="G41">
    <cfRule type="expression" dxfId="177" priority="8" stopIfTrue="1">
      <formula>$H$53+$H$41="超过20%"</formula>
    </cfRule>
  </conditionalFormatting>
  <conditionalFormatting sqref="I40">
    <cfRule type="expression" dxfId="176" priority="7" stopIfTrue="1">
      <formula>$J$40="超过30%"</formula>
    </cfRule>
  </conditionalFormatting>
  <conditionalFormatting sqref="I41">
    <cfRule type="expression" dxfId="175" priority="6" stopIfTrue="1">
      <formula>$J$41="超过20%"</formula>
    </cfRule>
  </conditionalFormatting>
  <conditionalFormatting sqref="I42">
    <cfRule type="expression" dxfId="174" priority="5" stopIfTrue="1">
      <formula>$J$42="超过30%"</formula>
    </cfRule>
  </conditionalFormatting>
  <conditionalFormatting sqref="F36">
    <cfRule type="expression" dxfId="173" priority="4">
      <formula>$D$36="简单平均"</formula>
    </cfRule>
  </conditionalFormatting>
  <conditionalFormatting sqref="H36">
    <cfRule type="expression" dxfId="172" priority="3">
      <formula>$D$36="简单平均"</formula>
    </cfRule>
  </conditionalFormatting>
  <conditionalFormatting sqref="J36">
    <cfRule type="expression" dxfId="171" priority="2">
      <formula>$D$36="简单平均"</formula>
    </cfRule>
  </conditionalFormatting>
  <conditionalFormatting sqref="F7:F34 H7:H34 J7:J34">
    <cfRule type="cellIs" dxfId="170" priority="1" operator="notEqual">
      <formula>100</formula>
    </cfRule>
  </conditionalFormatting>
  <dataValidations count="18">
    <dataValidation type="list" allowBlank="1" showInputMessage="1" showErrorMessage="1" sqref="G15 E15 C15 I15" xr:uid="{00000000-0002-0000-1B00-000000000000}">
      <formula1>交通便捷度</formula1>
    </dataValidation>
    <dataValidation type="list" allowBlank="1" showInputMessage="1" showErrorMessage="1" sqref="G17 C17 E17 I17" xr:uid="{00000000-0002-0000-1B00-000001000000}">
      <formula1>公共配套设施</formula1>
    </dataValidation>
    <dataValidation type="list" allowBlank="1" showInputMessage="1" showErrorMessage="1" sqref="D1" xr:uid="{00000000-0002-0000-1B00-000002000000}">
      <formula1>项目类型</formula1>
    </dataValidation>
    <dataValidation type="list" allowBlank="1" showInputMessage="1" showErrorMessage="1" sqref="C10 E10 G10 I10" xr:uid="{00000000-0002-0000-1B00-000003000000}">
      <formula1>土地年限区间</formula1>
    </dataValidation>
    <dataValidation type="list" allowBlank="1" showInputMessage="1" showErrorMessage="1" sqref="C8 E8 G8 I8" xr:uid="{00000000-0002-0000-1B00-000004000000}">
      <formula1>仓储交易情况</formula1>
    </dataValidation>
    <dataValidation type="list" allowBlank="1" showInputMessage="1" showErrorMessage="1" sqref="E9 G9 I9" xr:uid="{00000000-0002-0000-1B00-000005000000}">
      <formula1>仓储用途</formula1>
    </dataValidation>
    <dataValidation type="list" allowBlank="1" showInputMessage="1" showErrorMessage="1" sqref="C21 E21 G21 I21" xr:uid="{00000000-0002-0000-1B00-000006000000}">
      <formula1>环境</formula1>
    </dataValidation>
    <dataValidation type="list" allowBlank="1" showInputMessage="1" showErrorMessage="1" sqref="C22 E22 G22 I22" xr:uid="{00000000-0002-0000-1B00-000007000000}">
      <formula1>仓储楼层</formula1>
    </dataValidation>
    <dataValidation type="list" allowBlank="1" showInputMessage="1" showErrorMessage="1" sqref="C26 E26 G26 I26" xr:uid="{00000000-0002-0000-1B00-000008000000}">
      <formula1>仓储公共部分装修</formula1>
    </dataValidation>
    <dataValidation type="list" allowBlank="1" showInputMessage="1" showErrorMessage="1" sqref="C29 E29 G29 I29" xr:uid="{00000000-0002-0000-1B00-000009000000}">
      <formula1>有无电梯</formula1>
    </dataValidation>
    <dataValidation type="list" allowBlank="1" showInputMessage="1" showErrorMessage="1" sqref="C31 E31 G31 I31" xr:uid="{00000000-0002-0000-1B00-00000A000000}">
      <formula1>是否封闭</formula1>
    </dataValidation>
    <dataValidation type="list" allowBlank="1" showInputMessage="1" showErrorMessage="1" sqref="B1" xr:uid="{00000000-0002-0000-1B00-00000B000000}">
      <formula1>地类判定</formula1>
    </dataValidation>
    <dataValidation type="list" allowBlank="1" showInputMessage="1" showErrorMessage="1" sqref="C28 E28 G28 I28" xr:uid="{00000000-0002-0000-1B00-00000C000000}">
      <formula1>仓储物业等级</formula1>
    </dataValidation>
    <dataValidation type="list" allowBlank="1" showInputMessage="1" showErrorMessage="1" sqref="C19 E19 G19 I19" xr:uid="{00000000-0002-0000-1B00-00000D000000}">
      <formula1>基础设施水平</formula1>
    </dataValidation>
    <dataValidation type="list" allowBlank="1" showInputMessage="1" showErrorMessage="1" sqref="F1" xr:uid="{00000000-0002-0000-1B00-00000E000000}">
      <formula1>"售价,租金"</formula1>
    </dataValidation>
    <dataValidation type="list" allowBlank="1" showInputMessage="1" showErrorMessage="1" sqref="C2" xr:uid="{00000000-0002-0000-1B00-00000F000000}">
      <formula1>"需扣减承租人权益,——"</formula1>
    </dataValidation>
    <dataValidation type="list" allowBlank="1" showInputMessage="1" showErrorMessage="1" sqref="F2" xr:uid="{00000000-0002-0000-1B00-000010000000}">
      <formula1>估价方法</formula1>
    </dataValidation>
    <dataValidation type="list" allowBlank="1" showInputMessage="1" showErrorMessage="1" sqref="D36" xr:uid="{00000000-0002-0000-1B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2563</v>
      </c>
      <c r="B1" s="355"/>
      <c r="C1" s="356" t="s">
        <v>2564</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1"/>
      <c r="M2" s="2962"/>
      <c r="N2" s="2962"/>
      <c r="O2" s="2962"/>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2565</v>
      </c>
      <c r="D3" s="1355"/>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30" ht="15">
      <c r="A4" s="361" t="s">
        <v>2466</v>
      </c>
      <c r="B4" s="362"/>
      <c r="C4" s="3781" t="s">
        <v>2467</v>
      </c>
      <c r="D4" s="3782"/>
      <c r="E4" s="3783" t="s">
        <v>2468</v>
      </c>
      <c r="F4" s="3784"/>
      <c r="G4" s="3781" t="s">
        <v>2469</v>
      </c>
      <c r="H4" s="3782"/>
      <c r="I4" s="3781" t="s">
        <v>2470</v>
      </c>
      <c r="J4" s="3782"/>
      <c r="K4" s="567" t="s">
        <v>2471</v>
      </c>
      <c r="L4" s="2942"/>
      <c r="M4" s="2943"/>
      <c r="N4" s="2943"/>
      <c r="O4" s="2943"/>
      <c r="P4" s="3785" t="s">
        <v>2472</v>
      </c>
      <c r="Q4" s="3786"/>
      <c r="R4" s="3768" t="s">
        <v>2468</v>
      </c>
      <c r="S4" s="3769"/>
      <c r="T4" s="3768" t="s">
        <v>2469</v>
      </c>
      <c r="U4" s="3769"/>
      <c r="V4" s="3793" t="s">
        <v>2470</v>
      </c>
      <c r="W4" s="3793"/>
      <c r="X4" s="1539"/>
      <c r="Y4" s="3768" t="s">
        <v>2472</v>
      </c>
      <c r="Z4" s="3769"/>
      <c r="AA4" s="3763" t="s">
        <v>2468</v>
      </c>
      <c r="AB4" s="3764" t="s">
        <v>2469</v>
      </c>
      <c r="AC4" s="3763" t="s">
        <v>2470</v>
      </c>
    </row>
    <row r="5" spans="1:30" ht="15">
      <c r="A5" s="364"/>
      <c r="B5" s="365"/>
      <c r="C5" s="3774" t="s">
        <v>2363</v>
      </c>
      <c r="D5" s="3775"/>
      <c r="E5" s="3772" t="s">
        <v>2364</v>
      </c>
      <c r="F5" s="3773"/>
      <c r="G5" s="3774" t="s">
        <v>2365</v>
      </c>
      <c r="H5" s="3775"/>
      <c r="I5" s="3774" t="s">
        <v>2366</v>
      </c>
      <c r="J5" s="3775"/>
      <c r="K5" s="567"/>
      <c r="L5" s="2942"/>
      <c r="M5" s="2943"/>
      <c r="N5" s="2943"/>
      <c r="O5" s="2943"/>
      <c r="P5" s="3787"/>
      <c r="Q5" s="3788"/>
      <c r="R5" s="3770"/>
      <c r="S5" s="3771"/>
      <c r="T5" s="3770"/>
      <c r="U5" s="3771"/>
      <c r="V5" s="3793"/>
      <c r="W5" s="3793"/>
      <c r="X5" s="1539"/>
      <c r="Y5" s="3770"/>
      <c r="Z5" s="3771"/>
      <c r="AA5" s="3764"/>
      <c r="AB5" s="3764"/>
      <c r="AC5" s="3764"/>
    </row>
    <row r="6" spans="1:30" ht="15.75" thickBot="1">
      <c r="A6" s="366"/>
      <c r="B6" s="367"/>
      <c r="C6" s="3776" t="s">
        <v>2367</v>
      </c>
      <c r="D6" s="3777"/>
      <c r="E6" s="3778" t="s">
        <v>2367</v>
      </c>
      <c r="F6" s="3779"/>
      <c r="G6" s="3776" t="s">
        <v>2367</v>
      </c>
      <c r="H6" s="3777"/>
      <c r="I6" s="3776" t="s">
        <v>2367</v>
      </c>
      <c r="J6" s="3777"/>
      <c r="K6" s="567" t="s">
        <v>2368</v>
      </c>
      <c r="L6" s="2942"/>
      <c r="M6" s="2943"/>
      <c r="N6" s="2943"/>
      <c r="O6" s="2943"/>
      <c r="P6" s="3789"/>
      <c r="Q6" s="3790"/>
      <c r="R6" s="3770"/>
      <c r="S6" s="3771"/>
      <c r="T6" s="3791"/>
      <c r="U6" s="3792"/>
      <c r="V6" s="3793"/>
      <c r="W6" s="3793"/>
      <c r="X6" s="1539"/>
      <c r="Y6" s="3791"/>
      <c r="Z6" s="3792"/>
      <c r="AA6" s="3765"/>
      <c r="AB6" s="3765"/>
      <c r="AC6" s="3765"/>
    </row>
    <row r="7" spans="1:30" s="113" customFormat="1" ht="15.75" thickBot="1">
      <c r="A7" s="368" t="s">
        <v>2369</v>
      </c>
      <c r="B7" s="369"/>
      <c r="C7" s="370">
        <f>'数据-取费表'!B2</f>
        <v>42914</v>
      </c>
      <c r="D7" s="371">
        <v>100</v>
      </c>
      <c r="E7" s="372"/>
      <c r="F7" s="373">
        <f>SUMIF(70:70,YEAR(E7)&amp;"-"&amp;INT((MONTH(E7)+2)/3),71:71)</f>
        <v>0</v>
      </c>
      <c r="G7" s="2160"/>
      <c r="H7" s="371">
        <f>SUMIF(70:70,YEAR(G7)&amp;"-"&amp;INT((MONTH(G7)+2)/3),71:71)</f>
        <v>0</v>
      </c>
      <c r="I7" s="2160"/>
      <c r="J7" s="371">
        <f>SUMIF(70:70,YEAR(I7)&amp;"-"&amp;INT((MONTH(I7)+2)/3),71:71)</f>
        <v>0</v>
      </c>
      <c r="K7" s="568"/>
      <c r="L7" s="2944"/>
      <c r="M7" s="2945"/>
      <c r="N7" s="2945"/>
      <c r="O7" s="2945"/>
      <c r="P7" s="3766" t="s">
        <v>2370</v>
      </c>
      <c r="Q7" s="3794"/>
      <c r="R7" s="710" t="s">
        <v>17</v>
      </c>
      <c r="S7" s="711">
        <f t="shared" ref="S7:S15" si="0">F7</f>
        <v>0</v>
      </c>
      <c r="T7" s="710" t="s">
        <v>17</v>
      </c>
      <c r="U7" s="711">
        <f t="shared" ref="U7:U15" si="1">H7</f>
        <v>0</v>
      </c>
      <c r="V7" s="710" t="s">
        <v>17</v>
      </c>
      <c r="W7" s="711">
        <f t="shared" ref="W7:W15" si="2">J7</f>
        <v>0</v>
      </c>
      <c r="X7" s="712"/>
      <c r="Y7" s="3766" t="s">
        <v>2370</v>
      </c>
      <c r="Z7" s="3767"/>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4"/>
      <c r="M8" s="2945"/>
      <c r="N8" s="2945"/>
      <c r="O8" s="2945"/>
      <c r="P8" s="3766" t="s">
        <v>2373</v>
      </c>
      <c r="Q8" s="3767"/>
      <c r="R8" s="710" t="s">
        <v>17</v>
      </c>
      <c r="S8" s="711">
        <f t="shared" si="0"/>
        <v>0</v>
      </c>
      <c r="T8" s="710" t="s">
        <v>17</v>
      </c>
      <c r="U8" s="711">
        <f t="shared" si="1"/>
        <v>0</v>
      </c>
      <c r="V8" s="710" t="s">
        <v>17</v>
      </c>
      <c r="W8" s="711">
        <f t="shared" si="2"/>
        <v>0</v>
      </c>
      <c r="X8" s="712"/>
      <c r="Y8" s="3766" t="s">
        <v>2373</v>
      </c>
      <c r="Z8" s="3767"/>
      <c r="AA8" s="713" t="e">
        <f t="shared" ref="AA8:AA45" si="3">D8/F8</f>
        <v>#DIV/0!</v>
      </c>
      <c r="AB8" s="713" t="e">
        <f t="shared" ref="AB8:AB45" si="4">D8/H8</f>
        <v>#DIV/0!</v>
      </c>
      <c r="AC8" s="713" t="e">
        <f t="shared" ref="AC8:AC45" si="5">D8/J8</f>
        <v>#DIV/0!</v>
      </c>
    </row>
    <row r="9" spans="1:30" s="113" customFormat="1">
      <c r="A9" s="375" t="s">
        <v>2374</v>
      </c>
      <c r="B9" s="67" t="s">
        <v>2375</v>
      </c>
      <c r="C9" s="2163"/>
      <c r="D9" s="131">
        <v>100</v>
      </c>
      <c r="E9" s="2163"/>
      <c r="F9" s="131">
        <f>SUMIF(75:75,E9,76:76)-SUMIF(75:75,C9,76:76)+100</f>
        <v>100</v>
      </c>
      <c r="G9" s="2163"/>
      <c r="H9" s="131">
        <f>SUMIF(75:75,G9,76:76)-SUMIF(75:75,C9,76:76)+100</f>
        <v>100</v>
      </c>
      <c r="I9" s="2163"/>
      <c r="J9" s="131">
        <f>SUMIF(75:75,I9,76:76)-SUMIF(75:75,C9,76:76)+100</f>
        <v>100</v>
      </c>
      <c r="K9" s="568"/>
      <c r="L9" s="2944"/>
      <c r="M9" s="2945"/>
      <c r="N9" s="2945"/>
      <c r="O9" s="2999"/>
      <c r="P9" s="3798" t="s">
        <v>2376</v>
      </c>
      <c r="Q9" s="1527" t="str">
        <f t="shared" ref="Q9:Q15" si="6">B9</f>
        <v>用途</v>
      </c>
      <c r="R9" s="710" t="s">
        <v>17</v>
      </c>
      <c r="S9" s="711">
        <f t="shared" si="0"/>
        <v>100</v>
      </c>
      <c r="T9" s="710" t="s">
        <v>17</v>
      </c>
      <c r="U9" s="711">
        <f t="shared" si="1"/>
        <v>100</v>
      </c>
      <c r="V9" s="710" t="s">
        <v>17</v>
      </c>
      <c r="W9" s="711">
        <f t="shared" si="2"/>
        <v>100</v>
      </c>
      <c r="X9" s="712"/>
      <c r="Y9" s="3708"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123</v>
      </c>
      <c r="G10" s="422"/>
      <c r="H10" s="132">
        <f>ROUND(100/'数据-取费表'!G16,0)</f>
        <v>123</v>
      </c>
      <c r="I10" s="422"/>
      <c r="J10" s="132">
        <f>ROUND(100/'数据-取费表'!G16,0)</f>
        <v>123</v>
      </c>
      <c r="K10" s="628"/>
      <c r="L10" s="2946"/>
      <c r="M10" s="2947"/>
      <c r="N10" s="2947"/>
      <c r="O10" s="3000"/>
      <c r="P10" s="3798"/>
      <c r="Q10" s="1527" t="str">
        <f t="shared" si="6"/>
        <v>土地使用年限（年）</v>
      </c>
      <c r="R10" s="710" t="s">
        <v>17</v>
      </c>
      <c r="S10" s="711">
        <f t="shared" si="0"/>
        <v>123</v>
      </c>
      <c r="T10" s="710" t="s">
        <v>17</v>
      </c>
      <c r="U10" s="711">
        <f t="shared" si="1"/>
        <v>123</v>
      </c>
      <c r="V10" s="710" t="s">
        <v>17</v>
      </c>
      <c r="W10" s="711">
        <f t="shared" si="2"/>
        <v>123</v>
      </c>
      <c r="X10" s="712"/>
      <c r="Y10" s="3708"/>
      <c r="Z10" s="55" t="str">
        <f t="shared" si="7"/>
        <v>土地使用年限（年）</v>
      </c>
      <c r="AA10" s="713">
        <f t="shared" si="3"/>
        <v>0.81300813008130079</v>
      </c>
      <c r="AB10" s="713">
        <f t="shared" si="4"/>
        <v>0.81300813008130079</v>
      </c>
      <c r="AC10" s="713">
        <f t="shared" si="5"/>
        <v>0.81300813008130079</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8"/>
      <c r="M11" s="2943"/>
      <c r="N11" s="2943"/>
      <c r="O11" s="3001"/>
      <c r="P11" s="3798"/>
      <c r="Q11" s="1527" t="str">
        <f t="shared" si="6"/>
        <v>容积率</v>
      </c>
      <c r="R11" s="710" t="s">
        <v>17</v>
      </c>
      <c r="S11" s="711" t="e">
        <f t="shared" si="0"/>
        <v>#N/A</v>
      </c>
      <c r="T11" s="710" t="s">
        <v>17</v>
      </c>
      <c r="U11" s="711" t="e">
        <f t="shared" si="1"/>
        <v>#N/A</v>
      </c>
      <c r="V11" s="710" t="s">
        <v>17</v>
      </c>
      <c r="W11" s="711" t="e">
        <f t="shared" si="2"/>
        <v>#N/A</v>
      </c>
      <c r="X11" s="712"/>
      <c r="Y11" s="3708"/>
      <c r="Z11" s="55" t="str">
        <f t="shared" si="7"/>
        <v>容积率</v>
      </c>
      <c r="AA11" s="713" t="e">
        <f t="shared" si="3"/>
        <v>#N/A</v>
      </c>
      <c r="AB11" s="713" t="e">
        <f t="shared" si="4"/>
        <v>#N/A</v>
      </c>
      <c r="AC11" s="713" t="e">
        <f t="shared" si="5"/>
        <v>#N/A</v>
      </c>
    </row>
    <row r="12" spans="1:30" s="113" customFormat="1" ht="15">
      <c r="A12" s="390"/>
      <c r="B12" s="2079" t="s">
        <v>2566</v>
      </c>
      <c r="C12" s="391"/>
      <c r="D12" s="392">
        <v>100</v>
      </c>
      <c r="E12" s="424"/>
      <c r="F12" s="132">
        <f>SUMIF(82:82,E12,83:83)-SUMIF(82:82,C12,83:83)+100</f>
        <v>100</v>
      </c>
      <c r="G12" s="422"/>
      <c r="H12" s="132">
        <f>SUMIF(82:82,G12,83:83)-SUMIF(82:82,C12,83:83)+100</f>
        <v>100</v>
      </c>
      <c r="I12" s="424"/>
      <c r="J12" s="132">
        <f>SUMIF(82:82,I12,83:83)-SUMIF(82:82,C12,83:83)+100</f>
        <v>100</v>
      </c>
      <c r="K12" s="628"/>
      <c r="L12" s="2944"/>
      <c r="M12" s="2945"/>
      <c r="N12" s="2945"/>
      <c r="O12" s="2999"/>
      <c r="P12" s="3798"/>
      <c r="Q12" s="1527" t="str">
        <f t="shared" si="6"/>
        <v>配建</v>
      </c>
      <c r="R12" s="710" t="s">
        <v>17</v>
      </c>
      <c r="S12" s="711">
        <f t="shared" si="0"/>
        <v>100</v>
      </c>
      <c r="T12" s="710" t="s">
        <v>17</v>
      </c>
      <c r="U12" s="711">
        <f t="shared" si="1"/>
        <v>100</v>
      </c>
      <c r="V12" s="710" t="s">
        <v>17</v>
      </c>
      <c r="W12" s="711">
        <f t="shared" si="2"/>
        <v>100</v>
      </c>
      <c r="X12" s="712"/>
      <c r="Y12" s="3708"/>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49"/>
      <c r="M13" s="2943"/>
      <c r="N13" s="2943"/>
      <c r="O13" s="3001"/>
      <c r="P13" s="3798"/>
      <c r="Q13" s="1527">
        <f t="shared" si="6"/>
        <v>111</v>
      </c>
      <c r="R13" s="710" t="s">
        <v>17</v>
      </c>
      <c r="S13" s="711">
        <f t="shared" si="0"/>
        <v>100</v>
      </c>
      <c r="T13" s="710" t="s">
        <v>17</v>
      </c>
      <c r="U13" s="711">
        <f t="shared" si="1"/>
        <v>100</v>
      </c>
      <c r="V13" s="710" t="s">
        <v>17</v>
      </c>
      <c r="W13" s="711">
        <f t="shared" si="2"/>
        <v>100</v>
      </c>
      <c r="X13" s="712"/>
      <c r="Y13" s="3708"/>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49"/>
      <c r="M14" s="2943"/>
      <c r="N14" s="2943"/>
      <c r="O14" s="3001"/>
      <c r="P14" s="3798"/>
      <c r="Q14" s="1527">
        <f t="shared" si="6"/>
        <v>111</v>
      </c>
      <c r="R14" s="710" t="s">
        <v>17</v>
      </c>
      <c r="S14" s="711">
        <f t="shared" si="0"/>
        <v>100</v>
      </c>
      <c r="T14" s="710" t="s">
        <v>17</v>
      </c>
      <c r="U14" s="711">
        <f t="shared" si="1"/>
        <v>100</v>
      </c>
      <c r="V14" s="710" t="s">
        <v>17</v>
      </c>
      <c r="W14" s="711">
        <f t="shared" si="2"/>
        <v>100</v>
      </c>
      <c r="X14" s="712"/>
      <c r="Y14" s="3708"/>
      <c r="Z14" s="55">
        <f t="shared" si="7"/>
        <v>111</v>
      </c>
      <c r="AA14" s="713">
        <f>D14/F14</f>
        <v>1</v>
      </c>
      <c r="AB14" s="713">
        <f>D14/H14</f>
        <v>1</v>
      </c>
      <c r="AC14" s="713">
        <f>D14/J14</f>
        <v>1</v>
      </c>
    </row>
    <row r="15" spans="1:30" ht="99.75">
      <c r="A15" s="399" t="s">
        <v>2380</v>
      </c>
      <c r="B15" s="65" t="s">
        <v>1943</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9"/>
      <c r="M15" s="2943"/>
      <c r="N15" s="2943"/>
      <c r="O15" s="3001"/>
      <c r="P15" s="3800" t="s">
        <v>2381</v>
      </c>
      <c r="Q15" s="1536" t="str">
        <f t="shared" si="6"/>
        <v>居住社区成熟度</v>
      </c>
      <c r="R15" s="714" t="s">
        <v>17</v>
      </c>
      <c r="S15" s="715">
        <f t="shared" si="0"/>
        <v>100</v>
      </c>
      <c r="T15" s="714" t="s">
        <v>17</v>
      </c>
      <c r="U15" s="715">
        <f t="shared" si="1"/>
        <v>100</v>
      </c>
      <c r="V15" s="714" t="s">
        <v>17</v>
      </c>
      <c r="W15" s="715">
        <f t="shared" si="2"/>
        <v>100</v>
      </c>
      <c r="X15" s="1539"/>
      <c r="Y15" s="3800" t="s">
        <v>2381</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49"/>
      <c r="M16" s="2943"/>
      <c r="N16" s="2943"/>
      <c r="O16" s="3001"/>
      <c r="P16" s="3801"/>
      <c r="Q16" s="1536"/>
      <c r="R16" s="714"/>
      <c r="S16" s="715"/>
      <c r="T16" s="714"/>
      <c r="U16" s="715"/>
      <c r="V16" s="714"/>
      <c r="W16" s="715"/>
      <c r="X16" s="1539"/>
      <c r="Y16" s="3801"/>
      <c r="Z16" s="1540"/>
      <c r="AA16" s="1537">
        <v>1</v>
      </c>
      <c r="AB16" s="1537">
        <v>1</v>
      </c>
      <c r="AC16" s="1537">
        <v>1</v>
      </c>
    </row>
    <row r="17" spans="1:29" ht="156.75">
      <c r="A17" s="387"/>
      <c r="B17" s="410" t="s">
        <v>2474</v>
      </c>
      <c r="C17" s="2141" t="str">
        <f>估价对象房地状况!C16</f>
        <v>估价对象位于东四商圈，位于商业类一级地价区，周边有隆福大厦、隆福广场、物美超市，东四大街、朝内大街沿街商业氛围成熟，人流量大，商业繁华度较好。</v>
      </c>
      <c r="D17" s="409">
        <v>100</v>
      </c>
      <c r="E17" s="411"/>
      <c r="F17" s="409">
        <f>SUMIF(90:90,E18,91:91)-SUMIF(90:90,C18,91:91)+100</f>
        <v>100</v>
      </c>
      <c r="G17" s="411"/>
      <c r="H17" s="414">
        <f>SUMIF(90:90,G18,91:91)-SUMIF(90:90,C18,91:91)+100</f>
        <v>100</v>
      </c>
      <c r="I17" s="413"/>
      <c r="J17" s="414">
        <f>SUMIF(90:90,I18,91:91)-SUMIF(90:90,C18,91:91)+100</f>
        <v>100</v>
      </c>
      <c r="K17" s="629"/>
      <c r="L17" s="2949"/>
      <c r="M17" s="2943"/>
      <c r="N17" s="2943"/>
      <c r="O17" s="3001"/>
      <c r="P17" s="3801"/>
      <c r="Q17" s="1536" t="str">
        <f>B17</f>
        <v>商业繁华度</v>
      </c>
      <c r="R17" s="714" t="s">
        <v>17</v>
      </c>
      <c r="S17" s="715">
        <f>F17</f>
        <v>100</v>
      </c>
      <c r="T17" s="714" t="s">
        <v>17</v>
      </c>
      <c r="U17" s="715">
        <f>H17</f>
        <v>100</v>
      </c>
      <c r="V17" s="714" t="s">
        <v>17</v>
      </c>
      <c r="W17" s="715">
        <f>J17</f>
        <v>100</v>
      </c>
      <c r="X17" s="1539"/>
      <c r="Y17" s="3801"/>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49"/>
      <c r="M18" s="2943"/>
      <c r="N18" s="2943"/>
      <c r="O18" s="3001"/>
      <c r="P18" s="3801"/>
      <c r="Q18" s="1536"/>
      <c r="R18" s="714"/>
      <c r="S18" s="715"/>
      <c r="T18" s="714"/>
      <c r="U18" s="715"/>
      <c r="V18" s="714"/>
      <c r="W18" s="715"/>
      <c r="X18" s="1539"/>
      <c r="Y18" s="3801"/>
      <c r="Z18" s="1540"/>
      <c r="AA18" s="1537">
        <v>1</v>
      </c>
      <c r="AB18" s="1537">
        <v>1</v>
      </c>
      <c r="AC18" s="1537">
        <v>1</v>
      </c>
    </row>
    <row r="19" spans="1:29" ht="199.5">
      <c r="A19" s="387"/>
      <c r="B19" s="410" t="s">
        <v>2508</v>
      </c>
      <c r="C19" s="2141" t="str">
        <f>估价对象房地状况!C17</f>
        <v>估价对象位于东四商圈，位于办公类一级地价区，有国家民航总局、国务院发展研究中心机关办公楼、隆福大厦由商场主体改写字楼，周边商业写字楼项目较少，没有形成聚集的写字楼办公区，办公集聚度一般。</v>
      </c>
      <c r="D19" s="414">
        <v>100</v>
      </c>
      <c r="E19" s="416"/>
      <c r="F19" s="414">
        <f>SUMIF(92:92,E20,93:93)-SUMIF(92:92,C20,93:93)+100</f>
        <v>100</v>
      </c>
      <c r="G19" s="416"/>
      <c r="H19" s="409">
        <f>SUMIF(92:92,G20,93:93)-SUMIF(92:92,C20,93:93)+100</f>
        <v>100</v>
      </c>
      <c r="I19" s="418"/>
      <c r="J19" s="409">
        <f>SUMIF(92:92,I20,93:93)-SUMIF(92:92,C20,93:93)+100</f>
        <v>100</v>
      </c>
      <c r="K19" s="629"/>
      <c r="L19" s="2949"/>
      <c r="M19" s="2943"/>
      <c r="N19" s="2943"/>
      <c r="O19" s="3001"/>
      <c r="P19" s="3801"/>
      <c r="Q19" s="1536" t="str">
        <f>B19</f>
        <v>办公集聚程度</v>
      </c>
      <c r="R19" s="714" t="s">
        <v>17</v>
      </c>
      <c r="S19" s="715">
        <f>F19</f>
        <v>100</v>
      </c>
      <c r="T19" s="714" t="s">
        <v>17</v>
      </c>
      <c r="U19" s="715">
        <f>H19</f>
        <v>100</v>
      </c>
      <c r="V19" s="714" t="s">
        <v>17</v>
      </c>
      <c r="W19" s="715">
        <f>J19</f>
        <v>100</v>
      </c>
      <c r="X19" s="1539"/>
      <c r="Y19" s="3801"/>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49"/>
      <c r="M20" s="2943"/>
      <c r="N20" s="2943"/>
      <c r="O20" s="3001"/>
      <c r="P20" s="3801"/>
      <c r="Q20" s="1536"/>
      <c r="R20" s="714"/>
      <c r="S20" s="715"/>
      <c r="T20" s="714"/>
      <c r="U20" s="715"/>
      <c r="V20" s="714"/>
      <c r="W20" s="715"/>
      <c r="X20" s="1539"/>
      <c r="Y20" s="3801"/>
      <c r="Z20" s="1540"/>
      <c r="AA20" s="1537">
        <v>1</v>
      </c>
      <c r="AB20" s="1537">
        <v>1</v>
      </c>
      <c r="AC20" s="1537">
        <v>1</v>
      </c>
    </row>
    <row r="21" spans="1:29" ht="228">
      <c r="A21" s="387"/>
      <c r="B21" s="410" t="s">
        <v>2529</v>
      </c>
      <c r="C21" s="2086" t="str">
        <f>估价对象房地状况!C18</f>
        <v>估价对象位于东四路口的东南角，紧临城市主干道-朝阳门内大街，西距东四南大街100米，距离地铁5号线（2007年通车）与6号线（2012年通车）东四站75米，多条公交线路通达，公共交通便利，停车便捷度好，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49"/>
      <c r="M21" s="2943"/>
      <c r="N21" s="2943"/>
      <c r="O21" s="3001"/>
      <c r="P21" s="3801"/>
      <c r="Q21" s="1536" t="str">
        <f>B21</f>
        <v>交通便捷度</v>
      </c>
      <c r="R21" s="714" t="s">
        <v>17</v>
      </c>
      <c r="S21" s="715">
        <f>F21</f>
        <v>100</v>
      </c>
      <c r="T21" s="714" t="s">
        <v>17</v>
      </c>
      <c r="U21" s="715">
        <f>H21</f>
        <v>100</v>
      </c>
      <c r="V21" s="714" t="s">
        <v>17</v>
      </c>
      <c r="W21" s="715">
        <f>J21</f>
        <v>100</v>
      </c>
      <c r="X21" s="1539"/>
      <c r="Y21" s="3801"/>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49"/>
      <c r="M22" s="2943"/>
      <c r="N22" s="2943"/>
      <c r="O22" s="3001"/>
      <c r="P22" s="3801"/>
      <c r="Q22" s="1536"/>
      <c r="R22" s="714"/>
      <c r="S22" s="715"/>
      <c r="T22" s="714"/>
      <c r="U22" s="715"/>
      <c r="V22" s="714"/>
      <c r="W22" s="715"/>
      <c r="X22" s="1539"/>
      <c r="Y22" s="3801"/>
      <c r="Z22" s="1540"/>
      <c r="AA22" s="1537">
        <v>1</v>
      </c>
      <c r="AB22" s="1537">
        <v>1</v>
      </c>
      <c r="AC22" s="1537">
        <v>1</v>
      </c>
    </row>
    <row r="23" spans="1:29" ht="15">
      <c r="A23" s="364"/>
      <c r="B23" s="410" t="s">
        <v>2567</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9"/>
      <c r="M23" s="2943"/>
      <c r="N23" s="2943"/>
      <c r="O23" s="3001"/>
      <c r="P23" s="3801"/>
      <c r="Q23" s="1536" t="str">
        <f t="shared" ref="Q23:Q37" si="8">B23</f>
        <v>区域土地利用方向</v>
      </c>
      <c r="R23" s="714" t="s">
        <v>17</v>
      </c>
      <c r="S23" s="715">
        <f>F23</f>
        <v>100</v>
      </c>
      <c r="T23" s="714" t="s">
        <v>17</v>
      </c>
      <c r="U23" s="715">
        <f>H23</f>
        <v>100</v>
      </c>
      <c r="V23" s="714" t="s">
        <v>17</v>
      </c>
      <c r="W23" s="715">
        <f>J23</f>
        <v>100</v>
      </c>
      <c r="X23" s="1539"/>
      <c r="Y23" s="3801"/>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49"/>
      <c r="M24" s="2943"/>
      <c r="N24" s="2943"/>
      <c r="O24" s="3001"/>
      <c r="P24" s="3801"/>
      <c r="Q24" s="1536"/>
      <c r="R24" s="714"/>
      <c r="S24" s="715"/>
      <c r="T24" s="714"/>
      <c r="U24" s="715"/>
      <c r="V24" s="714"/>
      <c r="W24" s="715"/>
      <c r="X24" s="1539"/>
      <c r="Y24" s="3801"/>
      <c r="Z24" s="1540"/>
      <c r="AA24" s="1537"/>
      <c r="AB24" s="1537"/>
      <c r="AC24" s="1537"/>
    </row>
    <row r="25" spans="1:29" ht="57">
      <c r="A25" s="364"/>
      <c r="B25" s="1293" t="s">
        <v>2568</v>
      </c>
      <c r="C25" s="2141" t="str">
        <f>估价对象房地状况!C20</f>
        <v>周边有隆福寺广场、东四清真寺等，自然及人文环境较好</v>
      </c>
      <c r="D25" s="409">
        <v>100</v>
      </c>
      <c r="E25" s="411"/>
      <c r="F25" s="409">
        <f>SUMIF(98:98,E26,99:99)-SUMIF(98:98,C26,99:99)+100</f>
        <v>100</v>
      </c>
      <c r="G25" s="411"/>
      <c r="H25" s="409">
        <f>SUMIF(98:98,G26,99:99)-SUMIF(98:98,C26,99:99)+100</f>
        <v>100</v>
      </c>
      <c r="I25" s="413"/>
      <c r="J25" s="409">
        <f>SUMIF(98:98,I26,99:99)-SUMIF(98:98,C26,99:99)+100</f>
        <v>100</v>
      </c>
      <c r="K25" s="629"/>
      <c r="L25" s="2949"/>
      <c r="M25" s="2943"/>
      <c r="N25" s="2943"/>
      <c r="O25" s="3001"/>
      <c r="P25" s="3801"/>
      <c r="Q25" s="1536" t="str">
        <f t="shared" si="8"/>
        <v>自然及人文环境状况</v>
      </c>
      <c r="R25" s="714" t="s">
        <v>17</v>
      </c>
      <c r="S25" s="715">
        <f>F25</f>
        <v>100</v>
      </c>
      <c r="T25" s="714" t="s">
        <v>17</v>
      </c>
      <c r="U25" s="715">
        <f>H25</f>
        <v>100</v>
      </c>
      <c r="V25" s="714" t="s">
        <v>17</v>
      </c>
      <c r="W25" s="715">
        <f>J25</f>
        <v>100</v>
      </c>
      <c r="X25" s="1539"/>
      <c r="Y25" s="3801"/>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49"/>
      <c r="M26" s="2943"/>
      <c r="N26" s="2943"/>
      <c r="O26" s="3001"/>
      <c r="P26" s="3801"/>
      <c r="Q26" s="1536"/>
      <c r="R26" s="714"/>
      <c r="S26" s="715"/>
      <c r="T26" s="714"/>
      <c r="U26" s="715"/>
      <c r="V26" s="714"/>
      <c r="W26" s="715"/>
      <c r="X26" s="1539"/>
      <c r="Y26" s="3801"/>
      <c r="Z26" s="1540"/>
      <c r="AA26" s="1537">
        <v>1</v>
      </c>
      <c r="AB26" s="1537">
        <v>1</v>
      </c>
      <c r="AC26" s="1537">
        <v>1</v>
      </c>
    </row>
    <row r="27" spans="1:29" s="113" customFormat="1" ht="285">
      <c r="A27" s="605"/>
      <c r="B27" s="1293" t="s">
        <v>2475</v>
      </c>
      <c r="C27" s="2086" t="str">
        <f>估价对象房地状况!C21</f>
        <v>估价对象所在区域有购物场所（隆福广场、物美超市等），教育机构（灯市口小学、北京市第一六六中学），医疗网点（北京市东城区口腔医院、北京市东城区朝阳门社区卫生服务中心），金融网点（中国邮政储蓄银行、中国工商银行、北京农商银行、广发银行），综合分析，公共配套设施齐备程度较好。</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4"/>
      <c r="M27" s="2945"/>
      <c r="N27" s="2945"/>
      <c r="O27" s="2999"/>
      <c r="P27" s="3801"/>
      <c r="Q27" s="1527" t="str">
        <f t="shared" si="8"/>
        <v>公共配套设施</v>
      </c>
      <c r="R27" s="710" t="s">
        <v>17</v>
      </c>
      <c r="S27" s="711">
        <f>F27</f>
        <v>100</v>
      </c>
      <c r="T27" s="710" t="s">
        <v>17</v>
      </c>
      <c r="U27" s="711">
        <f>H27</f>
        <v>100</v>
      </c>
      <c r="V27" s="710" t="s">
        <v>17</v>
      </c>
      <c r="W27" s="711">
        <f>J27</f>
        <v>100</v>
      </c>
      <c r="X27" s="712"/>
      <c r="Y27" s="3801"/>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4"/>
      <c r="M28" s="2945"/>
      <c r="N28" s="2945"/>
      <c r="O28" s="2999"/>
      <c r="P28" s="3801"/>
      <c r="Q28" s="1527"/>
      <c r="R28" s="710"/>
      <c r="S28" s="711"/>
      <c r="T28" s="710"/>
      <c r="U28" s="711"/>
      <c r="V28" s="710"/>
      <c r="W28" s="711"/>
      <c r="X28" s="712"/>
      <c r="Y28" s="3801"/>
      <c r="Z28" s="55"/>
      <c r="AA28" s="1537">
        <v>1</v>
      </c>
      <c r="AB28" s="1537">
        <v>1</v>
      </c>
      <c r="AC28" s="1537">
        <v>1</v>
      </c>
    </row>
    <row r="29" spans="1:29" s="113" customFormat="1" ht="42.75">
      <c r="A29" s="605"/>
      <c r="B29" s="1293" t="s">
        <v>2476</v>
      </c>
      <c r="C29" s="2086" t="str">
        <f>估价对象房地状况!C22</f>
        <v>估价对象所在区域基础设施水平-七通</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4"/>
      <c r="M29" s="2945"/>
      <c r="N29" s="2945"/>
      <c r="O29" s="2999"/>
      <c r="P29" s="3801"/>
      <c r="Q29" s="1527" t="str">
        <f>B29</f>
        <v>基础设施水平</v>
      </c>
      <c r="R29" s="710" t="s">
        <v>17</v>
      </c>
      <c r="S29" s="711">
        <f>F29</f>
        <v>100</v>
      </c>
      <c r="T29" s="710" t="s">
        <v>17</v>
      </c>
      <c r="U29" s="711">
        <f>H29</f>
        <v>100</v>
      </c>
      <c r="V29" s="710" t="s">
        <v>17</v>
      </c>
      <c r="W29" s="711">
        <f>J29</f>
        <v>100</v>
      </c>
      <c r="X29" s="712"/>
      <c r="Y29" s="3801"/>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4"/>
      <c r="M30" s="2945"/>
      <c r="N30" s="2945"/>
      <c r="O30" s="2999"/>
      <c r="P30" s="3801"/>
      <c r="Q30" s="1527"/>
      <c r="R30" s="710"/>
      <c r="S30" s="711"/>
      <c r="T30" s="710"/>
      <c r="U30" s="711"/>
      <c r="V30" s="710"/>
      <c r="W30" s="711"/>
      <c r="X30" s="712"/>
      <c r="Y30" s="3801"/>
      <c r="Z30" s="55"/>
      <c r="AA30" s="1537">
        <v>1</v>
      </c>
      <c r="AB30" s="1537">
        <v>1</v>
      </c>
      <c r="AC30" s="1537">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9"/>
      <c r="M31" s="2943"/>
      <c r="N31" s="2943"/>
      <c r="O31" s="3001"/>
      <c r="P31" s="3801"/>
      <c r="Q31" s="1536" t="str">
        <f t="shared" si="8"/>
        <v>临街状况</v>
      </c>
      <c r="R31" s="714" t="s">
        <v>17</v>
      </c>
      <c r="S31" s="715">
        <f t="shared" ref="S31:S45" si="9">F31</f>
        <v>100</v>
      </c>
      <c r="T31" s="714" t="s">
        <v>17</v>
      </c>
      <c r="U31" s="715">
        <f t="shared" ref="U31:U45" si="10">H31</f>
        <v>100</v>
      </c>
      <c r="V31" s="714" t="s">
        <v>17</v>
      </c>
      <c r="W31" s="715">
        <f t="shared" ref="W31:W45" si="11">J31</f>
        <v>100</v>
      </c>
      <c r="X31" s="1539"/>
      <c r="Y31" s="3801"/>
      <c r="Z31" s="1540" t="str">
        <f t="shared" ref="Z31:Z45" si="12">Q31</f>
        <v>临街状况</v>
      </c>
      <c r="AA31" s="1537">
        <f t="shared" si="3"/>
        <v>1</v>
      </c>
      <c r="AB31" s="1537">
        <f t="shared" si="4"/>
        <v>1</v>
      </c>
      <c r="AC31" s="1537">
        <f t="shared" si="5"/>
        <v>1</v>
      </c>
    </row>
    <row r="32" spans="1:29" ht="27">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9"/>
      <c r="M32" s="2943"/>
      <c r="N32" s="2943"/>
      <c r="O32" s="3001"/>
      <c r="P32" s="3801"/>
      <c r="Q32" s="1536" t="str">
        <f t="shared" si="8"/>
        <v>毗邻道路的类型与等级</v>
      </c>
      <c r="R32" s="714" t="s">
        <v>17</v>
      </c>
      <c r="S32" s="715">
        <f t="shared" si="9"/>
        <v>100</v>
      </c>
      <c r="T32" s="714" t="s">
        <v>17</v>
      </c>
      <c r="U32" s="715">
        <f t="shared" si="10"/>
        <v>100</v>
      </c>
      <c r="V32" s="714" t="s">
        <v>17</v>
      </c>
      <c r="W32" s="715">
        <f t="shared" si="11"/>
        <v>100</v>
      </c>
      <c r="X32" s="1539"/>
      <c r="Y32" s="3801"/>
      <c r="Z32" s="1540" t="str">
        <f t="shared" si="12"/>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49"/>
      <c r="M33" s="2943"/>
      <c r="N33" s="2943"/>
      <c r="O33" s="3001"/>
      <c r="P33" s="3801"/>
      <c r="Q33" s="1536"/>
      <c r="R33" s="714"/>
      <c r="S33" s="715"/>
      <c r="T33" s="714"/>
      <c r="U33" s="715"/>
      <c r="V33" s="714"/>
      <c r="W33" s="715"/>
      <c r="X33" s="1539"/>
      <c r="Y33" s="3801"/>
      <c r="Z33" s="1540"/>
      <c r="AA33" s="1537">
        <v>1</v>
      </c>
      <c r="AB33" s="1537">
        <v>1</v>
      </c>
      <c r="AC33" s="1537">
        <v>1</v>
      </c>
    </row>
    <row r="34" spans="1:29" ht="15">
      <c r="A34" s="387"/>
      <c r="B34" s="381" t="s">
        <v>2569</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9"/>
      <c r="M34" s="2943"/>
      <c r="N34" s="2943"/>
      <c r="O34" s="3001"/>
      <c r="P34" s="3801"/>
      <c r="Q34" s="1536" t="str">
        <f t="shared" si="8"/>
        <v>土地级别</v>
      </c>
      <c r="R34" s="714" t="s">
        <v>17</v>
      </c>
      <c r="S34" s="715">
        <f t="shared" si="9"/>
        <v>100</v>
      </c>
      <c r="T34" s="714" t="s">
        <v>17</v>
      </c>
      <c r="U34" s="715">
        <f t="shared" si="10"/>
        <v>100</v>
      </c>
      <c r="V34" s="714" t="s">
        <v>17</v>
      </c>
      <c r="W34" s="715">
        <f t="shared" si="11"/>
        <v>100</v>
      </c>
      <c r="X34" s="1539"/>
      <c r="Y34" s="3801"/>
      <c r="Z34" s="1540" t="str">
        <f t="shared" si="12"/>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9"/>
      <c r="M35" s="2943"/>
      <c r="N35" s="2943"/>
      <c r="O35" s="3001"/>
      <c r="P35" s="3801"/>
      <c r="Q35" s="1536">
        <f t="shared" si="8"/>
        <v>111</v>
      </c>
      <c r="R35" s="714" t="s">
        <v>17</v>
      </c>
      <c r="S35" s="715">
        <f t="shared" si="9"/>
        <v>100</v>
      </c>
      <c r="T35" s="714" t="s">
        <v>17</v>
      </c>
      <c r="U35" s="715">
        <f t="shared" si="10"/>
        <v>100</v>
      </c>
      <c r="V35" s="714" t="s">
        <v>17</v>
      </c>
      <c r="W35" s="715">
        <f t="shared" si="11"/>
        <v>100</v>
      </c>
      <c r="X35" s="1539"/>
      <c r="Y35" s="3801"/>
      <c r="Z35" s="1540">
        <f t="shared" si="12"/>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9"/>
      <c r="M36" s="2943"/>
      <c r="N36" s="2943"/>
      <c r="O36" s="3001"/>
      <c r="P36" s="3809" t="s">
        <v>2386</v>
      </c>
      <c r="Q36" s="1536">
        <f t="shared" si="8"/>
        <v>111</v>
      </c>
      <c r="R36" s="714" t="s">
        <v>17</v>
      </c>
      <c r="S36" s="715">
        <f t="shared" si="9"/>
        <v>100</v>
      </c>
      <c r="T36" s="714" t="s">
        <v>17</v>
      </c>
      <c r="U36" s="715">
        <f t="shared" si="10"/>
        <v>100</v>
      </c>
      <c r="V36" s="714" t="s">
        <v>17</v>
      </c>
      <c r="W36" s="715">
        <f t="shared" si="11"/>
        <v>100</v>
      </c>
      <c r="X36" s="1539"/>
      <c r="Y36" s="3805" t="s">
        <v>2386</v>
      </c>
      <c r="Z36" s="1540">
        <f t="shared" si="12"/>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8"/>
      <c r="M37" s="2950"/>
      <c r="N37" s="2950"/>
      <c r="O37" s="3002"/>
      <c r="P37" s="3805"/>
      <c r="Q37" s="1536">
        <f t="shared" si="8"/>
        <v>111</v>
      </c>
      <c r="R37" s="717" t="s">
        <v>17</v>
      </c>
      <c r="S37" s="718">
        <f t="shared" si="9"/>
        <v>100</v>
      </c>
      <c r="T37" s="717" t="s">
        <v>17</v>
      </c>
      <c r="U37" s="718">
        <f t="shared" si="10"/>
        <v>100</v>
      </c>
      <c r="V37" s="717" t="s">
        <v>17</v>
      </c>
      <c r="W37" s="718">
        <f t="shared" si="11"/>
        <v>100</v>
      </c>
      <c r="X37" s="719"/>
      <c r="Y37" s="3805"/>
      <c r="Z37" s="720">
        <f t="shared" si="12"/>
        <v>111</v>
      </c>
      <c r="AA37" s="1537">
        <f t="shared" si="3"/>
        <v>1</v>
      </c>
      <c r="AB37" s="1537">
        <f t="shared" si="4"/>
        <v>1</v>
      </c>
      <c r="AC37" s="1537">
        <f t="shared" si="5"/>
        <v>1</v>
      </c>
    </row>
    <row r="38" spans="1:29" ht="15">
      <c r="A38" s="431" t="s">
        <v>2384</v>
      </c>
      <c r="B38" s="415" t="s">
        <v>2570</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9"/>
      <c r="M38" s="2943"/>
      <c r="N38" s="2943"/>
      <c r="O38" s="3001"/>
      <c r="P38" s="3805"/>
      <c r="Q38" s="1536" t="str">
        <f>B38</f>
        <v>宗地面积</v>
      </c>
      <c r="R38" s="714" t="s">
        <v>17</v>
      </c>
      <c r="S38" s="715" t="e">
        <f t="shared" si="9"/>
        <v>#N/A</v>
      </c>
      <c r="T38" s="714" t="s">
        <v>17</v>
      </c>
      <c r="U38" s="715" t="e">
        <f t="shared" si="10"/>
        <v>#N/A</v>
      </c>
      <c r="V38" s="714" t="s">
        <v>17</v>
      </c>
      <c r="W38" s="715" t="e">
        <f t="shared" si="11"/>
        <v>#N/A</v>
      </c>
      <c r="X38" s="1539"/>
      <c r="Y38" s="3805"/>
      <c r="Z38" s="1540" t="str">
        <f t="shared" si="12"/>
        <v>宗地面积</v>
      </c>
      <c r="AA38" s="1537" t="e">
        <f t="shared" si="3"/>
        <v>#N/A</v>
      </c>
      <c r="AB38" s="1537" t="e">
        <f t="shared" si="4"/>
        <v>#N/A</v>
      </c>
      <c r="AC38" s="1537" t="e">
        <f t="shared" si="5"/>
        <v>#N/A</v>
      </c>
    </row>
    <row r="39" spans="1:29" ht="15">
      <c r="A39" s="431"/>
      <c r="B39" s="381" t="s">
        <v>2571</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49"/>
      <c r="M39" s="2943"/>
      <c r="N39" s="2943"/>
      <c r="O39" s="3001"/>
      <c r="P39" s="3805"/>
      <c r="Q39" s="1536" t="str">
        <f t="shared" ref="Q39:Q45" si="13">B39</f>
        <v>宗地形状</v>
      </c>
      <c r="R39" s="714" t="s">
        <v>17</v>
      </c>
      <c r="S39" s="715">
        <f t="shared" si="9"/>
        <v>100</v>
      </c>
      <c r="T39" s="714" t="s">
        <v>17</v>
      </c>
      <c r="U39" s="715">
        <f t="shared" si="10"/>
        <v>100</v>
      </c>
      <c r="V39" s="714" t="s">
        <v>17</v>
      </c>
      <c r="W39" s="715">
        <f t="shared" si="11"/>
        <v>100</v>
      </c>
      <c r="X39" s="1539"/>
      <c r="Y39" s="3805"/>
      <c r="Z39" s="1540" t="str">
        <f t="shared" si="12"/>
        <v>宗地形状</v>
      </c>
      <c r="AA39" s="1537">
        <f t="shared" si="3"/>
        <v>1</v>
      </c>
      <c r="AB39" s="1537">
        <f t="shared" si="4"/>
        <v>1</v>
      </c>
      <c r="AC39" s="1537">
        <f t="shared" si="5"/>
        <v>1</v>
      </c>
    </row>
    <row r="40" spans="1:29" ht="15">
      <c r="A40" s="431"/>
      <c r="B40" s="381" t="s">
        <v>2572</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49"/>
      <c r="M40" s="2943"/>
      <c r="N40" s="2943"/>
      <c r="O40" s="3001"/>
      <c r="P40" s="3805"/>
      <c r="Q40" s="1536" t="str">
        <f t="shared" si="13"/>
        <v>临街宽度及深度</v>
      </c>
      <c r="R40" s="714" t="s">
        <v>17</v>
      </c>
      <c r="S40" s="715">
        <f t="shared" si="9"/>
        <v>100</v>
      </c>
      <c r="T40" s="714" t="s">
        <v>17</v>
      </c>
      <c r="U40" s="715">
        <f t="shared" si="10"/>
        <v>100</v>
      </c>
      <c r="V40" s="714" t="s">
        <v>17</v>
      </c>
      <c r="W40" s="715">
        <f t="shared" si="11"/>
        <v>100</v>
      </c>
      <c r="X40" s="1539"/>
      <c r="Y40" s="3805"/>
      <c r="Z40" s="1540" t="str">
        <f t="shared" si="12"/>
        <v>临街宽度及深度</v>
      </c>
      <c r="AA40" s="1537">
        <f t="shared" si="3"/>
        <v>1</v>
      </c>
      <c r="AB40" s="1537">
        <f t="shared" si="4"/>
        <v>1</v>
      </c>
      <c r="AC40" s="1537">
        <f t="shared" si="5"/>
        <v>1</v>
      </c>
    </row>
    <row r="41" spans="1:29" s="113" customFormat="1" ht="15">
      <c r="A41" s="432"/>
      <c r="B41" s="381" t="s">
        <v>2573</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4"/>
      <c r="M41" s="2945"/>
      <c r="N41" s="2945"/>
      <c r="O41" s="2999"/>
      <c r="P41" s="3805"/>
      <c r="Q41" s="1536" t="str">
        <f t="shared" si="13"/>
        <v>宗地开发程度</v>
      </c>
      <c r="R41" s="710" t="s">
        <v>17</v>
      </c>
      <c r="S41" s="711">
        <f t="shared" si="9"/>
        <v>100</v>
      </c>
      <c r="T41" s="710" t="s">
        <v>17</v>
      </c>
      <c r="U41" s="711">
        <f t="shared" si="10"/>
        <v>100</v>
      </c>
      <c r="V41" s="710" t="s">
        <v>17</v>
      </c>
      <c r="W41" s="711">
        <f t="shared" si="11"/>
        <v>100</v>
      </c>
      <c r="X41" s="712"/>
      <c r="Y41" s="3805"/>
      <c r="Z41" s="55" t="str">
        <f t="shared" si="12"/>
        <v>宗地开发程度</v>
      </c>
      <c r="AA41" s="713">
        <f t="shared" si="3"/>
        <v>1</v>
      </c>
      <c r="AB41" s="713">
        <f t="shared" si="4"/>
        <v>1</v>
      </c>
      <c r="AC41" s="713">
        <f t="shared" si="5"/>
        <v>1</v>
      </c>
    </row>
    <row r="42" spans="1:29" ht="15">
      <c r="A42" s="431"/>
      <c r="B42" s="381" t="s">
        <v>2574</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49"/>
      <c r="M42" s="2943"/>
      <c r="N42" s="2943"/>
      <c r="O42" s="3001"/>
      <c r="P42" s="3805" t="s">
        <v>2386</v>
      </c>
      <c r="Q42" s="1536" t="str">
        <f t="shared" si="13"/>
        <v>工程地质条件</v>
      </c>
      <c r="R42" s="714" t="s">
        <v>17</v>
      </c>
      <c r="S42" s="715">
        <f t="shared" si="9"/>
        <v>100</v>
      </c>
      <c r="T42" s="714" t="s">
        <v>17</v>
      </c>
      <c r="U42" s="715">
        <f t="shared" si="10"/>
        <v>100</v>
      </c>
      <c r="V42" s="714" t="s">
        <v>17</v>
      </c>
      <c r="W42" s="715">
        <f t="shared" si="11"/>
        <v>100</v>
      </c>
      <c r="X42" s="1539"/>
      <c r="Y42" s="3805" t="s">
        <v>2386</v>
      </c>
      <c r="Z42" s="1540" t="str">
        <f t="shared" si="12"/>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9"/>
      <c r="M43" s="2943"/>
      <c r="N43" s="2943"/>
      <c r="O43" s="3001"/>
      <c r="P43" s="3805"/>
      <c r="Q43" s="1536">
        <f t="shared" si="13"/>
        <v>111</v>
      </c>
      <c r="R43" s="714" t="s">
        <v>17</v>
      </c>
      <c r="S43" s="715">
        <f t="shared" si="9"/>
        <v>100</v>
      </c>
      <c r="T43" s="714" t="s">
        <v>17</v>
      </c>
      <c r="U43" s="715">
        <f t="shared" si="10"/>
        <v>100</v>
      </c>
      <c r="V43" s="714" t="s">
        <v>17</v>
      </c>
      <c r="W43" s="715">
        <f t="shared" si="11"/>
        <v>100</v>
      </c>
      <c r="X43" s="1539"/>
      <c r="Y43" s="3805"/>
      <c r="Z43" s="1540">
        <f t="shared" si="12"/>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9"/>
      <c r="M44" s="2943"/>
      <c r="N44" s="2943"/>
      <c r="O44" s="3001"/>
      <c r="P44" s="3805"/>
      <c r="Q44" s="1536">
        <f t="shared" si="13"/>
        <v>111</v>
      </c>
      <c r="R44" s="714" t="s">
        <v>17</v>
      </c>
      <c r="S44" s="715">
        <f t="shared" si="9"/>
        <v>100</v>
      </c>
      <c r="T44" s="714" t="s">
        <v>17</v>
      </c>
      <c r="U44" s="715">
        <f t="shared" si="10"/>
        <v>100</v>
      </c>
      <c r="V44" s="714" t="s">
        <v>17</v>
      </c>
      <c r="W44" s="715">
        <f t="shared" si="11"/>
        <v>100</v>
      </c>
      <c r="X44" s="1539"/>
      <c r="Y44" s="3805"/>
      <c r="Z44" s="1540">
        <f t="shared" si="12"/>
        <v>111</v>
      </c>
      <c r="AA44" s="1537">
        <f t="shared" si="3"/>
        <v>1</v>
      </c>
      <c r="AB44" s="1537">
        <f t="shared" si="4"/>
        <v>1</v>
      </c>
      <c r="AC44" s="1537">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48"/>
      <c r="M45" s="2950"/>
      <c r="N45" s="2950"/>
      <c r="O45" s="3002"/>
      <c r="P45" s="3805"/>
      <c r="Q45" s="1536">
        <f t="shared" si="13"/>
        <v>111</v>
      </c>
      <c r="R45" s="717" t="s">
        <v>17</v>
      </c>
      <c r="S45" s="718">
        <f t="shared" si="9"/>
        <v>100</v>
      </c>
      <c r="T45" s="717" t="s">
        <v>17</v>
      </c>
      <c r="U45" s="718">
        <f t="shared" si="10"/>
        <v>100</v>
      </c>
      <c r="V45" s="717" t="s">
        <v>17</v>
      </c>
      <c r="W45" s="718">
        <f t="shared" si="11"/>
        <v>100</v>
      </c>
      <c r="X45" s="719"/>
      <c r="Y45" s="3805"/>
      <c r="Z45" s="720">
        <f t="shared" si="12"/>
        <v>111</v>
      </c>
      <c r="AA45" s="1537">
        <f t="shared" si="3"/>
        <v>1</v>
      </c>
      <c r="AB45" s="1537">
        <f t="shared" si="4"/>
        <v>1</v>
      </c>
      <c r="AC45" s="1537">
        <f t="shared" si="5"/>
        <v>1</v>
      </c>
    </row>
    <row r="46" spans="1:29" ht="15">
      <c r="A46" s="438" t="s">
        <v>2539</v>
      </c>
      <c r="B46" s="2168" t="s">
        <v>2575</v>
      </c>
      <c r="C46" s="638" t="s">
        <v>1</v>
      </c>
      <c r="D46" s="440"/>
      <c r="E46" s="441"/>
      <c r="F46" s="442"/>
      <c r="G46" s="443"/>
      <c r="H46" s="444"/>
      <c r="I46" s="441"/>
      <c r="J46" s="444"/>
      <c r="K46" s="723"/>
      <c r="L46" s="2951"/>
      <c r="M46" s="2952"/>
      <c r="N46" s="2943"/>
      <c r="O46" s="2952"/>
      <c r="P46" s="3798" t="str">
        <f>A46</f>
        <v>成交单价</v>
      </c>
      <c r="Q46" s="3798"/>
      <c r="R46" s="3793">
        <f>E46</f>
        <v>0</v>
      </c>
      <c r="S46" s="3793"/>
      <c r="T46" s="3793">
        <f>G46</f>
        <v>0</v>
      </c>
      <c r="U46" s="3793"/>
      <c r="V46" s="3793">
        <f>I46</f>
        <v>0</v>
      </c>
      <c r="W46" s="3793"/>
      <c r="X46" s="699"/>
      <c r="Y46" s="721"/>
      <c r="Z46" s="699"/>
      <c r="AA46" s="699"/>
      <c r="AB46" s="699"/>
      <c r="AC46" s="699"/>
    </row>
    <row r="47" spans="1:29" ht="15.75" thickBot="1">
      <c r="A47" s="445" t="s">
        <v>2490</v>
      </c>
      <c r="B47" s="639"/>
      <c r="C47" s="448" t="e">
        <f>R48</f>
        <v>#DIV/0!</v>
      </c>
      <c r="D47" s="2538" t="s">
        <v>2877</v>
      </c>
      <c r="E47" s="448" t="e">
        <f>R47</f>
        <v>#DIV/0!</v>
      </c>
      <c r="F47" s="2539"/>
      <c r="G47" s="447" t="e">
        <f>T47</f>
        <v>#DIV/0!</v>
      </c>
      <c r="H47" s="2539"/>
      <c r="I47" s="448" t="e">
        <f>V47</f>
        <v>#DIV/0!</v>
      </c>
      <c r="J47" s="2539"/>
      <c r="K47" s="2541">
        <f>F47+H47+J47</f>
        <v>0</v>
      </c>
      <c r="L47" s="2951"/>
      <c r="M47" s="2952"/>
      <c r="N47" s="2952"/>
      <c r="O47" s="2952"/>
      <c r="P47" s="3798" t="str">
        <f>A47</f>
        <v>比较价值（元/平方米）</v>
      </c>
      <c r="Q47" s="3798"/>
      <c r="R47" s="3811" t="e">
        <f>ROUND(PRODUCT(R46,AA7:AA45),0)</f>
        <v>#DIV/0!</v>
      </c>
      <c r="S47" s="3811"/>
      <c r="T47" s="3811" t="e">
        <f>ROUND(PRODUCT(T46,AB7:AB45),0)</f>
        <v>#DIV/0!</v>
      </c>
      <c r="U47" s="3811"/>
      <c r="V47" s="3811" t="e">
        <f>ROUND(PRODUCT(V46,AC7:AC45),0)</f>
        <v>#DIV/0!</v>
      </c>
      <c r="W47" s="3811"/>
      <c r="X47" s="699"/>
      <c r="Y47" s="699"/>
      <c r="Z47" s="699"/>
      <c r="AA47" s="699"/>
      <c r="AB47" s="699"/>
      <c r="AC47" s="699"/>
    </row>
    <row r="48" spans="1:29" ht="15.75" thickBot="1">
      <c r="A48" s="449" t="s">
        <v>2576</v>
      </c>
      <c r="B48" s="450"/>
      <c r="C48" s="451" t="e">
        <f>R48</f>
        <v>#DIV/0!</v>
      </c>
      <c r="D48" s="451"/>
      <c r="E48" s="451"/>
      <c r="F48" s="451"/>
      <c r="G48" s="451"/>
      <c r="H48" s="451"/>
      <c r="I48" s="451"/>
      <c r="J48" s="451"/>
      <c r="K48" s="724"/>
      <c r="L48" s="2951"/>
      <c r="M48" s="2952"/>
      <c r="N48" s="2952"/>
      <c r="O48" s="2952"/>
      <c r="P48" s="3795" t="str">
        <f>A48</f>
        <v>估价对象XX用房的比较价值（楼面单价，元/平方米）</v>
      </c>
      <c r="Q48" s="3796"/>
      <c r="R48" s="3812" t="e">
        <f>ROUND(IF(D47="简单平均",AVERAGE(R47:W47),R47*F47+T47*H47+V47*J47),0)</f>
        <v>#DIV/0!</v>
      </c>
      <c r="S48" s="3812"/>
      <c r="T48" s="3812"/>
      <c r="U48" s="3812"/>
      <c r="V48" s="3812"/>
      <c r="W48" s="3812"/>
      <c r="X48" s="699"/>
      <c r="Y48" s="699"/>
      <c r="Z48" s="699"/>
      <c r="AA48" s="699"/>
      <c r="AB48" s="699"/>
      <c r="AC48" s="699"/>
    </row>
    <row r="49" spans="1:29">
      <c r="A49" s="2952"/>
      <c r="B49" s="2952"/>
      <c r="C49" s="2952"/>
      <c r="D49" s="2952"/>
      <c r="E49" s="2952"/>
      <c r="F49" s="2952"/>
      <c r="G49" s="2956"/>
      <c r="H49" s="2952"/>
      <c r="I49" s="2952"/>
      <c r="J49" s="2952"/>
      <c r="K49" s="2957"/>
      <c r="L49" s="2953"/>
      <c r="M49" s="2952"/>
      <c r="N49" s="2952"/>
      <c r="O49" s="2952"/>
      <c r="P49" s="2952"/>
      <c r="Q49" s="2952"/>
      <c r="R49" s="2952"/>
      <c r="S49" s="2952"/>
      <c r="T49" s="2952"/>
      <c r="U49" s="2952"/>
      <c r="V49" s="2952"/>
      <c r="W49" s="2952"/>
      <c r="X49" s="2952"/>
      <c r="Y49" s="2952"/>
      <c r="Z49" s="2952"/>
      <c r="AA49" s="2952"/>
      <c r="AB49" s="2952"/>
      <c r="AC49" s="2952"/>
    </row>
    <row r="50" spans="1:29">
      <c r="A50" s="2952"/>
      <c r="B50" s="2952"/>
      <c r="C50" s="2952"/>
      <c r="D50" s="2952"/>
      <c r="E50" s="2952"/>
      <c r="F50" s="2952"/>
      <c r="G50" s="2952"/>
      <c r="H50" s="2952"/>
      <c r="I50" s="2952"/>
      <c r="J50" s="2952"/>
      <c r="K50" s="2957"/>
      <c r="L50" s="2953"/>
      <c r="M50" s="2952"/>
      <c r="N50" s="2952"/>
      <c r="O50" s="2952"/>
      <c r="P50" s="2952"/>
      <c r="Q50" s="2952"/>
      <c r="R50" s="2952"/>
      <c r="S50" s="2952"/>
      <c r="T50" s="2952"/>
      <c r="U50" s="2952"/>
      <c r="V50" s="2952"/>
      <c r="W50" s="2952"/>
      <c r="X50" s="2952"/>
      <c r="Y50" s="2952"/>
      <c r="Z50" s="2952"/>
      <c r="AA50" s="2952"/>
      <c r="AB50" s="2952"/>
      <c r="AC50" s="2952"/>
    </row>
    <row r="51" spans="1:29" ht="13.5" customHeight="1">
      <c r="A51" s="2952"/>
      <c r="B51" s="2952"/>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7"/>
      <c r="L51" s="2953"/>
      <c r="M51" s="2952"/>
      <c r="N51" s="2952"/>
      <c r="O51" s="2952"/>
      <c r="P51" s="2952"/>
      <c r="Q51" s="2952"/>
      <c r="R51" s="2952"/>
      <c r="S51" s="2952"/>
      <c r="T51" s="2952"/>
      <c r="U51" s="2952"/>
      <c r="V51" s="2952"/>
      <c r="W51" s="2952"/>
      <c r="X51" s="2952"/>
      <c r="Y51" s="2952"/>
      <c r="Z51" s="2952"/>
      <c r="AA51" s="2952"/>
      <c r="AB51" s="2952"/>
      <c r="AC51" s="2952"/>
    </row>
    <row r="52" spans="1:29" ht="13.5" customHeight="1">
      <c r="A52" s="2952"/>
      <c r="B52" s="2952"/>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7"/>
      <c r="L52" s="2953"/>
      <c r="M52" s="2952"/>
      <c r="N52" s="2952"/>
      <c r="O52" s="2952"/>
      <c r="P52" s="2952"/>
      <c r="Q52" s="2952"/>
      <c r="R52" s="2952"/>
      <c r="S52" s="2952"/>
      <c r="T52" s="2952"/>
      <c r="U52" s="2952"/>
      <c r="V52" s="2952"/>
      <c r="W52" s="2952"/>
      <c r="X52" s="2952"/>
      <c r="Y52" s="2952"/>
      <c r="Z52" s="2952"/>
      <c r="AA52" s="2952"/>
      <c r="AB52" s="2952"/>
      <c r="AC52" s="2952"/>
    </row>
    <row r="53" spans="1:29" s="459" customFormat="1" ht="13.5" customHeight="1">
      <c r="A53" s="2955"/>
      <c r="B53" s="2955"/>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0"/>
      <c r="L53" s="2954"/>
      <c r="M53" s="2955"/>
      <c r="N53" s="2955"/>
      <c r="O53" s="2955"/>
      <c r="P53" s="2955"/>
      <c r="Q53" s="2955"/>
      <c r="R53" s="2955"/>
      <c r="S53" s="2955"/>
      <c r="T53" s="2955"/>
      <c r="U53" s="2955"/>
      <c r="V53" s="2955"/>
      <c r="W53" s="2955"/>
      <c r="X53" s="2955"/>
      <c r="Y53" s="2955"/>
      <c r="Z53" s="2955"/>
      <c r="AA53" s="2955"/>
      <c r="AB53" s="2955"/>
      <c r="AC53" s="2955"/>
    </row>
    <row r="54" spans="1:29" s="459" customFormat="1" ht="15" thickBot="1">
      <c r="A54" s="2955"/>
      <c r="B54" s="2958"/>
      <c r="C54" s="702"/>
      <c r="D54" s="700"/>
      <c r="E54" s="700"/>
      <c r="F54" s="700"/>
      <c r="G54" s="700"/>
      <c r="H54" s="700"/>
      <c r="I54" s="700"/>
      <c r="J54" s="700"/>
      <c r="K54" s="2960"/>
      <c r="L54" s="2954"/>
      <c r="M54" s="2955"/>
      <c r="N54" s="2955"/>
      <c r="O54" s="2955"/>
      <c r="P54" s="2955"/>
      <c r="Q54" s="2955"/>
      <c r="R54" s="2955"/>
      <c r="S54" s="2955"/>
      <c r="T54" s="2955"/>
      <c r="U54" s="2955"/>
      <c r="V54" s="2955"/>
      <c r="W54" s="2955"/>
      <c r="X54" s="2955"/>
      <c r="Y54" s="2955"/>
      <c r="Z54" s="2955"/>
      <c r="AA54" s="2955"/>
      <c r="AB54" s="2955"/>
      <c r="AC54" s="2955"/>
    </row>
    <row r="55" spans="1:29" ht="27" customHeight="1">
      <c r="A55" s="640" t="s">
        <v>2577</v>
      </c>
      <c r="B55" s="641" t="s">
        <v>2578</v>
      </c>
      <c r="C55" s="2169" t="s">
        <v>2579</v>
      </c>
      <c r="D55" s="2170" t="s">
        <v>2580</v>
      </c>
      <c r="E55" s="642" t="s">
        <v>2581</v>
      </c>
      <c r="F55" s="1021" t="s">
        <v>2582</v>
      </c>
      <c r="G55" s="3781" t="s">
        <v>2583</v>
      </c>
      <c r="H55" s="3813"/>
      <c r="I55" s="140" t="s">
        <v>2584</v>
      </c>
      <c r="J55" s="2171">
        <f>项目基本情况!F35</f>
        <v>0</v>
      </c>
      <c r="K55" s="2172" t="s">
        <v>2585</v>
      </c>
      <c r="L55" s="2953"/>
      <c r="M55" s="2952"/>
      <c r="N55" s="2952"/>
      <c r="O55" s="2952"/>
      <c r="P55" s="2952"/>
      <c r="Q55" s="2952"/>
      <c r="R55" s="2952"/>
      <c r="S55" s="2952"/>
      <c r="T55" s="2952"/>
      <c r="U55" s="2952"/>
      <c r="V55" s="2952"/>
      <c r="W55" s="2952"/>
      <c r="X55" s="2952"/>
      <c r="Y55" s="2952"/>
      <c r="Z55" s="2952"/>
      <c r="AA55" s="2952"/>
      <c r="AB55" s="2952"/>
      <c r="AC55" s="2952"/>
    </row>
    <row r="56" spans="1:29" s="648" customFormat="1">
      <c r="A56" s="644" t="s">
        <v>2586</v>
      </c>
      <c r="B56" s="645" t="e">
        <f>C48</f>
        <v>#DIV/0!</v>
      </c>
      <c r="C56" s="646">
        <v>1</v>
      </c>
      <c r="D56" s="1075">
        <v>1</v>
      </c>
      <c r="E56" s="646">
        <f>'数据-汇总表'!E8+'数据-汇总表'!E9</f>
        <v>32313.11</v>
      </c>
      <c r="F56" s="1017" t="e">
        <f t="shared" ref="F56:F65" si="14">ROUND(B56*E56/10000,0)</f>
        <v>#DIV/0!</v>
      </c>
      <c r="G56" s="3780"/>
      <c r="H56" s="3798"/>
      <c r="I56" s="1022">
        <v>1</v>
      </c>
      <c r="J56" s="1025">
        <v>1</v>
      </c>
      <c r="K56" s="2955"/>
      <c r="L56" s="3009"/>
      <c r="M56" s="3009"/>
      <c r="N56" s="3009"/>
      <c r="O56" s="3009"/>
      <c r="P56" s="3009"/>
      <c r="Q56" s="3009"/>
      <c r="R56" s="3009"/>
      <c r="S56" s="3009"/>
      <c r="T56" s="3009"/>
      <c r="U56" s="3009"/>
      <c r="V56" s="3009"/>
      <c r="W56" s="3009"/>
      <c r="X56" s="3009"/>
      <c r="Y56" s="3009"/>
      <c r="Z56" s="3009"/>
      <c r="AA56" s="3009"/>
      <c r="AB56" s="3009"/>
      <c r="AC56" s="3009"/>
    </row>
    <row r="57" spans="1:29" s="648" customFormat="1">
      <c r="A57" s="649" t="s">
        <v>2587</v>
      </c>
      <c r="B57" s="224" t="e">
        <f>ROUND($C$48*C57*D57,0)</f>
        <v>#DIV/0!</v>
      </c>
      <c r="C57" s="176">
        <f t="shared" ref="C57:C65" si="15">IF($C$55="北京市系数",I57,J57)</f>
        <v>0.8</v>
      </c>
      <c r="D57" s="1076">
        <v>0.25</v>
      </c>
      <c r="E57" s="650"/>
      <c r="F57" s="1017" t="e">
        <f t="shared" si="14"/>
        <v>#DIV/0!</v>
      </c>
      <c r="G57" s="3814" t="s">
        <v>2588</v>
      </c>
      <c r="H57" s="1018" t="str">
        <f>项目基本情况!B37</f>
        <v>一级</v>
      </c>
      <c r="I57" s="1022">
        <f>SUMIF(修正!A45:A56,H57,修正!B45:B56)</f>
        <v>0.8</v>
      </c>
      <c r="J57" s="1026"/>
      <c r="K57" s="2952"/>
      <c r="L57" s="3009"/>
      <c r="M57" s="3009"/>
      <c r="N57" s="3009"/>
      <c r="O57" s="3009"/>
      <c r="P57" s="3009"/>
      <c r="Q57" s="3009"/>
      <c r="R57" s="3009"/>
      <c r="S57" s="3009"/>
      <c r="T57" s="3009"/>
      <c r="U57" s="3009"/>
      <c r="V57" s="3009"/>
      <c r="W57" s="3009"/>
      <c r="X57" s="3009"/>
      <c r="Y57" s="3009"/>
      <c r="Z57" s="3009"/>
      <c r="AA57" s="3009"/>
      <c r="AB57" s="3009"/>
      <c r="AC57" s="3009"/>
    </row>
    <row r="58" spans="1:29" s="648" customFormat="1">
      <c r="A58" s="649" t="s">
        <v>2589</v>
      </c>
      <c r="B58" s="224" t="e">
        <f t="shared" ref="B58:B65" si="16">ROUND($C$48*C58*D58,0)</f>
        <v>#DIV/0!</v>
      </c>
      <c r="C58" s="176">
        <f t="shared" si="15"/>
        <v>0.5</v>
      </c>
      <c r="D58" s="1076">
        <v>0.25</v>
      </c>
      <c r="E58" s="650"/>
      <c r="F58" s="1017" t="e">
        <f t="shared" si="14"/>
        <v>#DIV/0!</v>
      </c>
      <c r="G58" s="3814"/>
      <c r="H58" s="1018" t="str">
        <f>项目基本情况!B37</f>
        <v>一级</v>
      </c>
      <c r="I58" s="1022">
        <f>SUMIF(修正!A45:A56,H58,修正!C45:C56)</f>
        <v>0.5</v>
      </c>
      <c r="J58" s="1026"/>
      <c r="K58" s="2955"/>
      <c r="L58" s="3009"/>
      <c r="M58" s="3009"/>
      <c r="N58" s="3009"/>
      <c r="O58" s="3009"/>
      <c r="P58" s="3009"/>
      <c r="Q58" s="3009"/>
      <c r="R58" s="3009"/>
      <c r="S58" s="3009"/>
      <c r="T58" s="3009"/>
      <c r="U58" s="3009"/>
      <c r="V58" s="3009"/>
      <c r="W58" s="3009"/>
      <c r="X58" s="3009"/>
      <c r="Y58" s="3009"/>
      <c r="Z58" s="3009"/>
      <c r="AA58" s="3009"/>
      <c r="AB58" s="3009"/>
      <c r="AC58" s="3009"/>
    </row>
    <row r="59" spans="1:29" s="648" customFormat="1">
      <c r="A59" s="649" t="s">
        <v>2590</v>
      </c>
      <c r="B59" s="224" t="e">
        <f t="shared" si="16"/>
        <v>#DIV/0!</v>
      </c>
      <c r="C59" s="176">
        <f t="shared" si="15"/>
        <v>0.36</v>
      </c>
      <c r="D59" s="1076">
        <v>0.25</v>
      </c>
      <c r="E59" s="650"/>
      <c r="F59" s="1017" t="e">
        <f t="shared" si="14"/>
        <v>#DIV/0!</v>
      </c>
      <c r="G59" s="3814"/>
      <c r="H59" s="1018" t="str">
        <f>项目基本情况!B37</f>
        <v>一级</v>
      </c>
      <c r="I59" s="1022">
        <f>SUMIF(修正!A45:A56,H59,修正!D45:D56)</f>
        <v>0.36</v>
      </c>
      <c r="J59" s="1026"/>
      <c r="K59" s="2952"/>
      <c r="L59" s="3009"/>
      <c r="M59" s="3009"/>
      <c r="N59" s="3009"/>
      <c r="O59" s="3009"/>
      <c r="P59" s="3009"/>
      <c r="Q59" s="3009"/>
      <c r="R59" s="3009"/>
      <c r="S59" s="3009"/>
      <c r="T59" s="3009"/>
      <c r="U59" s="3009"/>
      <c r="V59" s="3009"/>
      <c r="W59" s="3009"/>
      <c r="X59" s="3009"/>
      <c r="Y59" s="3009"/>
      <c r="Z59" s="3009"/>
      <c r="AA59" s="3009"/>
      <c r="AB59" s="3009"/>
      <c r="AC59" s="3009"/>
    </row>
    <row r="60" spans="1:29" s="648" customFormat="1">
      <c r="A60" s="649" t="s">
        <v>2591</v>
      </c>
      <c r="B60" s="224" t="e">
        <f t="shared" si="16"/>
        <v>#DIV/0!</v>
      </c>
      <c r="C60" s="176">
        <f t="shared" si="15"/>
        <v>0.3</v>
      </c>
      <c r="D60" s="1076">
        <v>0.25</v>
      </c>
      <c r="E60" s="650"/>
      <c r="F60" s="1017" t="e">
        <f t="shared" si="14"/>
        <v>#DIV/0!</v>
      </c>
      <c r="G60" s="3814"/>
      <c r="H60" s="1018" t="str">
        <f>项目基本情况!B37</f>
        <v>一级</v>
      </c>
      <c r="I60" s="1022">
        <f>SUMIF(修正!A45:A56,H60,修正!E45:E56)</f>
        <v>0.3</v>
      </c>
      <c r="J60" s="1026"/>
      <c r="K60" s="2955"/>
      <c r="L60" s="3009"/>
      <c r="M60" s="3009"/>
      <c r="N60" s="3009"/>
      <c r="O60" s="3009"/>
      <c r="P60" s="3009"/>
      <c r="Q60" s="3009"/>
      <c r="R60" s="3009"/>
      <c r="S60" s="3009"/>
      <c r="T60" s="3009"/>
      <c r="U60" s="3009"/>
      <c r="V60" s="3009"/>
      <c r="W60" s="3009"/>
      <c r="X60" s="3009"/>
      <c r="Y60" s="3009"/>
      <c r="Z60" s="3009"/>
      <c r="AA60" s="3009"/>
      <c r="AB60" s="3009"/>
      <c r="AC60" s="3009"/>
    </row>
    <row r="61" spans="1:29" s="648" customFormat="1">
      <c r="A61" s="649" t="s">
        <v>2592</v>
      </c>
      <c r="B61" s="224" t="e">
        <f t="shared" si="16"/>
        <v>#DIV/0!</v>
      </c>
      <c r="C61" s="176">
        <f t="shared" si="15"/>
        <v>0.3</v>
      </c>
      <c r="D61" s="1076">
        <v>0.25</v>
      </c>
      <c r="E61" s="223">
        <f>'数据-汇总表'!E11</f>
        <v>9931.119999999999</v>
      </c>
      <c r="F61" s="1017" t="e">
        <f t="shared" si="14"/>
        <v>#DIV/0!</v>
      </c>
      <c r="G61" s="2173" t="s">
        <v>2593</v>
      </c>
      <c r="H61" s="1018" t="str">
        <f>项目基本情况!C37</f>
        <v>一级</v>
      </c>
      <c r="I61" s="1022">
        <f>SUMIF(修正!A45:A56,H61,修正!F45:F56)</f>
        <v>0.3</v>
      </c>
      <c r="J61" s="1026"/>
      <c r="K61" s="2952"/>
      <c r="L61" s="3009"/>
      <c r="M61" s="3009"/>
      <c r="N61" s="3009"/>
      <c r="O61" s="3009"/>
      <c r="P61" s="3009"/>
      <c r="Q61" s="3009"/>
      <c r="R61" s="3009"/>
      <c r="S61" s="3009"/>
      <c r="T61" s="3009"/>
      <c r="U61" s="3009"/>
      <c r="V61" s="3009"/>
      <c r="W61" s="3009"/>
      <c r="X61" s="3009"/>
      <c r="Y61" s="3009"/>
      <c r="Z61" s="3009"/>
      <c r="AA61" s="3009"/>
      <c r="AB61" s="3009"/>
      <c r="AC61" s="3009"/>
    </row>
    <row r="62" spans="1:29" s="648" customFormat="1">
      <c r="A62" s="649" t="s">
        <v>2594</v>
      </c>
      <c r="B62" s="224" t="e">
        <f t="shared" si="16"/>
        <v>#DIV/0!</v>
      </c>
      <c r="C62" s="176">
        <f t="shared" si="15"/>
        <v>0.3</v>
      </c>
      <c r="D62" s="1076">
        <v>0.25</v>
      </c>
      <c r="E62" s="223">
        <f>'数据-汇总表'!E12</f>
        <v>0</v>
      </c>
      <c r="F62" s="1017" t="e">
        <f t="shared" si="14"/>
        <v>#DIV/0!</v>
      </c>
      <c r="G62" s="1023" t="s">
        <v>2595</v>
      </c>
      <c r="H62" s="1018" t="str">
        <f>IF(G62="商业",项目基本情况!B37,IF(G62="办公",项目基本情况!C37,IF(G62="住宅",项目基本情况!D37,项目基本情况!E37)))</f>
        <v>一级</v>
      </c>
      <c r="I62" s="1022">
        <f>SUMIF(修正!A45:A56,H62,修正!G45:G56)</f>
        <v>0.3</v>
      </c>
      <c r="J62" s="1026"/>
      <c r="K62" s="2955"/>
      <c r="L62" s="3009"/>
      <c r="M62" s="3009"/>
      <c r="N62" s="3009"/>
      <c r="O62" s="3009"/>
      <c r="P62" s="3009"/>
      <c r="Q62" s="3009"/>
      <c r="R62" s="3009"/>
      <c r="S62" s="3009"/>
      <c r="T62" s="3009"/>
      <c r="U62" s="3009"/>
      <c r="V62" s="3009"/>
      <c r="W62" s="3009"/>
      <c r="X62" s="3009"/>
      <c r="Y62" s="3009"/>
      <c r="Z62" s="3009"/>
      <c r="AA62" s="3009"/>
      <c r="AB62" s="3009"/>
      <c r="AC62" s="3009"/>
    </row>
    <row r="63" spans="1:29" s="648" customFormat="1">
      <c r="A63" s="649" t="s">
        <v>2596</v>
      </c>
      <c r="B63" s="224" t="e">
        <f t="shared" si="16"/>
        <v>#DIV/0!</v>
      </c>
      <c r="C63" s="176">
        <f t="shared" si="15"/>
        <v>0</v>
      </c>
      <c r="D63" s="1076">
        <v>0.25</v>
      </c>
      <c r="E63" s="223">
        <f>'数据-汇总表'!E13</f>
        <v>5444.8200000000006</v>
      </c>
      <c r="F63" s="1017" t="e">
        <f t="shared" si="14"/>
        <v>#DIV/0!</v>
      </c>
      <c r="G63" s="1023" t="s">
        <v>2597</v>
      </c>
      <c r="H63" s="1018">
        <f>IF(G63="商业",项目基本情况!B37,IF(G63="办公",项目基本情况!C37,IF(G63="住宅",项目基本情况!D37,项目基本情况!E37)))</f>
        <v>0</v>
      </c>
      <c r="I63" s="1022">
        <f>SUMIF(修正!A45:A56,H63,修正!H45:H56)</f>
        <v>0</v>
      </c>
      <c r="J63" s="1026"/>
      <c r="K63" s="2952"/>
      <c r="L63" s="3009"/>
      <c r="M63" s="3009"/>
      <c r="N63" s="3009"/>
      <c r="O63" s="3009"/>
      <c r="P63" s="3009"/>
      <c r="Q63" s="3009"/>
      <c r="R63" s="3009"/>
      <c r="S63" s="3009"/>
      <c r="T63" s="3009"/>
      <c r="U63" s="3009"/>
      <c r="V63" s="3009"/>
      <c r="W63" s="3009"/>
      <c r="X63" s="3009"/>
      <c r="Y63" s="3009"/>
      <c r="Z63" s="3009"/>
      <c r="AA63" s="3009"/>
      <c r="AB63" s="3009"/>
      <c r="AC63" s="3009"/>
    </row>
    <row r="64" spans="1:29" s="648" customFormat="1">
      <c r="A64" s="649" t="s">
        <v>2598</v>
      </c>
      <c r="B64" s="224" t="e">
        <f t="shared" si="16"/>
        <v>#DIV/0!</v>
      </c>
      <c r="C64" s="176">
        <f t="shared" si="15"/>
        <v>0.25</v>
      </c>
      <c r="D64" s="1076">
        <v>0.25</v>
      </c>
      <c r="E64" s="223">
        <f>'数据-汇总表'!E14</f>
        <v>0</v>
      </c>
      <c r="F64" s="1017" t="e">
        <f t="shared" si="14"/>
        <v>#DIV/0!</v>
      </c>
      <c r="G64" s="2173" t="s">
        <v>2588</v>
      </c>
      <c r="H64" s="1018" t="str">
        <f>项目基本情况!B37</f>
        <v>一级</v>
      </c>
      <c r="I64" s="1022">
        <f>SUMIF(修正!A45:A56,H64,修正!H45:H56)</f>
        <v>0.25</v>
      </c>
      <c r="J64" s="1026"/>
      <c r="K64" s="2955"/>
      <c r="L64" s="3009"/>
      <c r="M64" s="3009"/>
      <c r="N64" s="3009"/>
      <c r="O64" s="3009"/>
      <c r="P64" s="3009"/>
      <c r="Q64" s="3009"/>
      <c r="R64" s="3009"/>
      <c r="S64" s="3009"/>
      <c r="T64" s="3009"/>
      <c r="U64" s="3009"/>
      <c r="V64" s="3009"/>
      <c r="W64" s="3009"/>
      <c r="X64" s="3009"/>
      <c r="Y64" s="3009"/>
      <c r="Z64" s="3009"/>
      <c r="AA64" s="3009"/>
      <c r="AB64" s="3009"/>
      <c r="AC64" s="3009"/>
    </row>
    <row r="65" spans="1:29" s="648" customFormat="1" ht="15" thickBot="1">
      <c r="A65" s="649" t="s">
        <v>2599</v>
      </c>
      <c r="B65" s="224" t="e">
        <f t="shared" si="16"/>
        <v>#DIV/0!</v>
      </c>
      <c r="C65" s="176">
        <f t="shared" si="15"/>
        <v>0.25</v>
      </c>
      <c r="D65" s="1076">
        <v>0.25</v>
      </c>
      <c r="E65" s="223">
        <f>'数据-汇总表'!E15</f>
        <v>0</v>
      </c>
      <c r="F65" s="1017" t="e">
        <f t="shared" si="14"/>
        <v>#DIV/0!</v>
      </c>
      <c r="G65" s="2174" t="s">
        <v>2593</v>
      </c>
      <c r="H65" s="1028" t="str">
        <f>项目基本情况!C37</f>
        <v>一级</v>
      </c>
      <c r="I65" s="1024">
        <f>SUMIF(修正!A45:A56,H65,修正!H45:H56)</f>
        <v>0.25</v>
      </c>
      <c r="J65" s="1027"/>
      <c r="K65" s="2952"/>
      <c r="L65" s="3009"/>
      <c r="M65" s="3009"/>
      <c r="N65" s="3009"/>
      <c r="O65" s="3009"/>
      <c r="P65" s="3009"/>
      <c r="Q65" s="3009"/>
      <c r="R65" s="3009"/>
      <c r="S65" s="3009"/>
      <c r="T65" s="3009"/>
      <c r="U65" s="3009"/>
      <c r="V65" s="3009"/>
      <c r="W65" s="3009"/>
      <c r="X65" s="3009"/>
      <c r="Y65" s="3009"/>
      <c r="Z65" s="3009"/>
      <c r="AA65" s="3009"/>
      <c r="AB65" s="3009"/>
      <c r="AC65" s="3009"/>
    </row>
    <row r="66" spans="1:29" s="648" customFormat="1" ht="13.5" thickBot="1">
      <c r="A66" s="651" t="s">
        <v>2600</v>
      </c>
      <c r="B66" s="652" t="s">
        <v>28</v>
      </c>
      <c r="C66" s="652" t="s">
        <v>29</v>
      </c>
      <c r="D66" s="652" t="s">
        <v>997</v>
      </c>
      <c r="E66" s="652">
        <f>IF(B46="楼面地价",SUM(E56:E65),'数据-汇总表'!D3)</f>
        <v>47689.049999999996</v>
      </c>
      <c r="F66" s="653" t="e">
        <f>IF(B46="楼面地价",SUM(F56:F65),ROUND(C48*E66/10000,0))</f>
        <v>#DIV/0!</v>
      </c>
      <c r="G66" s="726"/>
      <c r="H66" s="726"/>
      <c r="I66" s="726"/>
      <c r="J66" s="726"/>
      <c r="K66" s="3010"/>
      <c r="L66" s="3009"/>
      <c r="M66" s="3009"/>
      <c r="N66" s="3009"/>
      <c r="O66" s="3009"/>
      <c r="P66" s="3009"/>
      <c r="Q66" s="3009"/>
      <c r="R66" s="3009"/>
      <c r="S66" s="3009"/>
      <c r="T66" s="3009"/>
      <c r="U66" s="3009"/>
      <c r="V66" s="3009"/>
      <c r="W66" s="3009"/>
      <c r="X66" s="3009"/>
      <c r="Y66" s="3009"/>
      <c r="Z66" s="3009"/>
      <c r="AA66" s="3009"/>
      <c r="AB66" s="3009"/>
      <c r="AC66" s="3009"/>
    </row>
    <row r="67" spans="1:29">
      <c r="A67" s="699"/>
      <c r="B67" s="701"/>
      <c r="C67" s="702"/>
      <c r="D67" s="699"/>
      <c r="E67" s="699"/>
      <c r="F67" s="699"/>
      <c r="G67" s="699"/>
      <c r="H67" s="699"/>
      <c r="I67" s="699"/>
      <c r="J67" s="1058"/>
      <c r="K67" s="1019"/>
      <c r="L67" s="1020"/>
      <c r="M67" s="1058"/>
      <c r="N67" s="1058"/>
      <c r="O67" s="1058"/>
      <c r="P67" s="2952"/>
      <c r="Q67" s="2952"/>
      <c r="R67" s="2952"/>
      <c r="S67" s="2952"/>
      <c r="T67" s="2952"/>
      <c r="U67" s="2952"/>
      <c r="V67" s="2952"/>
      <c r="W67" s="2952"/>
      <c r="X67" s="2952"/>
      <c r="Y67" s="2952"/>
      <c r="Z67" s="2952"/>
      <c r="AA67" s="2952"/>
      <c r="AB67" s="2952"/>
      <c r="AC67" s="2952"/>
    </row>
    <row r="68" spans="1:29">
      <c r="A68" s="699"/>
      <c r="B68" s="701"/>
      <c r="C68" s="701" t="str">
        <f>YEAR(C7)&amp;"-"&amp;MONTH(C7)&amp;"-1"</f>
        <v>2017-6-1</v>
      </c>
      <c r="D68" s="701">
        <f>EDATE(C68,-3)</f>
        <v>42795</v>
      </c>
      <c r="E68" s="701">
        <f>EDATE(D68,-3)</f>
        <v>42705</v>
      </c>
      <c r="F68" s="701">
        <f t="shared" ref="F68:O68" si="17">EDATE(E68,-3)</f>
        <v>42614</v>
      </c>
      <c r="G68" s="701">
        <f t="shared" si="17"/>
        <v>42522</v>
      </c>
      <c r="H68" s="701">
        <f t="shared" si="17"/>
        <v>42430</v>
      </c>
      <c r="I68" s="701">
        <f t="shared" si="17"/>
        <v>42339</v>
      </c>
      <c r="J68" s="701">
        <f t="shared" si="17"/>
        <v>42248</v>
      </c>
      <c r="K68" s="701">
        <f t="shared" si="17"/>
        <v>42156</v>
      </c>
      <c r="L68" s="701">
        <f t="shared" si="17"/>
        <v>42064</v>
      </c>
      <c r="M68" s="701">
        <f t="shared" si="17"/>
        <v>41974</v>
      </c>
      <c r="N68" s="701">
        <f t="shared" si="17"/>
        <v>41883</v>
      </c>
      <c r="O68" s="701">
        <f t="shared" si="17"/>
        <v>41791</v>
      </c>
      <c r="P68" s="2952"/>
      <c r="Q68" s="2952"/>
      <c r="R68" s="2952"/>
      <c r="S68" s="2952"/>
      <c r="T68" s="2952"/>
      <c r="U68" s="2952"/>
      <c r="V68" s="2952"/>
      <c r="W68" s="2952"/>
      <c r="X68" s="2952"/>
      <c r="Y68" s="2952"/>
      <c r="Z68" s="2952"/>
      <c r="AA68" s="2952"/>
      <c r="AB68" s="2952"/>
      <c r="AC68" s="2952"/>
    </row>
    <row r="69" spans="1:29" ht="21.75" thickBot="1">
      <c r="A69" s="703" t="s">
        <v>2495</v>
      </c>
      <c r="B69" s="699"/>
      <c r="C69" s="704"/>
      <c r="D69" s="704"/>
      <c r="E69" s="704"/>
      <c r="F69" s="705"/>
      <c r="G69" s="705"/>
      <c r="H69" s="704"/>
      <c r="I69" s="704"/>
      <c r="J69" s="1071"/>
      <c r="K69" s="1072"/>
      <c r="L69" s="1073"/>
      <c r="M69" s="1071"/>
      <c r="N69" s="2996"/>
      <c r="O69" s="2996"/>
      <c r="P69" s="2996"/>
      <c r="Q69" s="2966"/>
      <c r="R69" s="2952"/>
      <c r="S69" s="2952"/>
      <c r="T69" s="2952"/>
      <c r="U69" s="2952"/>
      <c r="V69" s="2952"/>
      <c r="W69" s="2952"/>
      <c r="X69" s="2952"/>
      <c r="Y69" s="2952"/>
      <c r="Z69" s="2952"/>
      <c r="AA69" s="2952"/>
      <c r="AB69" s="2952"/>
      <c r="AC69" s="2952"/>
    </row>
    <row r="70" spans="1:29" s="465" customFormat="1" ht="15">
      <c r="A70" s="2175" t="s">
        <v>2601</v>
      </c>
      <c r="B70" s="1269"/>
      <c r="C70" s="1344" t="str">
        <f>YEAR(C68)&amp;"-"&amp;ROUNDUP(MONTH(C68)/3,0)</f>
        <v>2017-2</v>
      </c>
      <c r="D70" s="1344" t="str">
        <f>YEAR(D68)&amp;"-"&amp;ROUNDUP(MONTH(D68)/3,0)</f>
        <v>2017-1</v>
      </c>
      <c r="E70" s="1344" t="str">
        <f t="shared" ref="E70:O70" si="18">YEAR(E68)&amp;"-"&amp;ROUNDUP(MONTH(E68)/3,0)</f>
        <v>2016-4</v>
      </c>
      <c r="F70" s="1344" t="str">
        <f t="shared" si="18"/>
        <v>2016-3</v>
      </c>
      <c r="G70" s="1344" t="str">
        <f t="shared" si="18"/>
        <v>2016-2</v>
      </c>
      <c r="H70" s="1344" t="str">
        <f t="shared" si="18"/>
        <v>2016-1</v>
      </c>
      <c r="I70" s="1344" t="str">
        <f t="shared" si="18"/>
        <v>2015-4</v>
      </c>
      <c r="J70" s="1344" t="str">
        <f t="shared" si="18"/>
        <v>2015-3</v>
      </c>
      <c r="K70" s="1344" t="str">
        <f t="shared" si="18"/>
        <v>2015-2</v>
      </c>
      <c r="L70" s="1344" t="str">
        <f t="shared" si="18"/>
        <v>2015-1</v>
      </c>
      <c r="M70" s="1344" t="str">
        <f t="shared" si="18"/>
        <v>2014-4</v>
      </c>
      <c r="N70" s="1344" t="str">
        <f t="shared" si="18"/>
        <v>2014-3</v>
      </c>
      <c r="O70" s="1344" t="str">
        <f t="shared" si="18"/>
        <v>2014-2</v>
      </c>
      <c r="P70" s="3003"/>
      <c r="Q70" s="2968"/>
      <c r="R70" s="2968"/>
      <c r="S70" s="2968"/>
      <c r="T70" s="2968"/>
      <c r="U70" s="2968"/>
      <c r="V70" s="2968"/>
      <c r="W70" s="2968"/>
      <c r="X70" s="2968"/>
      <c r="Y70" s="2968"/>
      <c r="Z70" s="2968"/>
      <c r="AA70" s="2968"/>
      <c r="AB70" s="2968"/>
      <c r="AC70" s="2968"/>
    </row>
    <row r="71" spans="1:29" s="113" customFormat="1" ht="30" customHeight="1">
      <c r="A71" s="2176" t="s">
        <v>2602</v>
      </c>
      <c r="B71" s="294" t="str">
        <f>"北京市平均增长率"&amp;TEXT(SUMIF('基准地价修正-办公'!N21:N25,A71,'基准地价修正-办公'!P21:P25),"0.00%")</f>
        <v>北京市平均增长率2.75%</v>
      </c>
      <c r="C71" s="560">
        <v>100</v>
      </c>
      <c r="D71" s="552"/>
      <c r="E71" s="552"/>
      <c r="F71" s="552"/>
      <c r="G71" s="552"/>
      <c r="H71" s="552"/>
      <c r="I71" s="552"/>
      <c r="J71" s="552"/>
      <c r="K71" s="552"/>
      <c r="L71" s="552"/>
      <c r="M71" s="1340"/>
      <c r="N71" s="552"/>
      <c r="O71" s="1341"/>
      <c r="P71" s="2966"/>
      <c r="Q71" s="2886"/>
      <c r="R71" s="2886"/>
      <c r="S71" s="2886"/>
      <c r="T71" s="2886"/>
      <c r="U71" s="2886"/>
      <c r="V71" s="2886"/>
      <c r="W71" s="2886"/>
      <c r="X71" s="2886"/>
      <c r="Y71" s="2886"/>
      <c r="Z71" s="2886"/>
      <c r="AA71" s="2886"/>
      <c r="AB71" s="2886"/>
      <c r="AC71" s="2886"/>
    </row>
    <row r="72" spans="1:29" s="113" customFormat="1" ht="15.75" thickBot="1">
      <c r="A72" s="472" t="s">
        <v>2406</v>
      </c>
      <c r="B72" s="473"/>
      <c r="C72" s="474"/>
      <c r="D72" s="475"/>
      <c r="E72" s="475"/>
      <c r="F72" s="475"/>
      <c r="G72" s="475"/>
      <c r="H72" s="475"/>
      <c r="I72" s="475"/>
      <c r="J72" s="475"/>
      <c r="K72" s="475"/>
      <c r="L72" s="475"/>
      <c r="M72" s="476"/>
      <c r="N72" s="475"/>
      <c r="O72" s="1074"/>
      <c r="P72" s="2966"/>
      <c r="Q72" s="2966"/>
      <c r="R72" s="2886"/>
      <c r="S72" s="2886"/>
      <c r="T72" s="2886"/>
      <c r="U72" s="2886"/>
      <c r="V72" s="2886"/>
      <c r="W72" s="2886"/>
      <c r="X72" s="2886"/>
      <c r="Y72" s="2886"/>
      <c r="Z72" s="2886"/>
      <c r="AA72" s="2886"/>
      <c r="AB72" s="2886"/>
      <c r="AC72" s="2886"/>
    </row>
    <row r="73" spans="1:29" s="113" customFormat="1" ht="15">
      <c r="A73" s="478" t="s">
        <v>2371</v>
      </c>
      <c r="B73" s="467"/>
      <c r="C73" s="479" t="s">
        <v>2473</v>
      </c>
      <c r="D73" s="480"/>
      <c r="E73" s="480"/>
      <c r="F73" s="480"/>
      <c r="G73" s="480"/>
      <c r="H73" s="480"/>
      <c r="I73" s="480"/>
      <c r="J73" s="480"/>
      <c r="K73" s="480"/>
      <c r="L73" s="481"/>
      <c r="M73" s="482"/>
      <c r="N73" s="2979"/>
      <c r="O73" s="2979"/>
      <c r="P73" s="3004"/>
      <c r="Q73" s="2966"/>
      <c r="R73" s="2886"/>
      <c r="S73" s="2886"/>
      <c r="T73" s="2886"/>
      <c r="U73" s="2886"/>
      <c r="V73" s="2886"/>
      <c r="W73" s="2886"/>
      <c r="X73" s="2886"/>
      <c r="Y73" s="2886"/>
      <c r="Z73" s="2886"/>
      <c r="AA73" s="2886"/>
      <c r="AB73" s="2886"/>
      <c r="AC73" s="2886"/>
    </row>
    <row r="74" spans="1:29" s="113" customFormat="1" ht="15.75" thickBot="1">
      <c r="A74" s="478"/>
      <c r="B74" s="467"/>
      <c r="C74" s="595">
        <v>100</v>
      </c>
      <c r="D74" s="469"/>
      <c r="E74" s="469"/>
      <c r="F74" s="469"/>
      <c r="G74" s="469"/>
      <c r="H74" s="469"/>
      <c r="I74" s="469"/>
      <c r="J74" s="469"/>
      <c r="K74" s="469"/>
      <c r="L74" s="469"/>
      <c r="M74" s="471"/>
      <c r="N74" s="2979"/>
      <c r="O74" s="2979"/>
      <c r="P74" s="2966"/>
      <c r="Q74" s="2966"/>
      <c r="R74" s="2886"/>
      <c r="S74" s="2886"/>
      <c r="T74" s="2886"/>
      <c r="U74" s="2886"/>
      <c r="V74" s="2886"/>
      <c r="W74" s="2886"/>
      <c r="X74" s="2886"/>
      <c r="Y74" s="2886"/>
      <c r="Z74" s="2886"/>
      <c r="AA74" s="2886"/>
      <c r="AB74" s="2886"/>
      <c r="AC74" s="2886"/>
    </row>
    <row r="75" spans="1:29">
      <c r="A75" s="484" t="s">
        <v>2409</v>
      </c>
      <c r="B75" s="485" t="s">
        <v>2375</v>
      </c>
      <c r="C75" s="487"/>
      <c r="D75" s="487"/>
      <c r="E75" s="487"/>
      <c r="F75" s="487"/>
      <c r="G75" s="487"/>
      <c r="H75" s="487"/>
      <c r="I75" s="487"/>
      <c r="J75" s="487"/>
      <c r="K75" s="488"/>
      <c r="L75" s="489"/>
      <c r="M75" s="490"/>
      <c r="N75" s="2980"/>
      <c r="O75" s="2980"/>
      <c r="P75" s="3005"/>
      <c r="Q75" s="2966"/>
      <c r="R75" s="2952"/>
      <c r="S75" s="2952"/>
      <c r="T75" s="2952"/>
      <c r="U75" s="2952"/>
      <c r="V75" s="2952"/>
      <c r="W75" s="2952"/>
      <c r="X75" s="2952"/>
      <c r="Y75" s="2952"/>
      <c r="Z75" s="2952"/>
      <c r="AA75" s="2952"/>
      <c r="AB75" s="2952"/>
      <c r="AC75" s="2952"/>
    </row>
    <row r="76" spans="1:29" ht="15.75" thickBot="1">
      <c r="A76" s="491"/>
      <c r="B76" s="492"/>
      <c r="C76" s="493"/>
      <c r="D76" s="493"/>
      <c r="E76" s="493"/>
      <c r="F76" s="493"/>
      <c r="G76" s="493"/>
      <c r="H76" s="493"/>
      <c r="I76" s="493"/>
      <c r="J76" s="493"/>
      <c r="K76" s="493"/>
      <c r="L76" s="493"/>
      <c r="M76" s="494"/>
      <c r="N76" s="2981"/>
      <c r="O76" s="2981"/>
      <c r="P76" s="3005"/>
      <c r="Q76" s="2966"/>
      <c r="R76" s="2952"/>
      <c r="S76" s="2952"/>
      <c r="T76" s="2952"/>
      <c r="U76" s="2952"/>
      <c r="V76" s="2952"/>
      <c r="W76" s="2952"/>
      <c r="X76" s="2952"/>
      <c r="Y76" s="2952"/>
      <c r="Z76" s="2952"/>
      <c r="AA76" s="2952"/>
      <c r="AB76" s="2952"/>
      <c r="AC76" s="2952"/>
    </row>
    <row r="77" spans="1:29" ht="27.75" thickTop="1">
      <c r="A77" s="491"/>
      <c r="B77" s="495" t="s">
        <v>2378</v>
      </c>
      <c r="C77" s="496"/>
      <c r="D77" s="496"/>
      <c r="E77" s="496"/>
      <c r="F77" s="496"/>
      <c r="G77" s="496"/>
      <c r="H77" s="496"/>
      <c r="I77" s="496"/>
      <c r="J77" s="496"/>
      <c r="K77" s="497"/>
      <c r="L77" s="498"/>
      <c r="M77" s="499"/>
      <c r="N77" s="2980"/>
      <c r="O77" s="2980"/>
      <c r="P77" s="3005"/>
      <c r="Q77" s="2966"/>
      <c r="R77" s="2952"/>
      <c r="S77" s="2952"/>
      <c r="T77" s="2952"/>
      <c r="U77" s="2952"/>
      <c r="V77" s="2952"/>
      <c r="W77" s="2952"/>
      <c r="X77" s="2952"/>
      <c r="Y77" s="2952"/>
      <c r="Z77" s="2952"/>
      <c r="AA77" s="2952"/>
      <c r="AB77" s="2952"/>
      <c r="AC77" s="2952"/>
    </row>
    <row r="78" spans="1:29" ht="15.75" thickBot="1">
      <c r="A78" s="491"/>
      <c r="B78" s="500"/>
      <c r="C78" s="501"/>
      <c r="D78" s="501"/>
      <c r="E78" s="501"/>
      <c r="F78" s="501"/>
      <c r="G78" s="501"/>
      <c r="H78" s="501"/>
      <c r="I78" s="501"/>
      <c r="J78" s="501"/>
      <c r="K78" s="501"/>
      <c r="L78" s="501"/>
      <c r="M78" s="502"/>
      <c r="N78" s="2981"/>
      <c r="O78" s="2981"/>
      <c r="P78" s="3005"/>
      <c r="Q78" s="2966"/>
      <c r="R78" s="2952"/>
      <c r="S78" s="2952"/>
      <c r="T78" s="2952"/>
      <c r="U78" s="2952"/>
      <c r="V78" s="2952"/>
      <c r="W78" s="2952"/>
      <c r="X78" s="2952"/>
      <c r="Y78" s="2952"/>
      <c r="Z78" s="2952"/>
      <c r="AA78" s="2952"/>
      <c r="AB78" s="2952"/>
      <c r="AC78" s="2952"/>
    </row>
    <row r="79" spans="1:29" ht="15.75" thickTop="1">
      <c r="A79" s="491"/>
      <c r="B79" s="503" t="s">
        <v>2379</v>
      </c>
      <c r="C79" s="504" t="str">
        <f>C80&amp;"（含）"&amp;"-"&amp;D80</f>
        <v>（含）-</v>
      </c>
      <c r="D79" s="504" t="str">
        <f t="shared" ref="D79:L79" si="19">D80&amp;"（含）"&amp;"-"&amp;E80</f>
        <v>（含）-</v>
      </c>
      <c r="E79" s="504" t="str">
        <f t="shared" si="19"/>
        <v>（含）-</v>
      </c>
      <c r="F79" s="504" t="str">
        <f t="shared" si="19"/>
        <v>（含）-</v>
      </c>
      <c r="G79" s="504" t="str">
        <f t="shared" si="19"/>
        <v>（含）-</v>
      </c>
      <c r="H79" s="504" t="str">
        <f t="shared" si="19"/>
        <v>（含）-</v>
      </c>
      <c r="I79" s="504" t="str">
        <f t="shared" si="19"/>
        <v>（含）-</v>
      </c>
      <c r="J79" s="504" t="str">
        <f t="shared" si="19"/>
        <v>（含）-</v>
      </c>
      <c r="K79" s="504" t="str">
        <f t="shared" si="19"/>
        <v>（含）-</v>
      </c>
      <c r="L79" s="504" t="str">
        <f t="shared" si="19"/>
        <v>（含）-</v>
      </c>
      <c r="M79" s="407" t="str">
        <f>M80&amp;"（含）"&amp;"-"&amp;P80</f>
        <v>（含）-</v>
      </c>
      <c r="N79" s="2981"/>
      <c r="O79" s="2981"/>
      <c r="P79" s="3005"/>
      <c r="Q79" s="2966"/>
      <c r="R79" s="2952"/>
      <c r="S79" s="2952"/>
      <c r="T79" s="2952"/>
      <c r="U79" s="2952"/>
      <c r="V79" s="2952"/>
      <c r="W79" s="2952"/>
      <c r="X79" s="2952"/>
      <c r="Y79" s="2952"/>
      <c r="Z79" s="2952"/>
      <c r="AA79" s="2952"/>
      <c r="AB79" s="2952"/>
      <c r="AC79" s="2952"/>
    </row>
    <row r="80" spans="1:29" ht="15">
      <c r="A80" s="491"/>
      <c r="B80" s="505"/>
      <c r="C80" s="506"/>
      <c r="D80" s="506"/>
      <c r="E80" s="506"/>
      <c r="F80" s="506"/>
      <c r="G80" s="506"/>
      <c r="H80" s="506"/>
      <c r="I80" s="506"/>
      <c r="J80" s="506"/>
      <c r="K80" s="507"/>
      <c r="L80" s="508"/>
      <c r="M80" s="509"/>
      <c r="N80" s="2980"/>
      <c r="O80" s="2980"/>
      <c r="P80" s="3005"/>
      <c r="Q80" s="2966"/>
      <c r="R80" s="2952"/>
      <c r="S80" s="2952"/>
      <c r="T80" s="2952"/>
      <c r="U80" s="2952"/>
      <c r="V80" s="2952"/>
      <c r="W80" s="2952"/>
      <c r="X80" s="2952"/>
      <c r="Y80" s="2952"/>
      <c r="Z80" s="2952"/>
      <c r="AA80" s="2952"/>
      <c r="AB80" s="2952"/>
      <c r="AC80" s="2952"/>
    </row>
    <row r="81" spans="1:29" ht="15.75" thickBot="1">
      <c r="A81" s="491"/>
      <c r="B81" s="492"/>
      <c r="C81" s="501">
        <v>100</v>
      </c>
      <c r="D81" s="501">
        <f t="shared" ref="D81:M81" si="20">IF($B$46="单位面积地价",C81+$K11,C81-$K11)</f>
        <v>100</v>
      </c>
      <c r="E81" s="501">
        <f t="shared" si="20"/>
        <v>100</v>
      </c>
      <c r="F81" s="501">
        <f t="shared" si="20"/>
        <v>100</v>
      </c>
      <c r="G81" s="501">
        <f t="shared" si="20"/>
        <v>100</v>
      </c>
      <c r="H81" s="501">
        <f t="shared" si="20"/>
        <v>100</v>
      </c>
      <c r="I81" s="501">
        <f t="shared" si="20"/>
        <v>100</v>
      </c>
      <c r="J81" s="501">
        <f t="shared" si="20"/>
        <v>100</v>
      </c>
      <c r="K81" s="501">
        <f t="shared" si="20"/>
        <v>100</v>
      </c>
      <c r="L81" s="501">
        <f t="shared" si="20"/>
        <v>100</v>
      </c>
      <c r="M81" s="501">
        <f t="shared" si="20"/>
        <v>100</v>
      </c>
      <c r="N81" s="2981"/>
      <c r="O81" s="2981"/>
      <c r="P81" s="3005"/>
      <c r="Q81" s="2966"/>
      <c r="R81" s="2952"/>
      <c r="S81" s="2952"/>
      <c r="T81" s="2952"/>
      <c r="U81" s="2952"/>
      <c r="V81" s="2952"/>
      <c r="W81" s="2952"/>
      <c r="X81" s="2952"/>
      <c r="Y81" s="2952"/>
      <c r="Z81" s="2952"/>
      <c r="AA81" s="2952"/>
      <c r="AB81" s="2952"/>
      <c r="AC81" s="2952"/>
    </row>
    <row r="82" spans="1:29" s="430" customFormat="1" ht="15.75" thickTop="1">
      <c r="A82" s="510"/>
      <c r="B82" s="495" t="str">
        <f>B12</f>
        <v>配建</v>
      </c>
      <c r="C82" s="511"/>
      <c r="D82" s="511"/>
      <c r="E82" s="511"/>
      <c r="F82" s="511"/>
      <c r="G82" s="511"/>
      <c r="H82" s="512"/>
      <c r="I82" s="512"/>
      <c r="J82" s="512"/>
      <c r="K82" s="512"/>
      <c r="L82" s="513"/>
      <c r="M82" s="514"/>
      <c r="N82" s="2982"/>
      <c r="O82" s="2982"/>
      <c r="P82" s="3006"/>
      <c r="Q82" s="2973"/>
      <c r="R82" s="2974"/>
      <c r="S82" s="2974"/>
      <c r="T82" s="2974"/>
      <c r="U82" s="2974"/>
      <c r="V82" s="2974"/>
      <c r="W82" s="2974"/>
      <c r="X82" s="2974"/>
      <c r="Y82" s="2974"/>
      <c r="Z82" s="2974"/>
      <c r="AA82" s="2974"/>
      <c r="AB82" s="2974"/>
      <c r="AC82" s="2974"/>
    </row>
    <row r="83" spans="1:29" s="430" customFormat="1" ht="15.75" thickBot="1">
      <c r="A83" s="510"/>
      <c r="B83" s="500"/>
      <c r="C83" s="517"/>
      <c r="D83" s="493"/>
      <c r="E83" s="493"/>
      <c r="F83" s="493"/>
      <c r="G83" s="493"/>
      <c r="H83" s="493"/>
      <c r="I83" s="493"/>
      <c r="J83" s="493"/>
      <c r="K83" s="493"/>
      <c r="L83" s="493"/>
      <c r="M83" s="494"/>
      <c r="N83" s="2981"/>
      <c r="O83" s="2981"/>
      <c r="P83" s="3006"/>
      <c r="Q83" s="2973"/>
      <c r="R83" s="2974"/>
      <c r="S83" s="2974"/>
      <c r="T83" s="2974"/>
      <c r="U83" s="2974"/>
      <c r="V83" s="2974"/>
      <c r="W83" s="2974"/>
      <c r="X83" s="2974"/>
      <c r="Y83" s="2974"/>
      <c r="Z83" s="2974"/>
      <c r="AA83" s="2974"/>
      <c r="AB83" s="2974"/>
      <c r="AC83" s="2974"/>
    </row>
    <row r="84" spans="1:29" s="430" customFormat="1" ht="15.75" thickTop="1">
      <c r="A84" s="510"/>
      <c r="B84" s="495">
        <f>B13</f>
        <v>111</v>
      </c>
      <c r="C84" s="511"/>
      <c r="D84" s="511"/>
      <c r="E84" s="511"/>
      <c r="F84" s="511"/>
      <c r="G84" s="511"/>
      <c r="H84" s="512"/>
      <c r="I84" s="512"/>
      <c r="J84" s="512"/>
      <c r="K84" s="512"/>
      <c r="L84" s="513"/>
      <c r="M84" s="514"/>
      <c r="N84" s="2982"/>
      <c r="O84" s="2982"/>
      <c r="P84" s="2950"/>
      <c r="Q84" s="2976"/>
      <c r="R84" s="2974"/>
      <c r="S84" s="2974"/>
      <c r="T84" s="2974"/>
      <c r="U84" s="2974"/>
      <c r="V84" s="2974"/>
      <c r="W84" s="2974"/>
      <c r="X84" s="2974"/>
      <c r="Y84" s="2974"/>
      <c r="Z84" s="2974"/>
      <c r="AA84" s="2974"/>
      <c r="AB84" s="2974"/>
      <c r="AC84" s="2974"/>
    </row>
    <row r="85" spans="1:29" s="430" customFormat="1" ht="15.75" thickBot="1">
      <c r="A85" s="510"/>
      <c r="B85" s="500"/>
      <c r="C85" s="517"/>
      <c r="D85" s="517"/>
      <c r="E85" s="517"/>
      <c r="F85" s="517"/>
      <c r="G85" s="517"/>
      <c r="H85" s="519"/>
      <c r="I85" s="519"/>
      <c r="J85" s="519"/>
      <c r="K85" s="519"/>
      <c r="L85" s="519"/>
      <c r="M85" s="520"/>
      <c r="N85" s="2982"/>
      <c r="O85" s="2982"/>
      <c r="P85" s="3006"/>
      <c r="Q85" s="2973"/>
      <c r="R85" s="2974"/>
      <c r="S85" s="2974"/>
      <c r="T85" s="2974"/>
      <c r="U85" s="2974"/>
      <c r="V85" s="2974"/>
      <c r="W85" s="2974"/>
      <c r="X85" s="2974"/>
      <c r="Y85" s="2974"/>
      <c r="Z85" s="2974"/>
      <c r="AA85" s="2974"/>
      <c r="AB85" s="2974"/>
      <c r="AC85" s="2974"/>
    </row>
    <row r="86" spans="1:29" s="430" customFormat="1" ht="15.75" thickTop="1">
      <c r="A86" s="510"/>
      <c r="B86" s="503">
        <f>B14</f>
        <v>111</v>
      </c>
      <c r="C86" s="480"/>
      <c r="D86" s="480"/>
      <c r="E86" s="480"/>
      <c r="F86" s="480"/>
      <c r="G86" s="480"/>
      <c r="H86" s="521"/>
      <c r="I86" s="521"/>
      <c r="J86" s="521"/>
      <c r="K86" s="521"/>
      <c r="L86" s="522"/>
      <c r="M86" s="523"/>
      <c r="N86" s="2982"/>
      <c r="O86" s="2982"/>
      <c r="P86" s="3011"/>
      <c r="Q86" s="2973"/>
      <c r="R86" s="2974"/>
      <c r="S86" s="2974"/>
      <c r="T86" s="2974"/>
      <c r="U86" s="2974"/>
      <c r="V86" s="2974"/>
      <c r="W86" s="2974"/>
      <c r="X86" s="2974"/>
      <c r="Y86" s="2974"/>
      <c r="Z86" s="2974"/>
      <c r="AA86" s="2974"/>
      <c r="AB86" s="2974"/>
      <c r="AC86" s="2974"/>
    </row>
    <row r="87" spans="1:29" s="430" customFormat="1" ht="15.75" thickBot="1">
      <c r="A87" s="525"/>
      <c r="B87" s="526"/>
      <c r="C87" s="527"/>
      <c r="D87" s="527"/>
      <c r="E87" s="527"/>
      <c r="F87" s="527"/>
      <c r="G87" s="527"/>
      <c r="H87" s="528"/>
      <c r="I87" s="528"/>
      <c r="J87" s="528"/>
      <c r="K87" s="528"/>
      <c r="L87" s="528"/>
      <c r="M87" s="529"/>
      <c r="N87" s="2982"/>
      <c r="O87" s="2982"/>
      <c r="P87" s="3006"/>
      <c r="Q87" s="2973"/>
      <c r="R87" s="2974"/>
      <c r="S87" s="2974"/>
      <c r="T87" s="2974"/>
      <c r="U87" s="2974"/>
      <c r="V87" s="2974"/>
      <c r="W87" s="2974"/>
      <c r="X87" s="2974"/>
      <c r="Y87" s="2974"/>
      <c r="Z87" s="2974"/>
      <c r="AA87" s="2974"/>
      <c r="AB87" s="2974"/>
      <c r="AC87" s="2974"/>
    </row>
    <row r="88" spans="1:29">
      <c r="A88" s="484" t="s">
        <v>2380</v>
      </c>
      <c r="B88" s="485" t="s">
        <v>2417</v>
      </c>
      <c r="C88" s="530" t="s">
        <v>2418</v>
      </c>
      <c r="D88" s="530" t="s">
        <v>2419</v>
      </c>
      <c r="E88" s="530" t="s">
        <v>2420</v>
      </c>
      <c r="F88" s="530" t="s">
        <v>2421</v>
      </c>
      <c r="G88" s="530" t="s">
        <v>2422</v>
      </c>
      <c r="H88" s="486"/>
      <c r="I88" s="486"/>
      <c r="J88" s="486"/>
      <c r="K88" s="531"/>
      <c r="L88" s="532"/>
      <c r="M88" s="533"/>
      <c r="N88" s="2980"/>
      <c r="O88" s="2980"/>
      <c r="P88" s="3007"/>
      <c r="Q88" s="2966"/>
      <c r="R88" s="2952"/>
      <c r="S88" s="2952"/>
      <c r="T88" s="2952"/>
      <c r="U88" s="2952"/>
      <c r="V88" s="2952"/>
      <c r="W88" s="2952"/>
      <c r="X88" s="2952"/>
      <c r="Y88" s="2952"/>
      <c r="Z88" s="2952"/>
      <c r="AA88" s="2952"/>
      <c r="AB88" s="2952"/>
      <c r="AC88" s="295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1"/>
      <c r="O89" s="2981"/>
      <c r="P89" s="3005"/>
      <c r="Q89" s="2966"/>
      <c r="R89" s="2952"/>
      <c r="S89" s="2952"/>
      <c r="T89" s="2952"/>
      <c r="U89" s="2952"/>
      <c r="V89" s="2952"/>
      <c r="W89" s="2952"/>
      <c r="X89" s="2952"/>
      <c r="Y89" s="2952"/>
      <c r="Z89" s="2952"/>
      <c r="AA89" s="2952"/>
      <c r="AB89" s="2952"/>
      <c r="AC89" s="2952"/>
    </row>
    <row r="90" spans="1:29" ht="15.75" thickTop="1">
      <c r="A90" s="491"/>
      <c r="B90" s="495" t="s">
        <v>2603</v>
      </c>
      <c r="C90" s="535" t="s">
        <v>2418</v>
      </c>
      <c r="D90" s="535" t="s">
        <v>2419</v>
      </c>
      <c r="E90" s="535" t="s">
        <v>2420</v>
      </c>
      <c r="F90" s="535" t="s">
        <v>2421</v>
      </c>
      <c r="G90" s="535" t="s">
        <v>2422</v>
      </c>
      <c r="H90" s="496"/>
      <c r="I90" s="496"/>
      <c r="J90" s="496"/>
      <c r="K90" s="497"/>
      <c r="L90" s="498"/>
      <c r="M90" s="499"/>
      <c r="N90" s="2980"/>
      <c r="O90" s="2980"/>
      <c r="P90" s="3005"/>
      <c r="Q90" s="2966"/>
      <c r="R90" s="2952"/>
      <c r="S90" s="2952"/>
      <c r="T90" s="2952"/>
      <c r="U90" s="2952"/>
      <c r="V90" s="2952"/>
      <c r="W90" s="2952"/>
      <c r="X90" s="2952"/>
      <c r="Y90" s="2952"/>
      <c r="Z90" s="2952"/>
      <c r="AA90" s="2952"/>
      <c r="AB90" s="2952"/>
      <c r="AC90" s="295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1"/>
      <c r="O91" s="2981"/>
      <c r="P91" s="3005"/>
      <c r="Q91" s="2966"/>
      <c r="R91" s="2952"/>
      <c r="S91" s="2952"/>
      <c r="T91" s="2952"/>
      <c r="U91" s="2952"/>
      <c r="V91" s="2952"/>
      <c r="W91" s="2952"/>
      <c r="X91" s="2952"/>
      <c r="Y91" s="2952"/>
      <c r="Z91" s="2952"/>
      <c r="AA91" s="2952"/>
      <c r="AB91" s="2952"/>
      <c r="AC91" s="2952"/>
    </row>
    <row r="92" spans="1:29" ht="15.75" thickTop="1">
      <c r="A92" s="491"/>
      <c r="B92" s="495" t="s">
        <v>2517</v>
      </c>
      <c r="C92" s="535" t="s">
        <v>2418</v>
      </c>
      <c r="D92" s="535" t="s">
        <v>2419</v>
      </c>
      <c r="E92" s="535" t="s">
        <v>2420</v>
      </c>
      <c r="F92" s="535" t="s">
        <v>2421</v>
      </c>
      <c r="G92" s="535" t="s">
        <v>2422</v>
      </c>
      <c r="H92" s="496"/>
      <c r="I92" s="496"/>
      <c r="J92" s="496"/>
      <c r="K92" s="497"/>
      <c r="L92" s="498"/>
      <c r="M92" s="499"/>
      <c r="N92" s="2980"/>
      <c r="O92" s="2980"/>
      <c r="P92" s="3005"/>
      <c r="Q92" s="2966"/>
      <c r="R92" s="2952"/>
      <c r="S92" s="2952"/>
      <c r="T92" s="2952"/>
      <c r="U92" s="2952"/>
      <c r="V92" s="2952"/>
      <c r="W92" s="2952"/>
      <c r="X92" s="2952"/>
      <c r="Y92" s="2952"/>
      <c r="Z92" s="2952"/>
      <c r="AA92" s="2952"/>
      <c r="AB92" s="2952"/>
      <c r="AC92" s="295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1"/>
      <c r="O93" s="2981"/>
      <c r="P93" s="3005"/>
      <c r="Q93" s="2966"/>
      <c r="R93" s="2952"/>
      <c r="S93" s="2952"/>
      <c r="T93" s="2952"/>
      <c r="U93" s="2952"/>
      <c r="V93" s="2952"/>
      <c r="W93" s="2952"/>
      <c r="X93" s="2952"/>
      <c r="Y93" s="2952"/>
      <c r="Z93" s="2952"/>
      <c r="AA93" s="2952"/>
      <c r="AB93" s="2952"/>
      <c r="AC93" s="2952"/>
    </row>
    <row r="94" spans="1:29" ht="15.75" thickTop="1">
      <c r="A94" s="491"/>
      <c r="B94" s="495" t="s">
        <v>2423</v>
      </c>
      <c r="C94" s="535" t="s">
        <v>2418</v>
      </c>
      <c r="D94" s="535" t="s">
        <v>2419</v>
      </c>
      <c r="E94" s="535" t="s">
        <v>2420</v>
      </c>
      <c r="F94" s="535" t="s">
        <v>2421</v>
      </c>
      <c r="G94" s="535" t="s">
        <v>2422</v>
      </c>
      <c r="H94" s="496"/>
      <c r="I94" s="496"/>
      <c r="J94" s="496"/>
      <c r="K94" s="497"/>
      <c r="L94" s="498"/>
      <c r="M94" s="499"/>
      <c r="N94" s="2980"/>
      <c r="O94" s="2980"/>
      <c r="P94" s="3005"/>
      <c r="Q94" s="2966"/>
      <c r="R94" s="2952"/>
      <c r="S94" s="2952"/>
      <c r="T94" s="2952"/>
      <c r="U94" s="2952"/>
      <c r="V94" s="2952"/>
      <c r="W94" s="2952"/>
      <c r="X94" s="2952"/>
      <c r="Y94" s="2952"/>
      <c r="Z94" s="2952"/>
      <c r="AA94" s="2952"/>
      <c r="AB94" s="2952"/>
      <c r="AC94" s="295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1"/>
      <c r="O95" s="2981"/>
      <c r="P95" s="3005"/>
      <c r="Q95" s="2966"/>
      <c r="R95" s="2952"/>
      <c r="S95" s="2952"/>
      <c r="T95" s="2952"/>
      <c r="U95" s="2952"/>
      <c r="V95" s="2952"/>
      <c r="W95" s="2952"/>
      <c r="X95" s="2952"/>
      <c r="Y95" s="2952"/>
      <c r="Z95" s="2952"/>
      <c r="AA95" s="2952"/>
      <c r="AB95" s="2952"/>
      <c r="AC95" s="2952"/>
    </row>
    <row r="96" spans="1:29" s="113" customFormat="1" ht="15.75" thickTop="1">
      <c r="A96" s="536"/>
      <c r="B96" s="495" t="s">
        <v>2604</v>
      </c>
      <c r="C96" s="535" t="s">
        <v>2418</v>
      </c>
      <c r="D96" s="535" t="s">
        <v>2419</v>
      </c>
      <c r="E96" s="535" t="s">
        <v>2420</v>
      </c>
      <c r="F96" s="535" t="s">
        <v>2421</v>
      </c>
      <c r="G96" s="535" t="s">
        <v>2422</v>
      </c>
      <c r="H96" s="535"/>
      <c r="I96" s="535"/>
      <c r="J96" s="535"/>
      <c r="K96" s="535"/>
      <c r="L96" s="654"/>
      <c r="M96" s="578"/>
      <c r="N96" s="2979"/>
      <c r="O96" s="2979"/>
      <c r="P96" s="3005"/>
      <c r="Q96" s="2966"/>
      <c r="R96" s="2886"/>
      <c r="S96" s="2886"/>
      <c r="T96" s="2886"/>
      <c r="U96" s="2886"/>
      <c r="V96" s="2886"/>
      <c r="W96" s="2886"/>
      <c r="X96" s="2886"/>
      <c r="Y96" s="2886"/>
      <c r="Z96" s="2886"/>
      <c r="AA96" s="2886"/>
      <c r="AB96" s="2886"/>
      <c r="AC96" s="288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1"/>
      <c r="O97" s="2981"/>
      <c r="P97" s="3005"/>
      <c r="Q97" s="2966"/>
      <c r="R97" s="2886"/>
      <c r="S97" s="2886"/>
      <c r="T97" s="2886"/>
      <c r="U97" s="2886"/>
      <c r="V97" s="2886"/>
      <c r="W97" s="2886"/>
      <c r="X97" s="2886"/>
      <c r="Y97" s="2886"/>
      <c r="Z97" s="2886"/>
      <c r="AA97" s="2886"/>
      <c r="AB97" s="2886"/>
      <c r="AC97" s="2886"/>
    </row>
    <row r="98" spans="1:29" s="113" customFormat="1" ht="27.75" thickTop="1">
      <c r="A98" s="536"/>
      <c r="B98" s="495" t="s">
        <v>2605</v>
      </c>
      <c r="C98" s="530" t="s">
        <v>2418</v>
      </c>
      <c r="D98" s="530" t="s">
        <v>2419</v>
      </c>
      <c r="E98" s="530" t="s">
        <v>2420</v>
      </c>
      <c r="F98" s="530" t="s">
        <v>2421</v>
      </c>
      <c r="G98" s="530" t="s">
        <v>2422</v>
      </c>
      <c r="H98" s="535"/>
      <c r="I98" s="535"/>
      <c r="J98" s="535"/>
      <c r="K98" s="535"/>
      <c r="L98" s="535"/>
      <c r="M98" s="578"/>
      <c r="N98" s="2979"/>
      <c r="O98" s="2979"/>
      <c r="P98" s="3005"/>
      <c r="Q98" s="2966"/>
      <c r="R98" s="2886"/>
      <c r="S98" s="2886"/>
      <c r="T98" s="2886"/>
      <c r="U98" s="2886"/>
      <c r="V98" s="2886"/>
      <c r="W98" s="2886"/>
      <c r="X98" s="2886"/>
      <c r="Y98" s="2886"/>
      <c r="Z98" s="2886"/>
      <c r="AA98" s="2886"/>
      <c r="AB98" s="2886"/>
      <c r="AC98" s="288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1"/>
      <c r="O99" s="2981"/>
      <c r="P99" s="3005"/>
      <c r="Q99" s="2966"/>
      <c r="R99" s="2886"/>
      <c r="S99" s="2886"/>
      <c r="T99" s="2886"/>
      <c r="U99" s="2886"/>
      <c r="V99" s="2886"/>
      <c r="W99" s="2886"/>
      <c r="X99" s="2886"/>
      <c r="Y99" s="2886"/>
      <c r="Z99" s="2886"/>
      <c r="AA99" s="2886"/>
      <c r="AB99" s="2886"/>
      <c r="AC99" s="2886"/>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2"/>
      <c r="O100" s="2982"/>
      <c r="P100" s="3006"/>
      <c r="Q100" s="2973"/>
      <c r="R100" s="2974"/>
      <c r="S100" s="2974"/>
      <c r="T100" s="2974"/>
      <c r="U100" s="2974"/>
      <c r="V100" s="2974"/>
      <c r="W100" s="2974"/>
      <c r="X100" s="2974"/>
      <c r="Y100" s="2974"/>
      <c r="Z100" s="2974"/>
      <c r="AA100" s="2974"/>
      <c r="AB100" s="2974"/>
      <c r="AC100" s="297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2"/>
      <c r="O101" s="2982"/>
      <c r="P101" s="3006"/>
      <c r="Q101" s="2973"/>
      <c r="R101" s="2974"/>
      <c r="S101" s="2974"/>
      <c r="T101" s="2974"/>
      <c r="U101" s="2974"/>
      <c r="V101" s="2974"/>
      <c r="W101" s="2974"/>
      <c r="X101" s="2974"/>
      <c r="Y101" s="2974"/>
      <c r="Z101" s="2974"/>
      <c r="AA101" s="2974"/>
      <c r="AB101" s="2974"/>
      <c r="AC101" s="2974"/>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2"/>
      <c r="O102" s="2982"/>
      <c r="P102" s="3006"/>
      <c r="Q102" s="2973"/>
      <c r="R102" s="2974"/>
      <c r="S102" s="2974"/>
      <c r="T102" s="2974"/>
      <c r="U102" s="2974"/>
      <c r="V102" s="2974"/>
      <c r="W102" s="2974"/>
      <c r="X102" s="2974"/>
      <c r="Y102" s="2974"/>
      <c r="Z102" s="2974"/>
      <c r="AA102" s="2974"/>
      <c r="AB102" s="2974"/>
      <c r="AC102" s="297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2"/>
      <c r="O103" s="2982"/>
      <c r="P103" s="3006"/>
      <c r="Q103" s="2973"/>
      <c r="R103" s="2974"/>
      <c r="S103" s="2974"/>
      <c r="T103" s="2974"/>
      <c r="U103" s="2974"/>
      <c r="V103" s="2974"/>
      <c r="W103" s="2974"/>
      <c r="X103" s="2974"/>
      <c r="Y103" s="2974"/>
      <c r="Z103" s="2974"/>
      <c r="AA103" s="2974"/>
      <c r="AB103" s="2974"/>
      <c r="AC103" s="2974"/>
    </row>
    <row r="104" spans="1:29" ht="15.75" thickTop="1">
      <c r="A104" s="491"/>
      <c r="B104" s="495" t="str">
        <f>B31</f>
        <v>临街状况</v>
      </c>
      <c r="C104" s="496" t="s">
        <v>2606</v>
      </c>
      <c r="D104" s="496" t="s">
        <v>2607</v>
      </c>
      <c r="E104" s="496" t="s">
        <v>2608</v>
      </c>
      <c r="F104" s="496" t="s">
        <v>2609</v>
      </c>
      <c r="G104" s="496"/>
      <c r="H104" s="496"/>
      <c r="I104" s="496"/>
      <c r="J104" s="496"/>
      <c r="K104" s="497"/>
      <c r="L104" s="498"/>
      <c r="M104" s="499"/>
      <c r="N104" s="2980"/>
      <c r="O104" s="2980"/>
      <c r="P104" s="3005"/>
      <c r="Q104" s="2966"/>
      <c r="R104" s="2952"/>
      <c r="S104" s="2952"/>
      <c r="T104" s="2952"/>
      <c r="U104" s="2952"/>
      <c r="V104" s="2952"/>
      <c r="W104" s="2952"/>
      <c r="X104" s="2952"/>
      <c r="Y104" s="2952"/>
      <c r="Z104" s="2952"/>
      <c r="AA104" s="2952"/>
      <c r="AB104" s="2952"/>
      <c r="AC104" s="2952"/>
    </row>
    <row r="105" spans="1:29" ht="15.75" thickBot="1">
      <c r="A105" s="491"/>
      <c r="B105" s="500"/>
      <c r="C105" s="501">
        <v>100</v>
      </c>
      <c r="D105" s="501">
        <f>C105-$K31</f>
        <v>100</v>
      </c>
      <c r="E105" s="501">
        <f t="shared" ref="E105:M105" si="21">D105-$K31</f>
        <v>100</v>
      </c>
      <c r="F105" s="501">
        <f t="shared" si="21"/>
        <v>100</v>
      </c>
      <c r="G105" s="501">
        <f t="shared" si="21"/>
        <v>100</v>
      </c>
      <c r="H105" s="501">
        <f t="shared" si="21"/>
        <v>100</v>
      </c>
      <c r="I105" s="501">
        <f t="shared" si="21"/>
        <v>100</v>
      </c>
      <c r="J105" s="501">
        <f t="shared" si="21"/>
        <v>100</v>
      </c>
      <c r="K105" s="501">
        <f t="shared" si="21"/>
        <v>100</v>
      </c>
      <c r="L105" s="501">
        <f t="shared" si="21"/>
        <v>100</v>
      </c>
      <c r="M105" s="501">
        <f t="shared" si="21"/>
        <v>100</v>
      </c>
      <c r="N105" s="2981"/>
      <c r="O105" s="2981"/>
      <c r="P105" s="3005"/>
      <c r="Q105" s="2966"/>
      <c r="R105" s="2952"/>
      <c r="S105" s="2952"/>
      <c r="T105" s="2952"/>
      <c r="U105" s="2952"/>
      <c r="V105" s="2952"/>
      <c r="W105" s="2952"/>
      <c r="X105" s="2952"/>
      <c r="Y105" s="2952"/>
      <c r="Z105" s="2952"/>
      <c r="AA105" s="2952"/>
      <c r="AB105" s="2952"/>
      <c r="AC105" s="2952"/>
    </row>
    <row r="106" spans="1:29" ht="27.75" thickTop="1">
      <c r="A106" s="491"/>
      <c r="B106" s="495" t="s">
        <v>2512</v>
      </c>
      <c r="C106" s="511"/>
      <c r="D106" s="511"/>
      <c r="E106" s="511"/>
      <c r="F106" s="511"/>
      <c r="G106" s="511"/>
      <c r="H106" s="540"/>
      <c r="I106" s="540"/>
      <c r="J106" s="540"/>
      <c r="K106" s="541"/>
      <c r="L106" s="542"/>
      <c r="M106" s="543"/>
      <c r="N106" s="2980"/>
      <c r="O106" s="2980"/>
      <c r="P106" s="3005"/>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C107-$K32</f>
        <v>100</v>
      </c>
      <c r="E107" s="501">
        <f t="shared" ref="E107:M107" si="22">D107-$K32</f>
        <v>100</v>
      </c>
      <c r="F107" s="501">
        <f t="shared" si="22"/>
        <v>100</v>
      </c>
      <c r="G107" s="501">
        <f t="shared" si="22"/>
        <v>100</v>
      </c>
      <c r="H107" s="501">
        <f t="shared" si="22"/>
        <v>100</v>
      </c>
      <c r="I107" s="501">
        <f t="shared" si="22"/>
        <v>100</v>
      </c>
      <c r="J107" s="501">
        <f t="shared" si="22"/>
        <v>100</v>
      </c>
      <c r="K107" s="501">
        <f t="shared" si="22"/>
        <v>100</v>
      </c>
      <c r="L107" s="501">
        <f t="shared" si="22"/>
        <v>100</v>
      </c>
      <c r="M107" s="501">
        <f t="shared" si="22"/>
        <v>100</v>
      </c>
      <c r="N107" s="2981"/>
      <c r="O107" s="2981"/>
      <c r="P107" s="3005"/>
      <c r="Q107" s="2966"/>
      <c r="R107" s="2952"/>
      <c r="S107" s="2952"/>
      <c r="T107" s="2952"/>
      <c r="U107" s="2952"/>
      <c r="V107" s="2952"/>
      <c r="W107" s="2952"/>
      <c r="X107" s="2952"/>
      <c r="Y107" s="2952"/>
      <c r="Z107" s="2952"/>
      <c r="AA107" s="2952"/>
      <c r="AB107" s="2952"/>
      <c r="AC107" s="2952"/>
    </row>
    <row r="108" spans="1:29" ht="15.75" thickTop="1">
      <c r="A108" s="491"/>
      <c r="B108" s="495" t="s">
        <v>2569</v>
      </c>
      <c r="C108" s="540"/>
      <c r="D108" s="540"/>
      <c r="E108" s="540"/>
      <c r="F108" s="540"/>
      <c r="G108" s="540"/>
      <c r="H108" s="540"/>
      <c r="I108" s="540"/>
      <c r="J108" s="540"/>
      <c r="K108" s="541"/>
      <c r="L108" s="542"/>
      <c r="M108" s="543"/>
      <c r="N108" s="2980"/>
      <c r="O108" s="2980"/>
      <c r="P108" s="3005"/>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C109-$K34</f>
        <v>100</v>
      </c>
      <c r="E109" s="501">
        <f t="shared" ref="E109:M109" si="23">D109-$K34</f>
        <v>100</v>
      </c>
      <c r="F109" s="501">
        <f t="shared" si="23"/>
        <v>100</v>
      </c>
      <c r="G109" s="501">
        <f t="shared" si="23"/>
        <v>100</v>
      </c>
      <c r="H109" s="501">
        <f t="shared" si="23"/>
        <v>100</v>
      </c>
      <c r="I109" s="501">
        <f t="shared" si="23"/>
        <v>100</v>
      </c>
      <c r="J109" s="501">
        <f t="shared" si="23"/>
        <v>100</v>
      </c>
      <c r="K109" s="501">
        <f t="shared" si="23"/>
        <v>100</v>
      </c>
      <c r="L109" s="501">
        <f t="shared" si="23"/>
        <v>100</v>
      </c>
      <c r="M109" s="501">
        <f t="shared" si="23"/>
        <v>100</v>
      </c>
      <c r="N109" s="2981"/>
      <c r="O109" s="2981"/>
      <c r="P109" s="3005"/>
      <c r="Q109" s="2966"/>
      <c r="R109" s="2952"/>
      <c r="S109" s="2952"/>
      <c r="T109" s="2952"/>
      <c r="U109" s="2952"/>
      <c r="V109" s="2952"/>
      <c r="W109" s="2952"/>
      <c r="X109" s="2952"/>
      <c r="Y109" s="2952"/>
      <c r="Z109" s="2952"/>
      <c r="AA109" s="2952"/>
      <c r="AB109" s="2952"/>
      <c r="AC109" s="2952"/>
    </row>
    <row r="110" spans="1:29" ht="15.75" thickTop="1">
      <c r="A110" s="491"/>
      <c r="B110" s="503">
        <f>B35</f>
        <v>111</v>
      </c>
      <c r="C110" s="511"/>
      <c r="D110" s="511"/>
      <c r="E110" s="511"/>
      <c r="F110" s="511"/>
      <c r="G110" s="544"/>
      <c r="H110" s="544"/>
      <c r="I110" s="544"/>
      <c r="J110" s="544"/>
      <c r="K110" s="545"/>
      <c r="L110" s="546"/>
      <c r="M110" s="547"/>
      <c r="N110" s="2980"/>
      <c r="O110" s="2980"/>
      <c r="P110" s="3005"/>
      <c r="Q110" s="2966"/>
      <c r="R110" s="2952"/>
      <c r="S110" s="2952"/>
      <c r="T110" s="2952"/>
      <c r="U110" s="2952"/>
      <c r="V110" s="2952"/>
      <c r="W110" s="2952"/>
      <c r="X110" s="2952"/>
      <c r="Y110" s="2952"/>
      <c r="Z110" s="2952"/>
      <c r="AA110" s="2952"/>
      <c r="AB110" s="2952"/>
      <c r="AC110" s="2952"/>
    </row>
    <row r="111" spans="1:29" ht="15.75" thickBot="1">
      <c r="A111" s="491"/>
      <c r="B111" s="526"/>
      <c r="C111" s="517"/>
      <c r="D111" s="517"/>
      <c r="E111" s="517"/>
      <c r="F111" s="517"/>
      <c r="G111" s="548"/>
      <c r="H111" s="548"/>
      <c r="I111" s="548"/>
      <c r="J111" s="548"/>
      <c r="K111" s="548"/>
      <c r="L111" s="548"/>
      <c r="M111" s="549"/>
      <c r="N111" s="2981"/>
      <c r="O111" s="2981"/>
      <c r="P111" s="3005"/>
      <c r="Q111" s="2966"/>
      <c r="R111" s="2952"/>
      <c r="S111" s="2952"/>
      <c r="T111" s="2952"/>
      <c r="U111" s="2952"/>
      <c r="V111" s="2952"/>
      <c r="W111" s="2952"/>
      <c r="X111" s="2952"/>
      <c r="Y111" s="2952"/>
      <c r="Z111" s="2952"/>
      <c r="AA111" s="2952"/>
      <c r="AB111" s="2952"/>
      <c r="AC111" s="2952"/>
    </row>
    <row r="112" spans="1:29" ht="15" thickTop="1">
      <c r="A112" s="631"/>
      <c r="B112" s="495">
        <f>B36</f>
        <v>111</v>
      </c>
      <c r="C112" s="480"/>
      <c r="D112" s="480"/>
      <c r="E112" s="480"/>
      <c r="F112" s="480"/>
      <c r="G112" s="540"/>
      <c r="H112" s="540"/>
      <c r="I112" s="540"/>
      <c r="J112" s="540"/>
      <c r="K112" s="541"/>
      <c r="L112" s="542"/>
      <c r="M112" s="543"/>
      <c r="N112" s="2980"/>
      <c r="O112" s="2980"/>
      <c r="P112" s="3005"/>
      <c r="Q112" s="2966"/>
      <c r="R112" s="2952"/>
      <c r="S112" s="2952"/>
      <c r="T112" s="2952"/>
      <c r="U112" s="2952"/>
      <c r="V112" s="2952"/>
      <c r="W112" s="2952"/>
      <c r="X112" s="2952"/>
      <c r="Y112" s="2952"/>
      <c r="Z112" s="2952"/>
      <c r="AA112" s="2952"/>
      <c r="AB112" s="2952"/>
      <c r="AC112" s="2952"/>
    </row>
    <row r="113" spans="1:29" ht="15.75" thickBot="1">
      <c r="A113" s="491"/>
      <c r="B113" s="500"/>
      <c r="C113" s="527"/>
      <c r="D113" s="527"/>
      <c r="E113" s="527"/>
      <c r="F113" s="527"/>
      <c r="G113" s="493"/>
      <c r="H113" s="493"/>
      <c r="I113" s="493"/>
      <c r="J113" s="493"/>
      <c r="K113" s="493"/>
      <c r="L113" s="493"/>
      <c r="M113" s="494"/>
      <c r="N113" s="2981"/>
      <c r="O113" s="2981"/>
      <c r="P113" s="3005"/>
      <c r="Q113" s="2966"/>
      <c r="R113" s="2952"/>
      <c r="S113" s="2952"/>
      <c r="T113" s="2952"/>
      <c r="U113" s="2952"/>
      <c r="V113" s="2952"/>
      <c r="W113" s="2952"/>
      <c r="X113" s="2952"/>
      <c r="Y113" s="2952"/>
      <c r="Z113" s="2952"/>
      <c r="AA113" s="2952"/>
      <c r="AB113" s="2952"/>
      <c r="AC113" s="2952"/>
    </row>
    <row r="114" spans="1:29" s="430" customFormat="1" ht="15" thickTop="1">
      <c r="A114" s="550"/>
      <c r="B114" s="551">
        <f>B37</f>
        <v>111</v>
      </c>
      <c r="C114" s="552"/>
      <c r="D114" s="552"/>
      <c r="E114" s="552"/>
      <c r="F114" s="552"/>
      <c r="G114" s="552"/>
      <c r="H114" s="552"/>
      <c r="I114" s="552"/>
      <c r="J114" s="553"/>
      <c r="K114" s="553"/>
      <c r="L114" s="554"/>
      <c r="M114" s="555"/>
      <c r="N114" s="2982"/>
      <c r="O114" s="2982"/>
      <c r="P114" s="3006"/>
      <c r="Q114" s="2973"/>
      <c r="R114" s="2974"/>
      <c r="S114" s="2974"/>
      <c r="T114" s="2974"/>
      <c r="U114" s="2974"/>
      <c r="V114" s="2974"/>
      <c r="W114" s="2974"/>
      <c r="X114" s="2974"/>
      <c r="Y114" s="2974"/>
      <c r="Z114" s="2974"/>
      <c r="AA114" s="2974"/>
      <c r="AB114" s="2974"/>
      <c r="AC114" s="2974"/>
    </row>
    <row r="115" spans="1:29" s="430" customFormat="1" ht="15.75" thickBot="1">
      <c r="A115" s="510"/>
      <c r="B115" s="503"/>
      <c r="C115" s="469"/>
      <c r="D115" s="633"/>
      <c r="E115" s="633"/>
      <c r="F115" s="633"/>
      <c r="G115" s="633"/>
      <c r="H115" s="633"/>
      <c r="I115" s="633"/>
      <c r="J115" s="633"/>
      <c r="K115" s="633"/>
      <c r="L115" s="633"/>
      <c r="M115" s="655"/>
      <c r="N115" s="2981"/>
      <c r="O115" s="2981"/>
      <c r="P115" s="3006"/>
      <c r="Q115" s="2973"/>
      <c r="R115" s="2974"/>
      <c r="S115" s="2974"/>
      <c r="T115" s="2974"/>
      <c r="U115" s="2974"/>
      <c r="V115" s="2974"/>
      <c r="W115" s="2974"/>
      <c r="X115" s="2974"/>
      <c r="Y115" s="2974"/>
      <c r="Z115" s="2974"/>
      <c r="AA115" s="2974"/>
      <c r="AB115" s="2974"/>
      <c r="AC115" s="2974"/>
    </row>
    <row r="116" spans="1:29">
      <c r="A116" s="484" t="s">
        <v>2384</v>
      </c>
      <c r="B116" s="485" t="s">
        <v>2610</v>
      </c>
      <c r="C116" s="486" t="str">
        <f>C117&amp;"(含)"&amp;"-"&amp;D117</f>
        <v>(含)-</v>
      </c>
      <c r="D116" s="486" t="str">
        <f t="shared" ref="D116:M116" si="24">D117&amp;"(含)"&amp;"-"&amp;E117</f>
        <v>(含)-</v>
      </c>
      <c r="E116" s="486" t="str">
        <f t="shared" si="24"/>
        <v>(含)-</v>
      </c>
      <c r="F116" s="486" t="str">
        <f t="shared" si="24"/>
        <v>(含)-</v>
      </c>
      <c r="G116" s="486" t="str">
        <f t="shared" si="24"/>
        <v>(含)-</v>
      </c>
      <c r="H116" s="486" t="str">
        <f t="shared" si="24"/>
        <v>(含)-</v>
      </c>
      <c r="I116" s="486" t="str">
        <f t="shared" si="24"/>
        <v>(含)-</v>
      </c>
      <c r="J116" s="486" t="str">
        <f t="shared" si="24"/>
        <v>(含)-</v>
      </c>
      <c r="K116" s="486" t="str">
        <f t="shared" si="24"/>
        <v>(含)-</v>
      </c>
      <c r="L116" s="486" t="str">
        <f t="shared" si="24"/>
        <v>(含)-</v>
      </c>
      <c r="M116" s="486" t="str">
        <f t="shared" si="24"/>
        <v>(含)-</v>
      </c>
      <c r="N116" s="2980"/>
      <c r="O116" s="2980"/>
      <c r="P116" s="3005"/>
      <c r="Q116" s="2966"/>
      <c r="R116" s="2952"/>
      <c r="S116" s="2952"/>
      <c r="T116" s="2952"/>
      <c r="U116" s="2952"/>
      <c r="V116" s="2952"/>
      <c r="W116" s="2952"/>
      <c r="X116" s="2952"/>
      <c r="Y116" s="2952"/>
      <c r="Z116" s="2952"/>
      <c r="AA116" s="2952"/>
      <c r="AB116" s="2952"/>
      <c r="AC116" s="2952"/>
    </row>
    <row r="117" spans="1:29" ht="15">
      <c r="A117" s="491"/>
      <c r="B117" s="503"/>
      <c r="C117" s="552"/>
      <c r="D117" s="552"/>
      <c r="E117" s="552"/>
      <c r="F117" s="552"/>
      <c r="G117" s="552"/>
      <c r="H117" s="552"/>
      <c r="I117" s="552"/>
      <c r="J117" s="553"/>
      <c r="K117" s="553"/>
      <c r="L117" s="554"/>
      <c r="M117" s="555"/>
      <c r="N117" s="2980"/>
      <c r="O117" s="2980"/>
      <c r="P117" s="3005"/>
      <c r="Q117" s="2966"/>
      <c r="R117" s="2952"/>
      <c r="S117" s="2952"/>
      <c r="T117" s="2952"/>
      <c r="U117" s="2952"/>
      <c r="V117" s="2952"/>
      <c r="W117" s="2952"/>
      <c r="X117" s="2952"/>
      <c r="Y117" s="2952"/>
      <c r="Z117" s="2952"/>
      <c r="AA117" s="2952"/>
      <c r="AB117" s="2952"/>
      <c r="AC117" s="2952"/>
    </row>
    <row r="118" spans="1:29" ht="15.75" thickBot="1">
      <c r="A118" s="491"/>
      <c r="B118" s="500"/>
      <c r="C118" s="527"/>
      <c r="D118" s="548"/>
      <c r="E118" s="548"/>
      <c r="F118" s="548"/>
      <c r="G118" s="548"/>
      <c r="H118" s="548"/>
      <c r="I118" s="548"/>
      <c r="J118" s="548"/>
      <c r="K118" s="548"/>
      <c r="L118" s="548"/>
      <c r="M118" s="549"/>
      <c r="N118" s="2981"/>
      <c r="O118" s="2981"/>
      <c r="P118" s="3005"/>
      <c r="Q118" s="2966"/>
      <c r="R118" s="2952"/>
      <c r="S118" s="2952"/>
      <c r="T118" s="2952"/>
      <c r="U118" s="2952"/>
      <c r="V118" s="2952"/>
      <c r="W118" s="2952"/>
      <c r="X118" s="2952"/>
      <c r="Y118" s="2952"/>
      <c r="Z118" s="2952"/>
      <c r="AA118" s="2952"/>
      <c r="AB118" s="2952"/>
      <c r="AC118" s="2952"/>
    </row>
    <row r="119" spans="1:29" ht="15" thickTop="1">
      <c r="A119" s="556"/>
      <c r="B119" s="495" t="s">
        <v>2611</v>
      </c>
      <c r="C119" s="540"/>
      <c r="D119" s="540"/>
      <c r="E119" s="540"/>
      <c r="F119" s="540"/>
      <c r="G119" s="540"/>
      <c r="H119" s="540"/>
      <c r="I119" s="540"/>
      <c r="J119" s="540"/>
      <c r="K119" s="541"/>
      <c r="L119" s="542"/>
      <c r="M119" s="543"/>
      <c r="N119" s="2980"/>
      <c r="O119" s="2980"/>
      <c r="P119" s="3005"/>
      <c r="Q119" s="2966"/>
      <c r="R119" s="2952"/>
      <c r="S119" s="2952"/>
      <c r="T119" s="2952"/>
      <c r="U119" s="2952"/>
      <c r="V119" s="2952"/>
      <c r="W119" s="2952"/>
      <c r="X119" s="2952"/>
      <c r="Y119" s="2952"/>
      <c r="Z119" s="2952"/>
      <c r="AA119" s="2952"/>
      <c r="AB119" s="2952"/>
      <c r="AC119" s="2952"/>
    </row>
    <row r="120" spans="1:29" ht="15.75" thickBot="1">
      <c r="A120" s="491"/>
      <c r="B120" s="500"/>
      <c r="C120" s="501">
        <v>100</v>
      </c>
      <c r="D120" s="501">
        <f t="shared" ref="D120:M120" si="25">C120-$K39</f>
        <v>100</v>
      </c>
      <c r="E120" s="501">
        <f t="shared" si="25"/>
        <v>100</v>
      </c>
      <c r="F120" s="501">
        <f t="shared" si="25"/>
        <v>100</v>
      </c>
      <c r="G120" s="501">
        <f t="shared" si="25"/>
        <v>100</v>
      </c>
      <c r="H120" s="501">
        <f t="shared" si="25"/>
        <v>100</v>
      </c>
      <c r="I120" s="501">
        <f t="shared" si="25"/>
        <v>100</v>
      </c>
      <c r="J120" s="501">
        <f t="shared" si="25"/>
        <v>100</v>
      </c>
      <c r="K120" s="501">
        <f t="shared" si="25"/>
        <v>100</v>
      </c>
      <c r="L120" s="501">
        <f t="shared" si="25"/>
        <v>100</v>
      </c>
      <c r="M120" s="502">
        <f t="shared" si="25"/>
        <v>100</v>
      </c>
      <c r="N120" s="2981"/>
      <c r="O120" s="2981"/>
      <c r="P120" s="3005"/>
      <c r="Q120" s="2966"/>
      <c r="R120" s="2952"/>
      <c r="S120" s="2952"/>
      <c r="T120" s="2952"/>
      <c r="U120" s="2952"/>
      <c r="V120" s="2952"/>
      <c r="W120" s="2952"/>
      <c r="X120" s="2952"/>
      <c r="Y120" s="2952"/>
      <c r="Z120" s="2952"/>
      <c r="AA120" s="2952"/>
      <c r="AB120" s="2952"/>
      <c r="AC120" s="2952"/>
    </row>
    <row r="121" spans="1:29" ht="15" thickTop="1">
      <c r="A121" s="556"/>
      <c r="B121" s="495" t="s">
        <v>2612</v>
      </c>
      <c r="C121" s="511"/>
      <c r="D121" s="511"/>
      <c r="E121" s="511"/>
      <c r="F121" s="540"/>
      <c r="G121" s="540"/>
      <c r="H121" s="540"/>
      <c r="I121" s="540"/>
      <c r="J121" s="540"/>
      <c r="K121" s="541"/>
      <c r="L121" s="542"/>
      <c r="M121" s="543"/>
      <c r="N121" s="2980"/>
      <c r="O121" s="2980"/>
      <c r="P121" s="3005"/>
      <c r="Q121" s="2966"/>
      <c r="R121" s="2952"/>
      <c r="S121" s="2952"/>
      <c r="T121" s="2952"/>
      <c r="U121" s="2952"/>
      <c r="V121" s="2952"/>
      <c r="W121" s="2952"/>
      <c r="X121" s="2952"/>
      <c r="Y121" s="2952"/>
      <c r="Z121" s="2952"/>
      <c r="AA121" s="2952"/>
      <c r="AB121" s="2952"/>
      <c r="AC121" s="2952"/>
    </row>
    <row r="122" spans="1:29" ht="15.75" thickBot="1">
      <c r="A122" s="491"/>
      <c r="B122" s="500"/>
      <c r="C122" s="501">
        <v>100</v>
      </c>
      <c r="D122" s="501">
        <f t="shared" ref="D122:M122" si="26">C122-$K40</f>
        <v>100</v>
      </c>
      <c r="E122" s="501">
        <f t="shared" si="26"/>
        <v>100</v>
      </c>
      <c r="F122" s="501">
        <f t="shared" si="26"/>
        <v>100</v>
      </c>
      <c r="G122" s="501">
        <f t="shared" si="26"/>
        <v>100</v>
      </c>
      <c r="H122" s="501">
        <f t="shared" si="26"/>
        <v>100</v>
      </c>
      <c r="I122" s="501">
        <f t="shared" si="26"/>
        <v>100</v>
      </c>
      <c r="J122" s="501">
        <f t="shared" si="26"/>
        <v>100</v>
      </c>
      <c r="K122" s="501">
        <f t="shared" si="26"/>
        <v>100</v>
      </c>
      <c r="L122" s="501">
        <f t="shared" si="26"/>
        <v>100</v>
      </c>
      <c r="M122" s="502">
        <f t="shared" si="26"/>
        <v>100</v>
      </c>
      <c r="N122" s="2981"/>
      <c r="O122" s="2981"/>
      <c r="P122" s="3005"/>
      <c r="Q122" s="2966"/>
      <c r="R122" s="2952"/>
      <c r="S122" s="2952"/>
      <c r="T122" s="2952"/>
      <c r="U122" s="2952"/>
      <c r="V122" s="2952"/>
      <c r="W122" s="2952"/>
      <c r="X122" s="2952"/>
      <c r="Y122" s="2952"/>
      <c r="Z122" s="2952"/>
      <c r="AA122" s="2952"/>
      <c r="AB122" s="2952"/>
      <c r="AC122" s="2952"/>
    </row>
    <row r="123" spans="1:29" s="430" customFormat="1" ht="15" thickTop="1">
      <c r="A123" s="550"/>
      <c r="B123" s="495" t="s">
        <v>2613</v>
      </c>
      <c r="C123" s="511"/>
      <c r="D123" s="511"/>
      <c r="E123" s="511"/>
      <c r="F123" s="511"/>
      <c r="G123" s="511"/>
      <c r="H123" s="540"/>
      <c r="I123" s="540"/>
      <c r="J123" s="540"/>
      <c r="K123" s="541"/>
      <c r="L123" s="542"/>
      <c r="M123" s="543"/>
      <c r="N123" s="2982"/>
      <c r="O123" s="2982"/>
      <c r="P123" s="3006"/>
      <c r="Q123" s="2973"/>
      <c r="R123" s="2974"/>
      <c r="S123" s="2974"/>
      <c r="T123" s="2974"/>
      <c r="U123" s="2974"/>
      <c r="V123" s="2974"/>
      <c r="W123" s="2974"/>
      <c r="X123" s="2974"/>
      <c r="Y123" s="2974"/>
      <c r="Z123" s="2974"/>
      <c r="AA123" s="2974"/>
      <c r="AB123" s="2974"/>
      <c r="AC123" s="2974"/>
    </row>
    <row r="124" spans="1:29" s="430" customFormat="1" ht="15.75" thickBot="1">
      <c r="A124" s="510"/>
      <c r="B124" s="500"/>
      <c r="C124" s="501">
        <v>100</v>
      </c>
      <c r="D124" s="501">
        <f>C124-$K41</f>
        <v>100</v>
      </c>
      <c r="E124" s="501">
        <f t="shared" ref="E124:M124" si="27">D124-$K41</f>
        <v>100</v>
      </c>
      <c r="F124" s="501">
        <f t="shared" si="27"/>
        <v>100</v>
      </c>
      <c r="G124" s="501">
        <f t="shared" si="27"/>
        <v>100</v>
      </c>
      <c r="H124" s="501">
        <f t="shared" si="27"/>
        <v>100</v>
      </c>
      <c r="I124" s="501">
        <f t="shared" si="27"/>
        <v>100</v>
      </c>
      <c r="J124" s="501">
        <f t="shared" si="27"/>
        <v>100</v>
      </c>
      <c r="K124" s="501">
        <f t="shared" si="27"/>
        <v>100</v>
      </c>
      <c r="L124" s="501">
        <f t="shared" si="27"/>
        <v>100</v>
      </c>
      <c r="M124" s="502">
        <f t="shared" si="27"/>
        <v>100</v>
      </c>
      <c r="N124" s="2982"/>
      <c r="O124" s="2982"/>
      <c r="P124" s="3006"/>
      <c r="Q124" s="2973"/>
      <c r="R124" s="2974"/>
      <c r="S124" s="2974"/>
      <c r="T124" s="2974"/>
      <c r="U124" s="2974"/>
      <c r="V124" s="2974"/>
      <c r="W124" s="2974"/>
      <c r="X124" s="2974"/>
      <c r="Y124" s="2974"/>
      <c r="Z124" s="2974"/>
      <c r="AA124" s="2974"/>
      <c r="AB124" s="2974"/>
      <c r="AC124" s="2974"/>
    </row>
    <row r="125" spans="1:29" ht="15" thickTop="1">
      <c r="A125" s="556"/>
      <c r="B125" s="495" t="s">
        <v>2614</v>
      </c>
      <c r="C125" s="511"/>
      <c r="D125" s="511"/>
      <c r="E125" s="540"/>
      <c r="F125" s="540"/>
      <c r="G125" s="540"/>
      <c r="H125" s="540"/>
      <c r="I125" s="540"/>
      <c r="J125" s="540"/>
      <c r="K125" s="541"/>
      <c r="L125" s="542"/>
      <c r="M125" s="543"/>
      <c r="N125" s="2980"/>
      <c r="O125" s="2980"/>
      <c r="P125" s="3005"/>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 t="shared" ref="D126:M126" si="28">C126-$K42</f>
        <v>100</v>
      </c>
      <c r="E126" s="501">
        <f t="shared" si="28"/>
        <v>100</v>
      </c>
      <c r="F126" s="501">
        <f t="shared" si="28"/>
        <v>100</v>
      </c>
      <c r="G126" s="501">
        <f t="shared" si="28"/>
        <v>100</v>
      </c>
      <c r="H126" s="501">
        <f t="shared" si="28"/>
        <v>100</v>
      </c>
      <c r="I126" s="501">
        <f t="shared" si="28"/>
        <v>100</v>
      </c>
      <c r="J126" s="501">
        <f t="shared" si="28"/>
        <v>100</v>
      </c>
      <c r="K126" s="501">
        <f t="shared" si="28"/>
        <v>100</v>
      </c>
      <c r="L126" s="501">
        <f t="shared" si="28"/>
        <v>100</v>
      </c>
      <c r="M126" s="502">
        <f t="shared" si="28"/>
        <v>100</v>
      </c>
      <c r="N126" s="2981"/>
      <c r="O126" s="2981"/>
      <c r="P126" s="3005"/>
      <c r="Q126" s="2966"/>
      <c r="R126" s="2952"/>
      <c r="S126" s="2952"/>
      <c r="T126" s="2952"/>
      <c r="U126" s="2952"/>
      <c r="V126" s="2952"/>
      <c r="W126" s="2952"/>
      <c r="X126" s="2952"/>
      <c r="Y126" s="2952"/>
      <c r="Z126" s="2952"/>
      <c r="AA126" s="2952"/>
      <c r="AB126" s="2952"/>
      <c r="AC126" s="2952"/>
    </row>
    <row r="127" spans="1:29" ht="15" thickTop="1">
      <c r="A127" s="556"/>
      <c r="B127" s="495">
        <f>B43</f>
        <v>111</v>
      </c>
      <c r="C127" s="511"/>
      <c r="D127" s="511"/>
      <c r="E127" s="511"/>
      <c r="F127" s="511"/>
      <c r="G127" s="511"/>
      <c r="H127" s="540"/>
      <c r="I127" s="540"/>
      <c r="J127" s="540"/>
      <c r="K127" s="541"/>
      <c r="L127" s="542"/>
      <c r="M127" s="543"/>
      <c r="N127" s="2980"/>
      <c r="O127" s="2980"/>
      <c r="P127" s="3005"/>
      <c r="Q127" s="2966"/>
      <c r="R127" s="2952"/>
      <c r="S127" s="2952"/>
      <c r="T127" s="2952"/>
      <c r="U127" s="2952"/>
      <c r="V127" s="2952"/>
      <c r="W127" s="2952"/>
      <c r="X127" s="2952"/>
      <c r="Y127" s="2952"/>
      <c r="Z127" s="2952"/>
      <c r="AA127" s="2952"/>
      <c r="AB127" s="2952"/>
      <c r="AC127" s="2952"/>
    </row>
    <row r="128" spans="1:29" ht="15.75" thickBot="1">
      <c r="A128" s="491"/>
      <c r="B128" s="500"/>
      <c r="C128" s="517"/>
      <c r="D128" s="517"/>
      <c r="E128" s="517"/>
      <c r="F128" s="517"/>
      <c r="G128" s="493"/>
      <c r="H128" s="493"/>
      <c r="I128" s="493"/>
      <c r="J128" s="493"/>
      <c r="K128" s="493"/>
      <c r="L128" s="493"/>
      <c r="M128" s="494"/>
      <c r="N128" s="2981"/>
      <c r="O128" s="2981"/>
      <c r="P128" s="3005"/>
      <c r="Q128" s="2966"/>
      <c r="R128" s="2952"/>
      <c r="S128" s="2952"/>
      <c r="T128" s="2952"/>
      <c r="U128" s="2952"/>
      <c r="V128" s="2952"/>
      <c r="W128" s="2952"/>
      <c r="X128" s="2952"/>
      <c r="Y128" s="2952"/>
      <c r="Z128" s="2952"/>
      <c r="AA128" s="2952"/>
      <c r="AB128" s="2952"/>
      <c r="AC128" s="2952"/>
    </row>
    <row r="129" spans="1:29" ht="15" thickTop="1">
      <c r="A129" s="556"/>
      <c r="B129" s="495">
        <f>B44</f>
        <v>111</v>
      </c>
      <c r="C129" s="480"/>
      <c r="D129" s="480"/>
      <c r="E129" s="480"/>
      <c r="F129" s="480"/>
      <c r="G129" s="540"/>
      <c r="H129" s="540"/>
      <c r="I129" s="540"/>
      <c r="J129" s="540"/>
      <c r="K129" s="541"/>
      <c r="L129" s="542"/>
      <c r="M129" s="543"/>
      <c r="N129" s="2980"/>
      <c r="O129" s="2980"/>
      <c r="P129" s="3005"/>
      <c r="Q129" s="2966"/>
      <c r="R129" s="2952"/>
      <c r="S129" s="2952"/>
      <c r="T129" s="2952"/>
      <c r="U129" s="2952"/>
      <c r="V129" s="2952"/>
      <c r="W129" s="2952"/>
      <c r="X129" s="2952"/>
      <c r="Y129" s="2952"/>
      <c r="Z129" s="2952"/>
      <c r="AA129" s="2952"/>
      <c r="AB129" s="2952"/>
      <c r="AC129" s="2952"/>
    </row>
    <row r="130" spans="1:29" ht="15.75" thickBot="1">
      <c r="A130" s="491"/>
      <c r="B130" s="500"/>
      <c r="C130" s="527"/>
      <c r="D130" s="527"/>
      <c r="E130" s="527"/>
      <c r="F130" s="527"/>
      <c r="G130" s="493"/>
      <c r="H130" s="493"/>
      <c r="I130" s="493"/>
      <c r="J130" s="493"/>
      <c r="K130" s="493"/>
      <c r="L130" s="493"/>
      <c r="M130" s="494"/>
      <c r="N130" s="2981"/>
      <c r="O130" s="2981"/>
      <c r="P130" s="3005"/>
      <c r="Q130" s="2966"/>
      <c r="R130" s="2952"/>
      <c r="S130" s="2952"/>
      <c r="T130" s="2952"/>
      <c r="U130" s="2952"/>
      <c r="V130" s="2952"/>
      <c r="W130" s="2952"/>
      <c r="X130" s="2952"/>
      <c r="Y130" s="2952"/>
      <c r="Z130" s="2952"/>
      <c r="AA130" s="2952"/>
      <c r="AB130" s="2952"/>
      <c r="AC130" s="2952"/>
    </row>
    <row r="131" spans="1:29" s="430" customFormat="1" ht="15" thickTop="1">
      <c r="A131" s="550"/>
      <c r="B131" s="495">
        <f>B45</f>
        <v>111</v>
      </c>
      <c r="C131" s="480"/>
      <c r="D131" s="480"/>
      <c r="E131" s="480"/>
      <c r="F131" s="480"/>
      <c r="G131" s="512"/>
      <c r="H131" s="512"/>
      <c r="I131" s="512"/>
      <c r="J131" s="512"/>
      <c r="K131" s="512"/>
      <c r="L131" s="513"/>
      <c r="M131" s="514"/>
      <c r="N131" s="2982"/>
      <c r="O131" s="2982"/>
      <c r="P131" s="3006"/>
      <c r="Q131" s="2973"/>
      <c r="R131" s="2974"/>
      <c r="S131" s="2974"/>
      <c r="T131" s="2974"/>
      <c r="U131" s="2974"/>
      <c r="V131" s="2974"/>
      <c r="W131" s="2974"/>
      <c r="X131" s="2974"/>
      <c r="Y131" s="2974"/>
      <c r="Z131" s="2974"/>
      <c r="AA131" s="2974"/>
      <c r="AB131" s="2974"/>
      <c r="AC131" s="2974"/>
    </row>
    <row r="132" spans="1:29" s="430" customFormat="1" ht="15.75" thickBot="1">
      <c r="A132" s="525"/>
      <c r="B132" s="656"/>
      <c r="C132" s="527"/>
      <c r="D132" s="527"/>
      <c r="E132" s="527"/>
      <c r="F132" s="527"/>
      <c r="G132" s="548"/>
      <c r="H132" s="548"/>
      <c r="I132" s="548"/>
      <c r="J132" s="548"/>
      <c r="K132" s="548"/>
      <c r="L132" s="548"/>
      <c r="M132" s="549"/>
      <c r="N132" s="2982"/>
      <c r="O132" s="2982"/>
      <c r="P132" s="3006"/>
      <c r="Q132" s="2973"/>
      <c r="R132" s="2974"/>
      <c r="S132" s="2974"/>
      <c r="T132" s="2974"/>
      <c r="U132" s="2974"/>
      <c r="V132" s="2974"/>
      <c r="W132" s="2974"/>
      <c r="X132" s="2974"/>
      <c r="Y132" s="2974"/>
      <c r="Z132" s="2974"/>
      <c r="AA132" s="2974"/>
      <c r="AB132" s="2974"/>
      <c r="AC132" s="2974"/>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169" priority="18" stopIfTrue="1" operator="containsText" text="超过">
      <formula>NOT(ISERROR(SEARCH("超过",F51)))</formula>
    </cfRule>
  </conditionalFormatting>
  <conditionalFormatting sqref="J53">
    <cfRule type="containsText" dxfId="168" priority="17" stopIfTrue="1" operator="containsText" text="超过">
      <formula>NOT(ISERROR(SEARCH("超过",J53)))</formula>
    </cfRule>
  </conditionalFormatting>
  <conditionalFormatting sqref="H53">
    <cfRule type="containsText" dxfId="167" priority="16" stopIfTrue="1" operator="containsText" text="超过">
      <formula>NOT(ISERROR(SEARCH("超过",H53)))</formula>
    </cfRule>
  </conditionalFormatting>
  <conditionalFormatting sqref="F53">
    <cfRule type="containsText" dxfId="166" priority="15" stopIfTrue="1" operator="containsText" text="超过">
      <formula>NOT(ISERROR(SEARCH("超过",F53)))</formula>
    </cfRule>
  </conditionalFormatting>
  <conditionalFormatting sqref="F52 H52 J52">
    <cfRule type="containsText" dxfId="165" priority="14" stopIfTrue="1" operator="containsText" text="超过">
      <formula>NOT(ISERROR(SEARCH("超过",F52)))</formula>
    </cfRule>
  </conditionalFormatting>
  <conditionalFormatting sqref="E51">
    <cfRule type="expression" dxfId="164" priority="13" stopIfTrue="1">
      <formula>$F$51="超过30%"</formula>
    </cfRule>
  </conditionalFormatting>
  <conditionalFormatting sqref="G53">
    <cfRule type="expression" dxfId="163" priority="12" stopIfTrue="1">
      <formula>$H$53="超过30%"</formula>
    </cfRule>
  </conditionalFormatting>
  <conditionalFormatting sqref="E52">
    <cfRule type="expression" dxfId="162" priority="11" stopIfTrue="1">
      <formula>$F$52="超过20%"</formula>
    </cfRule>
  </conditionalFormatting>
  <conditionalFormatting sqref="E53">
    <cfRule type="expression" dxfId="161" priority="10" stopIfTrue="1">
      <formula>$F$53="超过30%"</formula>
    </cfRule>
  </conditionalFormatting>
  <conditionalFormatting sqref="G51">
    <cfRule type="expression" dxfId="160" priority="9" stopIfTrue="1">
      <formula>$H$53+$H$51="超过30%"</formula>
    </cfRule>
  </conditionalFormatting>
  <conditionalFormatting sqref="G52">
    <cfRule type="expression" dxfId="159" priority="8" stopIfTrue="1">
      <formula>$H$52="超过20%"</formula>
    </cfRule>
  </conditionalFormatting>
  <conditionalFormatting sqref="I51">
    <cfRule type="expression" dxfId="158" priority="7" stopIfTrue="1">
      <formula>$J$51="超过30%"</formula>
    </cfRule>
  </conditionalFormatting>
  <conditionalFormatting sqref="I52">
    <cfRule type="expression" dxfId="157" priority="6" stopIfTrue="1">
      <formula>$J$52="超过20%"</formula>
    </cfRule>
  </conditionalFormatting>
  <conditionalFormatting sqref="I53">
    <cfRule type="expression" dxfId="156" priority="5" stopIfTrue="1">
      <formula>$J$53="超过30%"</formula>
    </cfRule>
  </conditionalFormatting>
  <conditionalFormatting sqref="F47">
    <cfRule type="expression" dxfId="155" priority="4">
      <formula>$D$47="简单平均"</formula>
    </cfRule>
  </conditionalFormatting>
  <conditionalFormatting sqref="H47">
    <cfRule type="expression" dxfId="154" priority="3">
      <formula>$D$47="简单平均"</formula>
    </cfRule>
  </conditionalFormatting>
  <conditionalFormatting sqref="J47">
    <cfRule type="expression" dxfId="153" priority="2">
      <formula>$D$47="简单平均"</formula>
    </cfRule>
  </conditionalFormatting>
  <conditionalFormatting sqref="F7:F45 H7:H45 J7:J45">
    <cfRule type="cellIs" dxfId="152" priority="1" operator="notEqual">
      <formula>100</formula>
    </cfRule>
  </conditionalFormatting>
  <dataValidations count="25">
    <dataValidation type="list" allowBlank="1" showInputMessage="1" showErrorMessage="1" sqref="C25" xr:uid="{00000000-0002-0000-1C00-000000000000}">
      <formula1>住宅朝向</formula1>
    </dataValidation>
    <dataValidation type="list" allowBlank="1" showInputMessage="1" showErrorMessage="1" sqref="E28 C28 G28 I28" xr:uid="{00000000-0002-0000-1C00-000001000000}">
      <formula1>公共配套设施</formula1>
    </dataValidation>
    <dataValidation type="list" allowBlank="1" showInputMessage="1" showErrorMessage="1" sqref="E22 C22 G22 I22" xr:uid="{00000000-0002-0000-1C00-000002000000}">
      <formula1>交通便捷度</formula1>
    </dataValidation>
    <dataValidation type="list" allowBlank="1" showInputMessage="1" showErrorMessage="1" sqref="E16 G16 I16 C16" xr:uid="{00000000-0002-0000-1C00-000003000000}">
      <formula1>居住社区成熟度</formula1>
    </dataValidation>
    <dataValidation type="list" allowBlank="1" showInputMessage="1" showErrorMessage="1" sqref="C26 E26 G26 I26" xr:uid="{00000000-0002-0000-1C00-000004000000}">
      <formula1>环境</formula1>
    </dataValidation>
    <dataValidation type="list" allowBlank="1" showInputMessage="1" showErrorMessage="1" sqref="B46" xr:uid="{00000000-0002-0000-1C00-000005000000}">
      <formula1>单价内涵</formula1>
    </dataValidation>
    <dataValidation type="list" allowBlank="1" showInputMessage="1" showErrorMessage="1" sqref="C8 E8 G8 I8" xr:uid="{00000000-0002-0000-1C00-000006000000}">
      <formula1>套综交易情况</formula1>
    </dataValidation>
    <dataValidation type="list" allowBlank="1" showInputMessage="1" showErrorMessage="1" sqref="C9 E9 G9 I9" xr:uid="{00000000-0002-0000-1C00-000007000000}">
      <formula1>套综用途</formula1>
    </dataValidation>
    <dataValidation type="list" allowBlank="1" showInputMessage="1" showErrorMessage="1" sqref="E18 C18 G18 I18" xr:uid="{00000000-0002-0000-1C00-000008000000}">
      <formula1>商业繁华度</formula1>
    </dataValidation>
    <dataValidation type="list" allowBlank="1" showInputMessage="1" showErrorMessage="1" sqref="E20 C20 G20 I20" xr:uid="{00000000-0002-0000-1C00-000009000000}">
      <formula1>办公集聚程度</formula1>
    </dataValidation>
    <dataValidation type="list" allowBlank="1" showInputMessage="1" showErrorMessage="1" sqref="C33 E33 G33 I33" xr:uid="{00000000-0002-0000-1C00-00000A000000}">
      <formula1>套综道路等级</formula1>
    </dataValidation>
    <dataValidation type="list" allowBlank="1" showInputMessage="1" showErrorMessage="1" sqref="C34 E34 G34 I34" xr:uid="{00000000-0002-0000-1C00-00000B000000}">
      <formula1>套综土地级别</formula1>
    </dataValidation>
    <dataValidation type="list" allowBlank="1" showInputMessage="1" showErrorMessage="1" sqref="C39 E39 G39 I39" xr:uid="{00000000-0002-0000-1C00-00000C000000}">
      <formula1>套综宗地形状</formula1>
    </dataValidation>
    <dataValidation type="list" allowBlank="1" showInputMessage="1" showErrorMessage="1" sqref="C40 E40 G40 I40" xr:uid="{00000000-0002-0000-1C00-00000D000000}">
      <formula1>套综临街宽度及深度</formula1>
    </dataValidation>
    <dataValidation type="list" allowBlank="1" showInputMessage="1" showErrorMessage="1" sqref="C41 E41 G41 I41" xr:uid="{00000000-0002-0000-1C00-00000E000000}">
      <formula1>套综宗地内开发程度</formula1>
    </dataValidation>
    <dataValidation type="list" allowBlank="1" showInputMessage="1" showErrorMessage="1" sqref="C42 E42 G42 I42" xr:uid="{00000000-0002-0000-1C00-00000F000000}">
      <formula1>套综工程地质条件</formula1>
    </dataValidation>
    <dataValidation type="list" allowBlank="1" showInputMessage="1" showErrorMessage="1" sqref="C31 E31 G31 I31" xr:uid="{00000000-0002-0000-1C00-000010000000}">
      <formula1>临街状况</formula1>
    </dataValidation>
    <dataValidation type="list" allowBlank="1" showInputMessage="1" showErrorMessage="1" sqref="E24 G24 I24 C24" xr:uid="{00000000-0002-0000-1C00-000011000000}">
      <formula1>区域土地利用方向</formula1>
    </dataValidation>
    <dataValidation type="list" allowBlank="1" showInputMessage="1" showErrorMessage="1" sqref="C55" xr:uid="{00000000-0002-0000-1C00-000012000000}">
      <formula1>"北京市系数,其他省市系数"</formula1>
    </dataValidation>
    <dataValidation type="list" allowBlank="1" showInputMessage="1" showErrorMessage="1" sqref="G62" xr:uid="{00000000-0002-0000-1C00-000013000000}">
      <formula1>"商业,办公,住宅,工业"</formula1>
    </dataValidation>
    <dataValidation type="list" allowBlank="1" showInputMessage="1" showErrorMessage="1" sqref="G63" xr:uid="{00000000-0002-0000-1C00-000014000000}">
      <formula1>"住宅,工业"</formula1>
    </dataValidation>
    <dataValidation type="list" allowBlank="1" showInputMessage="1" showErrorMessage="1" sqref="D57:D65" xr:uid="{00000000-0002-0000-1C00-000015000000}">
      <formula1>"25%,1"</formula1>
    </dataValidation>
    <dataValidation type="list" allowBlank="1" showInputMessage="1" showErrorMessage="1" sqref="C30 E30 G30 I30" xr:uid="{00000000-0002-0000-1C00-000016000000}">
      <formula1>基础设施水平</formula1>
    </dataValidation>
    <dataValidation type="list" allowBlank="1" showInputMessage="1" showErrorMessage="1" sqref="A71" xr:uid="{00000000-0002-0000-1C00-000017000000}">
      <formula1>"综合,商业,办公,住宅"</formula1>
    </dataValidation>
    <dataValidation type="list" allowBlank="1" showInputMessage="1" showErrorMessage="1" sqref="D47" xr:uid="{00000000-0002-0000-1C00-000018000000}">
      <formula1>"简单平均,加权平均"</formula1>
    </dataValidation>
  </dataValidations>
  <pageMargins left="0.70866141732283472" right="0.70866141732283472" top="1.0629921259842521" bottom="0.94488188976377963" header="0.31496062992125984" footer="0.31496062992125984"/>
  <pageSetup paperSize="9" scale="34"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v>
      </c>
    </row>
    <row r="4" spans="1:1" ht="18">
      <c r="A4" s="1665" t="str">
        <f>"受贵公司委托，我公司对"&amp;项目基本情况!S1&amp;"进行了预评估。"</f>
        <v>受贵公司委托，我公司对北京市进行了预评估。</v>
      </c>
    </row>
    <row r="5" spans="1:1" ht="18.75">
      <c r="A5" s="1666" t="s">
        <v>1577</v>
      </c>
    </row>
    <row r="6" spans="1:1" ht="18.75">
      <c r="A6" s="1667" t="s">
        <v>1578</v>
      </c>
    </row>
    <row r="7" spans="1:1" ht="54">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估价对象为北京市房地产，为所有。根据《国有土地使用证》[]，估价对象（分摊）出让国有建设用地使用权面积为5933.24平方米，建筑面积为47689.05平方米。</v>
      </c>
    </row>
    <row r="8" spans="1:1" ht="57.75">
      <c r="A8" s="1668" t="s">
        <v>1579</v>
      </c>
    </row>
    <row r="9" spans="1:1" ht="18.75">
      <c r="A9" s="1667" t="s">
        <v>1580</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估价对象为北京市房地产,属开发建设的，该项目尚在开发建设中。根据《国有土地使用证》[]，估价对象（分摊）出让国有建设用地使用权面积为5933.24平方米，规划建筑面积为47689.05平方米。</v>
      </c>
    </row>
    <row r="11" spans="1:1" ht="76.5">
      <c r="A11" s="1668" t="s">
        <v>1581</v>
      </c>
    </row>
    <row r="12" spans="1:1" ht="18.75">
      <c r="A12" s="1666" t="s">
        <v>1582</v>
      </c>
    </row>
    <row r="13" spans="1:1" ht="38.25" customHeight="1">
      <c r="A13" s="1669" t="str">
        <f>IF(项目基本情况!B8="抵押",IF(项目基本情况!B5=项目基本情况!B6,定义!C51,定义!B51),定义!D51)</f>
        <v>为估价委托人了解估价对象房地产市场价值提供参考依据。</v>
      </c>
    </row>
    <row r="14" spans="1:1" ht="18.75">
      <c r="A14" s="1670" t="s">
        <v>1583</v>
      </c>
    </row>
    <row r="15" spans="1:1" ht="18">
      <c r="A15" s="1671" t="str">
        <f>TEXT(项目基本情况!D3,"yyyy年m月d日;;")&amp;IF(项目基本情况!D3=项目基本情况!B3,"（评估专业人员实地查勘之日）","")</f>
        <v>2017年6月28日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6月28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0" t="s">
        <v>1574</v>
      </c>
    </row>
    <row r="24" spans="1:1" ht="18">
      <c r="A24" s="1672" t="str">
        <f>"本次评估采用的主估价方法为"&amp;结果表!K4&amp;"和"&amp;结果表!L4&amp;"。"</f>
        <v>本次评估采用的主估价方法为成本法和成本法。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2563</v>
      </c>
      <c r="B1" s="355"/>
      <c r="C1" s="356" t="s">
        <v>2615</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2565</v>
      </c>
      <c r="D3" s="1355"/>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29" ht="15">
      <c r="A4" s="361" t="s">
        <v>2466</v>
      </c>
      <c r="B4" s="362"/>
      <c r="C4" s="3781" t="s">
        <v>2467</v>
      </c>
      <c r="D4" s="3782"/>
      <c r="E4" s="3783" t="s">
        <v>2468</v>
      </c>
      <c r="F4" s="3784"/>
      <c r="G4" s="3781" t="s">
        <v>2469</v>
      </c>
      <c r="H4" s="3782"/>
      <c r="I4" s="3781" t="s">
        <v>2470</v>
      </c>
      <c r="J4" s="3782"/>
      <c r="K4" s="567" t="s">
        <v>2471</v>
      </c>
      <c r="L4" s="2942"/>
      <c r="M4" s="2943"/>
      <c r="N4" s="2943"/>
      <c r="O4" s="2943"/>
      <c r="P4" s="3785" t="s">
        <v>2472</v>
      </c>
      <c r="Q4" s="3786"/>
      <c r="R4" s="3768" t="s">
        <v>2468</v>
      </c>
      <c r="S4" s="3769"/>
      <c r="T4" s="3768" t="s">
        <v>2469</v>
      </c>
      <c r="U4" s="3769"/>
      <c r="V4" s="3793" t="s">
        <v>2470</v>
      </c>
      <c r="W4" s="3793"/>
      <c r="X4" s="1539"/>
      <c r="Y4" s="3768" t="s">
        <v>2472</v>
      </c>
      <c r="Z4" s="3769"/>
      <c r="AA4" s="3763" t="s">
        <v>2468</v>
      </c>
      <c r="AB4" s="3764" t="s">
        <v>2469</v>
      </c>
      <c r="AC4" s="3763" t="s">
        <v>2470</v>
      </c>
    </row>
    <row r="5" spans="1:29" ht="15">
      <c r="A5" s="364"/>
      <c r="B5" s="365"/>
      <c r="C5" s="3774" t="s">
        <v>2363</v>
      </c>
      <c r="D5" s="3775"/>
      <c r="E5" s="3772" t="s">
        <v>2364</v>
      </c>
      <c r="F5" s="3773"/>
      <c r="G5" s="3774" t="s">
        <v>2365</v>
      </c>
      <c r="H5" s="3775"/>
      <c r="I5" s="3774" t="s">
        <v>2366</v>
      </c>
      <c r="J5" s="3775"/>
      <c r="K5" s="567"/>
      <c r="L5" s="2942"/>
      <c r="M5" s="2943"/>
      <c r="N5" s="2943"/>
      <c r="O5" s="2943"/>
      <c r="P5" s="3787"/>
      <c r="Q5" s="3788"/>
      <c r="R5" s="3770"/>
      <c r="S5" s="3771"/>
      <c r="T5" s="3770"/>
      <c r="U5" s="3771"/>
      <c r="V5" s="3793"/>
      <c r="W5" s="3793"/>
      <c r="X5" s="1539"/>
      <c r="Y5" s="3770"/>
      <c r="Z5" s="3771"/>
      <c r="AA5" s="3764"/>
      <c r="AB5" s="3764"/>
      <c r="AC5" s="3764"/>
    </row>
    <row r="6" spans="1:29" ht="15.75" thickBot="1">
      <c r="A6" s="366"/>
      <c r="B6" s="367"/>
      <c r="C6" s="3815" t="s">
        <v>2616</v>
      </c>
      <c r="D6" s="3816"/>
      <c r="E6" s="3817" t="s">
        <v>2616</v>
      </c>
      <c r="F6" s="3818"/>
      <c r="G6" s="3815" t="s">
        <v>2616</v>
      </c>
      <c r="H6" s="3816"/>
      <c r="I6" s="3815" t="s">
        <v>2616</v>
      </c>
      <c r="J6" s="3816"/>
      <c r="K6" s="567" t="s">
        <v>2368</v>
      </c>
      <c r="L6" s="2942"/>
      <c r="M6" s="2943"/>
      <c r="N6" s="2943"/>
      <c r="O6" s="2943"/>
      <c r="P6" s="3789"/>
      <c r="Q6" s="3790"/>
      <c r="R6" s="3770"/>
      <c r="S6" s="3771"/>
      <c r="T6" s="3791"/>
      <c r="U6" s="3792"/>
      <c r="V6" s="3793"/>
      <c r="W6" s="3793"/>
      <c r="X6" s="1539"/>
      <c r="Y6" s="3791"/>
      <c r="Z6" s="3792"/>
      <c r="AA6" s="3765"/>
      <c r="AB6" s="3765"/>
      <c r="AC6" s="3765"/>
    </row>
    <row r="7" spans="1:29" s="113" customFormat="1" ht="15.75" thickBot="1">
      <c r="A7" s="368" t="s">
        <v>2369</v>
      </c>
      <c r="B7" s="369"/>
      <c r="C7" s="370">
        <f>'数据-取费表'!B2</f>
        <v>42914</v>
      </c>
      <c r="D7" s="371">
        <v>100</v>
      </c>
      <c r="E7" s="372"/>
      <c r="F7" s="373">
        <f>SUMIF(65:65,YEAR(E7)&amp;"-"&amp;INT((MONTH(E7)+2)/3),66:66)</f>
        <v>0</v>
      </c>
      <c r="G7" s="2160"/>
      <c r="H7" s="371">
        <f>SUMIF(65:65,YEAR(G7)&amp;"-"&amp;INT((MONTH(G7)+2)/3),66:66)</f>
        <v>0</v>
      </c>
      <c r="I7" s="2160"/>
      <c r="J7" s="371">
        <f>SUMIF(65:65,YEAR(I7)&amp;"-"&amp;INT((MONTH(I7)+2)/3),66:66)</f>
        <v>0</v>
      </c>
      <c r="K7" s="568"/>
      <c r="L7" s="2944"/>
      <c r="M7" s="2945"/>
      <c r="N7" s="2945"/>
      <c r="O7" s="2945"/>
      <c r="P7" s="3766" t="s">
        <v>2370</v>
      </c>
      <c r="Q7" s="3794"/>
      <c r="R7" s="710" t="s">
        <v>17</v>
      </c>
      <c r="S7" s="711">
        <f t="shared" ref="S7:S15" si="0">F7</f>
        <v>0</v>
      </c>
      <c r="T7" s="710" t="s">
        <v>17</v>
      </c>
      <c r="U7" s="711">
        <f t="shared" ref="U7:U15" si="1">H7</f>
        <v>0</v>
      </c>
      <c r="V7" s="710" t="s">
        <v>17</v>
      </c>
      <c r="W7" s="711">
        <f t="shared" ref="W7:W15" si="2">J7</f>
        <v>0</v>
      </c>
      <c r="X7" s="712"/>
      <c r="Y7" s="3766" t="s">
        <v>2370</v>
      </c>
      <c r="Z7" s="3767"/>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4"/>
      <c r="M8" s="2945"/>
      <c r="N8" s="2945"/>
      <c r="O8" s="2945"/>
      <c r="P8" s="3766" t="s">
        <v>2373</v>
      </c>
      <c r="Q8" s="3767"/>
      <c r="R8" s="710" t="s">
        <v>17</v>
      </c>
      <c r="S8" s="711">
        <f t="shared" si="0"/>
        <v>0</v>
      </c>
      <c r="T8" s="710" t="s">
        <v>17</v>
      </c>
      <c r="U8" s="711">
        <f t="shared" si="1"/>
        <v>0</v>
      </c>
      <c r="V8" s="710" t="s">
        <v>17</v>
      </c>
      <c r="W8" s="711">
        <f t="shared" si="2"/>
        <v>0</v>
      </c>
      <c r="X8" s="712"/>
      <c r="Y8" s="3766" t="s">
        <v>2373</v>
      </c>
      <c r="Z8" s="3767"/>
      <c r="AA8" s="713" t="e">
        <f t="shared" ref="AA8:AA40" si="3">D8/F8</f>
        <v>#DIV/0!</v>
      </c>
      <c r="AB8" s="713" t="e">
        <f t="shared" ref="AB8:AB40" si="4">D8/H8</f>
        <v>#DIV/0!</v>
      </c>
      <c r="AC8" s="713" t="e">
        <f t="shared" ref="AC8:AC40" si="5">D8/J8</f>
        <v>#DIV/0!</v>
      </c>
    </row>
    <row r="9" spans="1:29" s="113" customFormat="1">
      <c r="A9" s="375" t="s">
        <v>2374</v>
      </c>
      <c r="B9" s="67" t="s">
        <v>2375</v>
      </c>
      <c r="C9" s="2163"/>
      <c r="D9" s="131">
        <v>100</v>
      </c>
      <c r="E9" s="2163"/>
      <c r="F9" s="131">
        <f>SUMIF(70:70,E9,71:71)-SUMIF(70:70,C9,71:71)+100</f>
        <v>100</v>
      </c>
      <c r="G9" s="2163"/>
      <c r="H9" s="131">
        <f>SUMIF(70:70,G9,71:71)-SUMIF(70:70,C9,71:71)+100</f>
        <v>100</v>
      </c>
      <c r="I9" s="2163"/>
      <c r="J9" s="131">
        <f>SUMIF(70:70,I9,71:71)-SUMIF(70:70,C9,71:71)+100</f>
        <v>100</v>
      </c>
      <c r="K9" s="568"/>
      <c r="L9" s="2944"/>
      <c r="M9" s="2945"/>
      <c r="N9" s="2945"/>
      <c r="O9" s="2999"/>
      <c r="P9" s="3798" t="s">
        <v>2376</v>
      </c>
      <c r="Q9" s="1527" t="str">
        <f t="shared" ref="Q9:Q15" si="6">B9</f>
        <v>用途</v>
      </c>
      <c r="R9" s="710" t="s">
        <v>17</v>
      </c>
      <c r="S9" s="711">
        <f t="shared" si="0"/>
        <v>100</v>
      </c>
      <c r="T9" s="710" t="s">
        <v>17</v>
      </c>
      <c r="U9" s="711">
        <f t="shared" si="1"/>
        <v>100</v>
      </c>
      <c r="V9" s="710" t="s">
        <v>17</v>
      </c>
      <c r="W9" s="711">
        <f t="shared" si="2"/>
        <v>100</v>
      </c>
      <c r="X9" s="712"/>
      <c r="Y9" s="3708"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123</v>
      </c>
      <c r="G10" s="391"/>
      <c r="H10" s="132">
        <f>ROUND(100/'数据-取费表'!G16,0)</f>
        <v>123</v>
      </c>
      <c r="I10" s="391"/>
      <c r="J10" s="132">
        <f>ROUND(100/'数据-取费表'!G16,0)</f>
        <v>123</v>
      </c>
      <c r="K10" s="628"/>
      <c r="L10" s="2946"/>
      <c r="M10" s="2947"/>
      <c r="N10" s="2947"/>
      <c r="O10" s="3000"/>
      <c r="P10" s="3798"/>
      <c r="Q10" s="1527" t="str">
        <f t="shared" si="6"/>
        <v>土地使用年限（年）</v>
      </c>
      <c r="R10" s="710" t="s">
        <v>17</v>
      </c>
      <c r="S10" s="711">
        <f t="shared" si="0"/>
        <v>123</v>
      </c>
      <c r="T10" s="710" t="s">
        <v>17</v>
      </c>
      <c r="U10" s="711">
        <f t="shared" si="1"/>
        <v>123</v>
      </c>
      <c r="V10" s="710" t="s">
        <v>17</v>
      </c>
      <c r="W10" s="711">
        <f t="shared" si="2"/>
        <v>123</v>
      </c>
      <c r="X10" s="712"/>
      <c r="Y10" s="3708"/>
      <c r="Z10" s="55" t="str">
        <f t="shared" si="7"/>
        <v>土地使用年限（年）</v>
      </c>
      <c r="AA10" s="713">
        <f t="shared" si="3"/>
        <v>0.81300813008130079</v>
      </c>
      <c r="AB10" s="713">
        <f t="shared" si="4"/>
        <v>0.81300813008130079</v>
      </c>
      <c r="AC10" s="713">
        <f t="shared" si="5"/>
        <v>0.81300813008130079</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8"/>
      <c r="M11" s="2943"/>
      <c r="N11" s="2943"/>
      <c r="O11" s="3001"/>
      <c r="P11" s="3798"/>
      <c r="Q11" s="1527" t="str">
        <f t="shared" si="6"/>
        <v>容积率</v>
      </c>
      <c r="R11" s="710" t="s">
        <v>17</v>
      </c>
      <c r="S11" s="711" t="e">
        <f t="shared" si="0"/>
        <v>#N/A</v>
      </c>
      <c r="T11" s="710" t="s">
        <v>17</v>
      </c>
      <c r="U11" s="711" t="e">
        <f t="shared" si="1"/>
        <v>#N/A</v>
      </c>
      <c r="V11" s="710" t="s">
        <v>17</v>
      </c>
      <c r="W11" s="711" t="e">
        <f t="shared" si="2"/>
        <v>#N/A</v>
      </c>
      <c r="X11" s="712"/>
      <c r="Y11" s="3708"/>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4"/>
      <c r="M12" s="2945"/>
      <c r="N12" s="2945"/>
      <c r="O12" s="2999"/>
      <c r="P12" s="3798"/>
      <c r="Q12" s="1527">
        <f t="shared" si="6"/>
        <v>111</v>
      </c>
      <c r="R12" s="710" t="s">
        <v>17</v>
      </c>
      <c r="S12" s="711">
        <f t="shared" si="0"/>
        <v>100</v>
      </c>
      <c r="T12" s="710" t="s">
        <v>17</v>
      </c>
      <c r="U12" s="711">
        <f t="shared" si="1"/>
        <v>100</v>
      </c>
      <c r="V12" s="710" t="s">
        <v>17</v>
      </c>
      <c r="W12" s="711">
        <f t="shared" si="2"/>
        <v>100</v>
      </c>
      <c r="X12" s="712"/>
      <c r="Y12" s="3708"/>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49"/>
      <c r="M13" s="2943"/>
      <c r="N13" s="2943"/>
      <c r="O13" s="3001"/>
      <c r="P13" s="3798"/>
      <c r="Q13" s="1527">
        <f t="shared" si="6"/>
        <v>111</v>
      </c>
      <c r="R13" s="710" t="s">
        <v>17</v>
      </c>
      <c r="S13" s="711">
        <f t="shared" si="0"/>
        <v>100</v>
      </c>
      <c r="T13" s="710" t="s">
        <v>17</v>
      </c>
      <c r="U13" s="711">
        <f t="shared" si="1"/>
        <v>100</v>
      </c>
      <c r="V13" s="710" t="s">
        <v>17</v>
      </c>
      <c r="W13" s="711">
        <f t="shared" si="2"/>
        <v>100</v>
      </c>
      <c r="X13" s="712"/>
      <c r="Y13" s="3708"/>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49"/>
      <c r="M14" s="2943"/>
      <c r="N14" s="2943"/>
      <c r="O14" s="3001"/>
      <c r="P14" s="3798"/>
      <c r="Q14" s="1527">
        <f t="shared" si="6"/>
        <v>111</v>
      </c>
      <c r="R14" s="710" t="s">
        <v>17</v>
      </c>
      <c r="S14" s="711">
        <f t="shared" si="0"/>
        <v>100</v>
      </c>
      <c r="T14" s="710" t="s">
        <v>17</v>
      </c>
      <c r="U14" s="711">
        <f t="shared" si="1"/>
        <v>100</v>
      </c>
      <c r="V14" s="710" t="s">
        <v>17</v>
      </c>
      <c r="W14" s="711">
        <f t="shared" si="2"/>
        <v>100</v>
      </c>
      <c r="X14" s="712"/>
      <c r="Y14" s="3708"/>
      <c r="Z14" s="55">
        <f t="shared" si="7"/>
        <v>111</v>
      </c>
      <c r="AA14" s="713">
        <f t="shared" si="3"/>
        <v>1</v>
      </c>
      <c r="AB14" s="713">
        <f t="shared" si="4"/>
        <v>1</v>
      </c>
      <c r="AC14" s="713">
        <f t="shared" si="5"/>
        <v>1</v>
      </c>
    </row>
    <row r="15" spans="1:29" ht="57">
      <c r="A15" s="399" t="s">
        <v>2380</v>
      </c>
      <c r="B15" s="585" t="s">
        <v>2617</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9"/>
      <c r="M15" s="2943"/>
      <c r="N15" s="2943"/>
      <c r="O15" s="3001"/>
      <c r="P15" s="3800" t="s">
        <v>2381</v>
      </c>
      <c r="Q15" s="1536" t="str">
        <f t="shared" si="6"/>
        <v>产业集聚程度</v>
      </c>
      <c r="R15" s="714" t="s">
        <v>17</v>
      </c>
      <c r="S15" s="715">
        <f t="shared" si="0"/>
        <v>100</v>
      </c>
      <c r="T15" s="714" t="s">
        <v>17</v>
      </c>
      <c r="U15" s="715">
        <f t="shared" si="1"/>
        <v>100</v>
      </c>
      <c r="V15" s="714" t="s">
        <v>17</v>
      </c>
      <c r="W15" s="715">
        <f t="shared" si="2"/>
        <v>100</v>
      </c>
      <c r="X15" s="1539"/>
      <c r="Y15" s="3800" t="s">
        <v>2381</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49"/>
      <c r="M16" s="2943"/>
      <c r="N16" s="2943"/>
      <c r="O16" s="3001"/>
      <c r="P16" s="3801"/>
      <c r="Q16" s="1536"/>
      <c r="R16" s="714"/>
      <c r="S16" s="715"/>
      <c r="T16" s="714"/>
      <c r="U16" s="715"/>
      <c r="V16" s="714"/>
      <c r="W16" s="715"/>
      <c r="X16" s="1539"/>
      <c r="Y16" s="3801"/>
      <c r="Z16" s="1540"/>
      <c r="AA16" s="1537">
        <v>1</v>
      </c>
      <c r="AB16" s="1537">
        <v>1</v>
      </c>
      <c r="AC16" s="1537">
        <v>1</v>
      </c>
    </row>
    <row r="17" spans="1:29" ht="85.5">
      <c r="A17" s="387"/>
      <c r="B17" s="587" t="s">
        <v>2529</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9"/>
      <c r="M17" s="2943"/>
      <c r="N17" s="2943"/>
      <c r="O17" s="3001"/>
      <c r="P17" s="3801"/>
      <c r="Q17" s="1536" t="str">
        <f>B17</f>
        <v>交通便捷度</v>
      </c>
      <c r="R17" s="714" t="s">
        <v>17</v>
      </c>
      <c r="S17" s="715">
        <f>F17</f>
        <v>100</v>
      </c>
      <c r="T17" s="714" t="s">
        <v>17</v>
      </c>
      <c r="U17" s="715">
        <f>H17</f>
        <v>100</v>
      </c>
      <c r="V17" s="714" t="s">
        <v>17</v>
      </c>
      <c r="W17" s="715">
        <f>J17</f>
        <v>100</v>
      </c>
      <c r="X17" s="1539"/>
      <c r="Y17" s="3801"/>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49"/>
      <c r="M18" s="2943"/>
      <c r="N18" s="2943"/>
      <c r="O18" s="3001"/>
      <c r="P18" s="3801"/>
      <c r="Q18" s="1536"/>
      <c r="R18" s="714"/>
      <c r="S18" s="715"/>
      <c r="T18" s="714"/>
      <c r="U18" s="715"/>
      <c r="V18" s="714"/>
      <c r="W18" s="715"/>
      <c r="X18" s="1539"/>
      <c r="Y18" s="3801"/>
      <c r="Z18" s="1540"/>
      <c r="AA18" s="1537">
        <v>1</v>
      </c>
      <c r="AB18" s="1537">
        <v>1</v>
      </c>
      <c r="AC18" s="1537">
        <v>1</v>
      </c>
    </row>
    <row r="19" spans="1:29" ht="15">
      <c r="A19" s="387"/>
      <c r="B19" s="587" t="s">
        <v>2567</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9"/>
      <c r="M19" s="2943"/>
      <c r="N19" s="2943"/>
      <c r="O19" s="3001"/>
      <c r="P19" s="3801"/>
      <c r="Q19" s="1536" t="str">
        <f t="shared" ref="Q19:Q33" si="8">B19</f>
        <v>区域土地利用方向</v>
      </c>
      <c r="R19" s="714" t="s">
        <v>17</v>
      </c>
      <c r="S19" s="715">
        <f>F19</f>
        <v>100</v>
      </c>
      <c r="T19" s="714" t="s">
        <v>17</v>
      </c>
      <c r="U19" s="715">
        <f>H19</f>
        <v>100</v>
      </c>
      <c r="V19" s="714" t="s">
        <v>17</v>
      </c>
      <c r="W19" s="715">
        <f>J19</f>
        <v>100</v>
      </c>
      <c r="X19" s="1539"/>
      <c r="Y19" s="3801"/>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49"/>
      <c r="M20" s="2943"/>
      <c r="N20" s="2943"/>
      <c r="O20" s="3001"/>
      <c r="P20" s="3801"/>
      <c r="Q20" s="1536"/>
      <c r="R20" s="714"/>
      <c r="S20" s="715"/>
      <c r="T20" s="714"/>
      <c r="U20" s="715"/>
      <c r="V20" s="714"/>
      <c r="W20" s="715"/>
      <c r="X20" s="1539"/>
      <c r="Y20" s="3801"/>
      <c r="Z20" s="1540"/>
      <c r="AA20" s="1537"/>
      <c r="AB20" s="1537"/>
      <c r="AC20" s="1537"/>
    </row>
    <row r="21" spans="1:29" ht="71.25">
      <c r="A21" s="364"/>
      <c r="B21" s="587" t="s">
        <v>2618</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9"/>
      <c r="M21" s="2943"/>
      <c r="N21" s="2943"/>
      <c r="O21" s="3001"/>
      <c r="P21" s="3801"/>
      <c r="Q21" s="1536" t="str">
        <f t="shared" si="8"/>
        <v>环境状况</v>
      </c>
      <c r="R21" s="714" t="s">
        <v>17</v>
      </c>
      <c r="S21" s="715">
        <f>F21</f>
        <v>100</v>
      </c>
      <c r="T21" s="714" t="s">
        <v>17</v>
      </c>
      <c r="U21" s="715">
        <f>H21</f>
        <v>100</v>
      </c>
      <c r="V21" s="714" t="s">
        <v>17</v>
      </c>
      <c r="W21" s="715">
        <f>J21</f>
        <v>100</v>
      </c>
      <c r="X21" s="1539"/>
      <c r="Y21" s="3801"/>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49"/>
      <c r="M22" s="2943"/>
      <c r="N22" s="2943"/>
      <c r="O22" s="3001"/>
      <c r="P22" s="3801"/>
      <c r="Q22" s="1536"/>
      <c r="R22" s="714"/>
      <c r="S22" s="715"/>
      <c r="T22" s="714"/>
      <c r="U22" s="715"/>
      <c r="V22" s="714"/>
      <c r="W22" s="715"/>
      <c r="X22" s="1539"/>
      <c r="Y22" s="3801"/>
      <c r="Z22" s="1540"/>
      <c r="AA22" s="1537">
        <v>1</v>
      </c>
      <c r="AB22" s="1537">
        <v>1</v>
      </c>
      <c r="AC22" s="1537">
        <v>1</v>
      </c>
    </row>
    <row r="23" spans="1:29" s="113" customFormat="1" ht="42.75">
      <c r="A23" s="605"/>
      <c r="B23" s="589" t="s">
        <v>2475</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4"/>
      <c r="M23" s="2945"/>
      <c r="N23" s="2945"/>
      <c r="O23" s="2999"/>
      <c r="P23" s="3801"/>
      <c r="Q23" s="1527" t="str">
        <f t="shared" si="8"/>
        <v>公共配套设施</v>
      </c>
      <c r="R23" s="710" t="s">
        <v>17</v>
      </c>
      <c r="S23" s="711">
        <f>F23</f>
        <v>100</v>
      </c>
      <c r="T23" s="710" t="s">
        <v>17</v>
      </c>
      <c r="U23" s="711">
        <f>H23</f>
        <v>100</v>
      </c>
      <c r="V23" s="710" t="s">
        <v>17</v>
      </c>
      <c r="W23" s="711">
        <f>J23</f>
        <v>100</v>
      </c>
      <c r="X23" s="712"/>
      <c r="Y23" s="3801"/>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4"/>
      <c r="M24" s="2945"/>
      <c r="N24" s="2945"/>
      <c r="O24" s="2999"/>
      <c r="P24" s="3801"/>
      <c r="Q24" s="1527"/>
      <c r="R24" s="710"/>
      <c r="S24" s="711"/>
      <c r="T24" s="710"/>
      <c r="U24" s="711"/>
      <c r="V24" s="710"/>
      <c r="W24" s="711"/>
      <c r="X24" s="712"/>
      <c r="Y24" s="3801"/>
      <c r="Z24" s="55"/>
      <c r="AA24" s="713">
        <v>1</v>
      </c>
      <c r="AB24" s="713">
        <v>1</v>
      </c>
      <c r="AC24" s="713">
        <v>1</v>
      </c>
    </row>
    <row r="25" spans="1:29" s="113" customFormat="1" ht="28.5">
      <c r="A25" s="605"/>
      <c r="B25" s="589" t="s">
        <v>2476</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4"/>
      <c r="M25" s="2945"/>
      <c r="N25" s="2945"/>
      <c r="O25" s="2999"/>
      <c r="P25" s="3801"/>
      <c r="Q25" s="1527" t="str">
        <f>B25</f>
        <v>基础设施水平</v>
      </c>
      <c r="R25" s="710" t="s">
        <v>17</v>
      </c>
      <c r="S25" s="711">
        <f>F25</f>
        <v>100</v>
      </c>
      <c r="T25" s="710" t="s">
        <v>17</v>
      </c>
      <c r="U25" s="711">
        <f>H25</f>
        <v>100</v>
      </c>
      <c r="V25" s="710" t="s">
        <v>17</v>
      </c>
      <c r="W25" s="711">
        <f>J25</f>
        <v>100</v>
      </c>
      <c r="X25" s="712"/>
      <c r="Y25" s="3801"/>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4"/>
      <c r="M26" s="2945"/>
      <c r="N26" s="2945"/>
      <c r="O26" s="2999"/>
      <c r="P26" s="3801"/>
      <c r="Q26" s="1527"/>
      <c r="R26" s="710"/>
      <c r="S26" s="711"/>
      <c r="T26" s="710"/>
      <c r="U26" s="711"/>
      <c r="V26" s="710"/>
      <c r="W26" s="711"/>
      <c r="X26" s="712"/>
      <c r="Y26" s="3801"/>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49"/>
      <c r="M27" s="2943"/>
      <c r="N27" s="2943"/>
      <c r="O27" s="3001"/>
      <c r="P27" s="3801"/>
      <c r="Q27" s="1536" t="str">
        <f t="shared" si="8"/>
        <v>临街状况</v>
      </c>
      <c r="R27" s="714" t="s">
        <v>17</v>
      </c>
      <c r="S27" s="715">
        <f t="shared" ref="S27:S40" si="9">F27</f>
        <v>100</v>
      </c>
      <c r="T27" s="714" t="s">
        <v>17</v>
      </c>
      <c r="U27" s="715">
        <f t="shared" ref="U27:U40" si="10">H27</f>
        <v>100</v>
      </c>
      <c r="V27" s="714" t="s">
        <v>17</v>
      </c>
      <c r="W27" s="715">
        <f t="shared" ref="W27:W40" si="11">J27</f>
        <v>100</v>
      </c>
      <c r="X27" s="1539"/>
      <c r="Y27" s="3801"/>
      <c r="Z27" s="1540" t="str">
        <f t="shared" ref="Z27:Z40" si="12">Q27</f>
        <v>临街状况</v>
      </c>
      <c r="AA27" s="1537">
        <f t="shared" si="3"/>
        <v>1</v>
      </c>
      <c r="AB27" s="1537">
        <f t="shared" si="4"/>
        <v>1</v>
      </c>
      <c r="AC27" s="1537">
        <f t="shared" si="5"/>
        <v>1</v>
      </c>
    </row>
    <row r="28" spans="1:29" ht="27">
      <c r="A28" s="387"/>
      <c r="B28" s="589" t="s">
        <v>2512</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9"/>
      <c r="M28" s="2943"/>
      <c r="N28" s="2943"/>
      <c r="O28" s="3001"/>
      <c r="P28" s="3801"/>
      <c r="Q28" s="1536" t="str">
        <f t="shared" si="8"/>
        <v>毗邻道路的类型与等级</v>
      </c>
      <c r="R28" s="714" t="s">
        <v>17</v>
      </c>
      <c r="S28" s="715">
        <f t="shared" si="9"/>
        <v>100</v>
      </c>
      <c r="T28" s="714" t="s">
        <v>17</v>
      </c>
      <c r="U28" s="715">
        <f t="shared" si="10"/>
        <v>100</v>
      </c>
      <c r="V28" s="714" t="s">
        <v>17</v>
      </c>
      <c r="W28" s="715">
        <f t="shared" si="11"/>
        <v>100</v>
      </c>
      <c r="X28" s="1539"/>
      <c r="Y28" s="3801"/>
      <c r="Z28" s="1540" t="str">
        <f t="shared" si="12"/>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49"/>
      <c r="M29" s="2943"/>
      <c r="N29" s="2943"/>
      <c r="O29" s="3001"/>
      <c r="P29" s="3801"/>
      <c r="Q29" s="1536"/>
      <c r="R29" s="714"/>
      <c r="S29" s="715"/>
      <c r="T29" s="714"/>
      <c r="U29" s="715"/>
      <c r="V29" s="714"/>
      <c r="W29" s="715"/>
      <c r="X29" s="1539"/>
      <c r="Y29" s="3801"/>
      <c r="Z29" s="1540"/>
      <c r="AA29" s="1537">
        <v>1</v>
      </c>
      <c r="AB29" s="1537">
        <v>1</v>
      </c>
      <c r="AC29" s="1537">
        <v>1</v>
      </c>
    </row>
    <row r="30" spans="1:29" ht="15">
      <c r="A30" s="387"/>
      <c r="B30" s="610" t="s">
        <v>2569</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9"/>
      <c r="M30" s="2943"/>
      <c r="N30" s="2943"/>
      <c r="O30" s="3001"/>
      <c r="P30" s="3801"/>
      <c r="Q30" s="1536" t="str">
        <f t="shared" si="8"/>
        <v>土地级别</v>
      </c>
      <c r="R30" s="714" t="s">
        <v>17</v>
      </c>
      <c r="S30" s="715">
        <f t="shared" si="9"/>
        <v>100</v>
      </c>
      <c r="T30" s="714" t="s">
        <v>17</v>
      </c>
      <c r="U30" s="715">
        <f t="shared" si="10"/>
        <v>100</v>
      </c>
      <c r="V30" s="714" t="s">
        <v>17</v>
      </c>
      <c r="W30" s="715">
        <f t="shared" si="11"/>
        <v>100</v>
      </c>
      <c r="X30" s="1539"/>
      <c r="Y30" s="3801"/>
      <c r="Z30" s="1540" t="str">
        <f t="shared" si="12"/>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9"/>
      <c r="M31" s="2943"/>
      <c r="N31" s="2943"/>
      <c r="O31" s="3001"/>
      <c r="P31" s="3801"/>
      <c r="Q31" s="1536">
        <f t="shared" si="8"/>
        <v>111</v>
      </c>
      <c r="R31" s="714" t="s">
        <v>17</v>
      </c>
      <c r="S31" s="715">
        <f t="shared" si="9"/>
        <v>100</v>
      </c>
      <c r="T31" s="714" t="s">
        <v>17</v>
      </c>
      <c r="U31" s="715">
        <f t="shared" si="10"/>
        <v>100</v>
      </c>
      <c r="V31" s="714" t="s">
        <v>17</v>
      </c>
      <c r="W31" s="715">
        <f t="shared" si="11"/>
        <v>100</v>
      </c>
      <c r="X31" s="1539"/>
      <c r="Y31" s="3801"/>
      <c r="Z31" s="1540">
        <f t="shared" si="12"/>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9"/>
      <c r="M32" s="2943"/>
      <c r="N32" s="2943"/>
      <c r="O32" s="3001"/>
      <c r="P32" s="3809" t="s">
        <v>2386</v>
      </c>
      <c r="Q32" s="1536">
        <f t="shared" si="8"/>
        <v>111</v>
      </c>
      <c r="R32" s="714" t="s">
        <v>17</v>
      </c>
      <c r="S32" s="715">
        <f t="shared" si="9"/>
        <v>100</v>
      </c>
      <c r="T32" s="714" t="s">
        <v>17</v>
      </c>
      <c r="U32" s="715">
        <f t="shared" si="10"/>
        <v>100</v>
      </c>
      <c r="V32" s="714" t="s">
        <v>17</v>
      </c>
      <c r="W32" s="715">
        <f t="shared" si="11"/>
        <v>100</v>
      </c>
      <c r="X32" s="1539"/>
      <c r="Y32" s="3805" t="s">
        <v>2386</v>
      </c>
      <c r="Z32" s="1540">
        <f t="shared" si="12"/>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8"/>
      <c r="M33" s="2950"/>
      <c r="N33" s="2950"/>
      <c r="O33" s="3002"/>
      <c r="P33" s="3805"/>
      <c r="Q33" s="1536">
        <f t="shared" si="8"/>
        <v>111</v>
      </c>
      <c r="R33" s="717" t="s">
        <v>17</v>
      </c>
      <c r="S33" s="718">
        <f t="shared" si="9"/>
        <v>100</v>
      </c>
      <c r="T33" s="717" t="s">
        <v>17</v>
      </c>
      <c r="U33" s="718">
        <f t="shared" si="10"/>
        <v>100</v>
      </c>
      <c r="V33" s="717" t="s">
        <v>17</v>
      </c>
      <c r="W33" s="718">
        <f t="shared" si="11"/>
        <v>100</v>
      </c>
      <c r="X33" s="719"/>
      <c r="Y33" s="3805"/>
      <c r="Z33" s="720">
        <f t="shared" si="12"/>
        <v>111</v>
      </c>
      <c r="AA33" s="1537">
        <f t="shared" si="3"/>
        <v>1</v>
      </c>
      <c r="AB33" s="1537">
        <f t="shared" si="4"/>
        <v>1</v>
      </c>
      <c r="AC33" s="1537">
        <f t="shared" si="5"/>
        <v>1</v>
      </c>
    </row>
    <row r="34" spans="1:31" ht="15">
      <c r="A34" s="399" t="s">
        <v>2384</v>
      </c>
      <c r="B34" s="415" t="s">
        <v>2570</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9"/>
      <c r="M34" s="2943"/>
      <c r="N34" s="2943"/>
      <c r="O34" s="3001"/>
      <c r="P34" s="3805"/>
      <c r="Q34" s="1536" t="str">
        <f>B34</f>
        <v>宗地面积</v>
      </c>
      <c r="R34" s="714" t="s">
        <v>17</v>
      </c>
      <c r="S34" s="715" t="e">
        <f t="shared" si="9"/>
        <v>#N/A</v>
      </c>
      <c r="T34" s="714" t="s">
        <v>17</v>
      </c>
      <c r="U34" s="715" t="e">
        <f t="shared" si="10"/>
        <v>#N/A</v>
      </c>
      <c r="V34" s="714" t="s">
        <v>17</v>
      </c>
      <c r="W34" s="715" t="e">
        <f t="shared" si="11"/>
        <v>#N/A</v>
      </c>
      <c r="X34" s="1539"/>
      <c r="Y34" s="3805"/>
      <c r="Z34" s="1540" t="str">
        <f t="shared" si="12"/>
        <v>宗地面积</v>
      </c>
      <c r="AA34" s="1537" t="e">
        <f t="shared" si="3"/>
        <v>#N/A</v>
      </c>
      <c r="AB34" s="1537" t="e">
        <f t="shared" si="4"/>
        <v>#N/A</v>
      </c>
      <c r="AC34" s="1537" t="e">
        <f t="shared" si="5"/>
        <v>#N/A</v>
      </c>
    </row>
    <row r="35" spans="1:31" ht="15">
      <c r="A35" s="431"/>
      <c r="B35" s="381" t="s">
        <v>2571</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49"/>
      <c r="M35" s="2943"/>
      <c r="N35" s="2943"/>
      <c r="O35" s="3001"/>
      <c r="P35" s="3805"/>
      <c r="Q35" s="1536" t="str">
        <f t="shared" ref="Q35:Q40" si="13">B35</f>
        <v>宗地形状</v>
      </c>
      <c r="R35" s="714" t="s">
        <v>17</v>
      </c>
      <c r="S35" s="715">
        <f t="shared" si="9"/>
        <v>100</v>
      </c>
      <c r="T35" s="714" t="s">
        <v>17</v>
      </c>
      <c r="U35" s="715">
        <f t="shared" si="10"/>
        <v>100</v>
      </c>
      <c r="V35" s="714" t="s">
        <v>17</v>
      </c>
      <c r="W35" s="715">
        <f t="shared" si="11"/>
        <v>100</v>
      </c>
      <c r="X35" s="1539"/>
      <c r="Y35" s="3805"/>
      <c r="Z35" s="1540" t="str">
        <f t="shared" si="12"/>
        <v>宗地形状</v>
      </c>
      <c r="AA35" s="1537">
        <f t="shared" si="3"/>
        <v>1</v>
      </c>
      <c r="AB35" s="1537">
        <f t="shared" si="4"/>
        <v>1</v>
      </c>
      <c r="AC35" s="1537">
        <f t="shared" si="5"/>
        <v>1</v>
      </c>
    </row>
    <row r="36" spans="1:31" s="113" customFormat="1" ht="15">
      <c r="A36" s="432"/>
      <c r="B36" s="381" t="s">
        <v>2573</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4"/>
      <c r="M36" s="2945"/>
      <c r="N36" s="2945"/>
      <c r="O36" s="2999"/>
      <c r="P36" s="3805"/>
      <c r="Q36" s="1536" t="str">
        <f t="shared" si="13"/>
        <v>宗地开发程度</v>
      </c>
      <c r="R36" s="710" t="s">
        <v>17</v>
      </c>
      <c r="S36" s="711">
        <f t="shared" si="9"/>
        <v>100</v>
      </c>
      <c r="T36" s="710" t="s">
        <v>17</v>
      </c>
      <c r="U36" s="711">
        <f t="shared" si="10"/>
        <v>100</v>
      </c>
      <c r="V36" s="710" t="s">
        <v>17</v>
      </c>
      <c r="W36" s="711">
        <f t="shared" si="11"/>
        <v>100</v>
      </c>
      <c r="X36" s="712"/>
      <c r="Y36" s="3805"/>
      <c r="Z36" s="55" t="str">
        <f t="shared" si="12"/>
        <v>宗地开发程度</v>
      </c>
      <c r="AA36" s="713">
        <f t="shared" si="3"/>
        <v>1</v>
      </c>
      <c r="AB36" s="713">
        <f t="shared" si="4"/>
        <v>1</v>
      </c>
      <c r="AC36" s="713">
        <f t="shared" si="5"/>
        <v>1</v>
      </c>
    </row>
    <row r="37" spans="1:31" ht="15">
      <c r="A37" s="431"/>
      <c r="B37" s="381" t="s">
        <v>2574</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49"/>
      <c r="M37" s="2943"/>
      <c r="N37" s="2943"/>
      <c r="O37" s="3001"/>
      <c r="P37" s="3805" t="s">
        <v>2386</v>
      </c>
      <c r="Q37" s="1536" t="str">
        <f t="shared" si="13"/>
        <v>工程地质条件</v>
      </c>
      <c r="R37" s="714" t="s">
        <v>17</v>
      </c>
      <c r="S37" s="715">
        <f t="shared" si="9"/>
        <v>100</v>
      </c>
      <c r="T37" s="714" t="s">
        <v>17</v>
      </c>
      <c r="U37" s="715">
        <f t="shared" si="10"/>
        <v>100</v>
      </c>
      <c r="V37" s="714" t="s">
        <v>17</v>
      </c>
      <c r="W37" s="715">
        <f t="shared" si="11"/>
        <v>100</v>
      </c>
      <c r="X37" s="1539"/>
      <c r="Y37" s="3805" t="s">
        <v>2386</v>
      </c>
      <c r="Z37" s="1540" t="str">
        <f t="shared" si="12"/>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9"/>
      <c r="M38" s="2943"/>
      <c r="N38" s="2943"/>
      <c r="O38" s="3001"/>
      <c r="P38" s="3805"/>
      <c r="Q38" s="1536">
        <f t="shared" si="13"/>
        <v>111</v>
      </c>
      <c r="R38" s="714" t="s">
        <v>17</v>
      </c>
      <c r="S38" s="715">
        <f t="shared" si="9"/>
        <v>100</v>
      </c>
      <c r="T38" s="714" t="s">
        <v>17</v>
      </c>
      <c r="U38" s="715">
        <f t="shared" si="10"/>
        <v>100</v>
      </c>
      <c r="V38" s="714" t="s">
        <v>17</v>
      </c>
      <c r="W38" s="715">
        <f t="shared" si="11"/>
        <v>100</v>
      </c>
      <c r="X38" s="1539"/>
      <c r="Y38" s="3805"/>
      <c r="Z38" s="1540">
        <f t="shared" si="12"/>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9"/>
      <c r="M39" s="2943"/>
      <c r="N39" s="2943"/>
      <c r="O39" s="3001"/>
      <c r="P39" s="3805"/>
      <c r="Q39" s="1536">
        <f t="shared" si="13"/>
        <v>111</v>
      </c>
      <c r="R39" s="714" t="s">
        <v>17</v>
      </c>
      <c r="S39" s="715">
        <f t="shared" si="9"/>
        <v>100</v>
      </c>
      <c r="T39" s="714" t="s">
        <v>17</v>
      </c>
      <c r="U39" s="715">
        <f t="shared" si="10"/>
        <v>100</v>
      </c>
      <c r="V39" s="714" t="s">
        <v>17</v>
      </c>
      <c r="W39" s="715">
        <f t="shared" si="11"/>
        <v>100</v>
      </c>
      <c r="X39" s="1539"/>
      <c r="Y39" s="3805"/>
      <c r="Z39" s="1540">
        <f t="shared" si="12"/>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48"/>
      <c r="M40" s="2950"/>
      <c r="N40" s="2950"/>
      <c r="O40" s="3002"/>
      <c r="P40" s="3805"/>
      <c r="Q40" s="1536">
        <f t="shared" si="13"/>
        <v>111</v>
      </c>
      <c r="R40" s="717" t="s">
        <v>17</v>
      </c>
      <c r="S40" s="718">
        <f t="shared" si="9"/>
        <v>100</v>
      </c>
      <c r="T40" s="717" t="s">
        <v>17</v>
      </c>
      <c r="U40" s="718">
        <f t="shared" si="10"/>
        <v>100</v>
      </c>
      <c r="V40" s="717" t="s">
        <v>17</v>
      </c>
      <c r="W40" s="718">
        <f t="shared" si="11"/>
        <v>100</v>
      </c>
      <c r="X40" s="719"/>
      <c r="Y40" s="3805"/>
      <c r="Z40" s="720">
        <f t="shared" si="12"/>
        <v>111</v>
      </c>
      <c r="AA40" s="1537">
        <f t="shared" si="3"/>
        <v>1</v>
      </c>
      <c r="AB40" s="1537">
        <f t="shared" si="4"/>
        <v>1</v>
      </c>
      <c r="AC40" s="1537">
        <f t="shared" si="5"/>
        <v>1</v>
      </c>
    </row>
    <row r="41" spans="1:31" ht="15">
      <c r="A41" s="438" t="s">
        <v>2539</v>
      </c>
      <c r="B41" s="2168" t="s">
        <v>2619</v>
      </c>
      <c r="C41" s="638" t="s">
        <v>1</v>
      </c>
      <c r="D41" s="440"/>
      <c r="E41" s="441"/>
      <c r="F41" s="442"/>
      <c r="G41" s="443"/>
      <c r="H41" s="444"/>
      <c r="I41" s="441"/>
      <c r="J41" s="444"/>
      <c r="K41" s="723"/>
      <c r="L41" s="2951"/>
      <c r="M41" s="2943"/>
      <c r="N41" s="2943"/>
      <c r="O41" s="2952"/>
      <c r="P41" s="3798" t="str">
        <f>A41</f>
        <v>成交单价</v>
      </c>
      <c r="Q41" s="3798"/>
      <c r="R41" s="3793">
        <f>E41</f>
        <v>0</v>
      </c>
      <c r="S41" s="3793"/>
      <c r="T41" s="3793">
        <f>G41</f>
        <v>0</v>
      </c>
      <c r="U41" s="3793"/>
      <c r="V41" s="3793">
        <f>I41</f>
        <v>0</v>
      </c>
      <c r="W41" s="3793"/>
      <c r="X41" s="699"/>
      <c r="Y41" s="721"/>
      <c r="Z41" s="699"/>
      <c r="AA41" s="699"/>
      <c r="AB41" s="699"/>
      <c r="AC41" s="699"/>
    </row>
    <row r="42" spans="1:31" ht="15.75" thickBot="1">
      <c r="A42" s="445" t="s">
        <v>2490</v>
      </c>
      <c r="B42" s="639"/>
      <c r="C42" s="448" t="e">
        <f>R43</f>
        <v>#DIV/0!</v>
      </c>
      <c r="D42" s="2538" t="s">
        <v>2877</v>
      </c>
      <c r="E42" s="448" t="e">
        <f>R42</f>
        <v>#DIV/0!</v>
      </c>
      <c r="F42" s="2539"/>
      <c r="G42" s="447" t="e">
        <f>T42</f>
        <v>#DIV/0!</v>
      </c>
      <c r="H42" s="2539"/>
      <c r="I42" s="448" t="e">
        <f>V42</f>
        <v>#DIV/0!</v>
      </c>
      <c r="J42" s="2539"/>
      <c r="K42" s="2541">
        <f>F42+H42+J42</f>
        <v>0</v>
      </c>
      <c r="L42" s="2951"/>
      <c r="M42" s="2943"/>
      <c r="N42" s="2943"/>
      <c r="O42" s="2952"/>
      <c r="P42" s="3798" t="str">
        <f>A42</f>
        <v>比较价值（元/平方米）</v>
      </c>
      <c r="Q42" s="3798"/>
      <c r="R42" s="3811" t="e">
        <f>ROUND(PRODUCT(R41,AA7:AA40),0)</f>
        <v>#DIV/0!</v>
      </c>
      <c r="S42" s="3811"/>
      <c r="T42" s="3811" t="e">
        <f>ROUND(PRODUCT(T41,AB7:AB40),0)</f>
        <v>#DIV/0!</v>
      </c>
      <c r="U42" s="3811"/>
      <c r="V42" s="3811" t="e">
        <f>ROUND(PRODUCT(V41,AC7:AC40),0)</f>
        <v>#DIV/0!</v>
      </c>
      <c r="W42" s="3811"/>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1"/>
      <c r="M43" s="2943"/>
      <c r="N43" s="2943"/>
      <c r="O43" s="2952"/>
      <c r="P43" s="3795" t="str">
        <f>A43</f>
        <v>估价对象XX用房的比较价值（楼面单价，元/平方米）</v>
      </c>
      <c r="Q43" s="3796"/>
      <c r="R43" s="3812" t="e">
        <f>ROUND(IF(D42="简单平均",AVERAGE(R42:W42),R42*F42+T42*H42+V42*J42),0)</f>
        <v>#DIV/0!</v>
      </c>
      <c r="S43" s="3812"/>
      <c r="T43" s="3812"/>
      <c r="U43" s="3812"/>
      <c r="V43" s="3812"/>
      <c r="W43" s="3812"/>
      <c r="X43" s="699"/>
      <c r="Y43" s="699"/>
      <c r="Z43" s="699"/>
      <c r="AA43" s="699"/>
      <c r="AB43" s="699"/>
      <c r="AC43" s="699"/>
    </row>
    <row r="44" spans="1:31">
      <c r="A44" s="2952"/>
      <c r="B44" s="2952"/>
      <c r="C44" s="2952"/>
      <c r="D44" s="2952"/>
      <c r="E44" s="2952"/>
      <c r="F44" s="2952"/>
      <c r="G44" s="2956"/>
      <c r="H44" s="2952"/>
      <c r="I44" s="2952"/>
      <c r="J44" s="2952"/>
      <c r="K44" s="2957"/>
      <c r="L44" s="2953"/>
      <c r="M44" s="2943"/>
      <c r="N44" s="2943"/>
      <c r="O44" s="2952"/>
      <c r="P44" s="2952"/>
      <c r="Q44" s="2952"/>
      <c r="R44" s="2952"/>
      <c r="S44" s="2952"/>
      <c r="T44" s="2952"/>
      <c r="U44" s="2952"/>
      <c r="V44" s="2952"/>
      <c r="W44" s="2952"/>
      <c r="X44" s="2952"/>
      <c r="Y44" s="2952"/>
      <c r="Z44" s="2952"/>
      <c r="AA44" s="2952"/>
      <c r="AB44" s="2952"/>
      <c r="AC44" s="2952"/>
      <c r="AD44" s="2952"/>
      <c r="AE44" s="2952"/>
    </row>
    <row r="45" spans="1:31">
      <c r="A45" s="2952"/>
      <c r="B45" s="2952"/>
      <c r="C45" s="2952"/>
      <c r="D45" s="2952"/>
      <c r="E45" s="2952"/>
      <c r="F45" s="2952"/>
      <c r="G45" s="2952"/>
      <c r="H45" s="2952"/>
      <c r="I45" s="2952"/>
      <c r="J45" s="2952"/>
      <c r="K45" s="2957"/>
      <c r="L45" s="2953"/>
      <c r="M45" s="2943"/>
      <c r="N45" s="2943"/>
      <c r="O45" s="2952"/>
      <c r="P45" s="2952"/>
      <c r="Q45" s="2952"/>
      <c r="R45" s="2952"/>
      <c r="S45" s="2952"/>
      <c r="T45" s="2952"/>
      <c r="U45" s="2952"/>
      <c r="V45" s="2952"/>
      <c r="W45" s="2952"/>
      <c r="X45" s="2952"/>
      <c r="Y45" s="2952"/>
      <c r="Z45" s="2952"/>
      <c r="AA45" s="2952"/>
      <c r="AB45" s="2952"/>
      <c r="AC45" s="2952"/>
      <c r="AD45" s="2952"/>
      <c r="AE45" s="2952"/>
    </row>
    <row r="46" spans="1:31" ht="13.5" customHeight="1">
      <c r="A46" s="2952"/>
      <c r="B46" s="2952"/>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2953"/>
      <c r="M46" s="2943"/>
      <c r="N46" s="2943"/>
      <c r="O46" s="2952"/>
      <c r="P46" s="2952"/>
      <c r="Q46" s="2952"/>
      <c r="R46" s="2952"/>
      <c r="S46" s="2952"/>
      <c r="T46" s="2952"/>
      <c r="U46" s="2952"/>
      <c r="V46" s="2952"/>
      <c r="W46" s="2952"/>
      <c r="X46" s="2952"/>
      <c r="Y46" s="2952"/>
      <c r="Z46" s="2952"/>
      <c r="AA46" s="2952"/>
      <c r="AB46" s="2952"/>
      <c r="AC46" s="2952"/>
      <c r="AD46" s="2952"/>
      <c r="AE46" s="2952"/>
    </row>
    <row r="47" spans="1:31" ht="13.5" customHeight="1">
      <c r="A47" s="2952"/>
      <c r="B47" s="2952"/>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2953"/>
      <c r="M47" s="2952"/>
      <c r="N47" s="2952"/>
      <c r="O47" s="2952"/>
      <c r="P47" s="2952"/>
      <c r="Q47" s="2952"/>
      <c r="R47" s="2952"/>
      <c r="S47" s="2952"/>
      <c r="T47" s="2952"/>
      <c r="U47" s="2952"/>
      <c r="V47" s="2952"/>
      <c r="W47" s="2952"/>
      <c r="X47" s="2952"/>
      <c r="Y47" s="2952"/>
      <c r="Z47" s="2952"/>
      <c r="AA47" s="2952"/>
      <c r="AB47" s="2952"/>
      <c r="AC47" s="2952"/>
      <c r="AD47" s="2952"/>
      <c r="AE47" s="2952"/>
    </row>
    <row r="48" spans="1:31" s="459" customFormat="1" ht="13.5" customHeight="1">
      <c r="A48" s="2955"/>
      <c r="B48" s="2955"/>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2954"/>
      <c r="M48" s="2955"/>
      <c r="N48" s="2955"/>
      <c r="O48" s="2955"/>
      <c r="P48" s="2955"/>
      <c r="Q48" s="2955"/>
      <c r="R48" s="2955"/>
      <c r="S48" s="2955"/>
      <c r="T48" s="2955"/>
      <c r="U48" s="2955"/>
      <c r="V48" s="2955"/>
      <c r="W48" s="2955"/>
      <c r="X48" s="2955"/>
      <c r="Y48" s="2955"/>
      <c r="Z48" s="2955"/>
      <c r="AA48" s="2955"/>
      <c r="AB48" s="2955"/>
      <c r="AC48" s="2955"/>
      <c r="AD48" s="2955"/>
      <c r="AE48" s="2955"/>
    </row>
    <row r="49" spans="1:31" s="459" customFormat="1" ht="15" thickBot="1">
      <c r="A49" s="2955"/>
      <c r="B49" s="2958"/>
      <c r="C49" s="702"/>
      <c r="D49" s="700"/>
      <c r="E49" s="700"/>
      <c r="F49" s="700"/>
      <c r="G49" s="700"/>
      <c r="H49" s="700"/>
      <c r="I49" s="700"/>
      <c r="J49" s="700"/>
      <c r="K49" s="2960"/>
      <c r="L49" s="2954"/>
      <c r="M49" s="2955"/>
      <c r="N49" s="2955"/>
      <c r="O49" s="2955"/>
      <c r="P49" s="2955"/>
      <c r="Q49" s="2955"/>
      <c r="R49" s="2955"/>
      <c r="S49" s="2955"/>
      <c r="T49" s="2955"/>
      <c r="U49" s="2955"/>
      <c r="V49" s="2955"/>
      <c r="W49" s="2955"/>
      <c r="X49" s="2955"/>
      <c r="Y49" s="2955"/>
      <c r="Z49" s="2955"/>
      <c r="AA49" s="2955"/>
      <c r="AB49" s="2955"/>
      <c r="AC49" s="2955"/>
      <c r="AD49" s="2955"/>
      <c r="AE49" s="2955"/>
    </row>
    <row r="50" spans="1:31" ht="27">
      <c r="A50" s="640" t="s">
        <v>2577</v>
      </c>
      <c r="B50" s="641" t="s">
        <v>2578</v>
      </c>
      <c r="C50" s="2169" t="s">
        <v>2579</v>
      </c>
      <c r="D50" s="2170" t="s">
        <v>2580</v>
      </c>
      <c r="E50" s="642" t="s">
        <v>2581</v>
      </c>
      <c r="F50" s="643" t="s">
        <v>2582</v>
      </c>
      <c r="G50" s="3781" t="s">
        <v>2583</v>
      </c>
      <c r="H50" s="3813"/>
      <c r="I50" s="1540" t="s">
        <v>2620</v>
      </c>
      <c r="J50" s="1540">
        <f>项目基本情况!F35</f>
        <v>0</v>
      </c>
      <c r="K50" s="2172" t="s">
        <v>2585</v>
      </c>
      <c r="L50" s="2953"/>
      <c r="M50" s="2952"/>
      <c r="N50" s="2952"/>
      <c r="O50" s="2952"/>
      <c r="P50" s="2952"/>
      <c r="Q50" s="2952"/>
      <c r="R50" s="2952"/>
      <c r="S50" s="2952"/>
      <c r="T50" s="2952"/>
      <c r="U50" s="2952"/>
      <c r="V50" s="2952"/>
      <c r="W50" s="2952"/>
      <c r="X50" s="2952"/>
      <c r="Y50" s="2952"/>
      <c r="Z50" s="2952"/>
      <c r="AA50" s="2952"/>
      <c r="AB50" s="2952"/>
      <c r="AC50" s="2952"/>
      <c r="AD50" s="2952"/>
      <c r="AE50" s="2952"/>
    </row>
    <row r="51" spans="1:31" s="648" customFormat="1">
      <c r="A51" s="644" t="s">
        <v>2586</v>
      </c>
      <c r="B51" s="645" t="e">
        <f>C43</f>
        <v>#DIV/0!</v>
      </c>
      <c r="C51" s="646">
        <v>1</v>
      </c>
      <c r="D51" s="1075">
        <v>1</v>
      </c>
      <c r="E51" s="646">
        <f>'数据-汇总表'!E8+'数据-汇总表'!E9</f>
        <v>32313.11</v>
      </c>
      <c r="F51" s="647" t="e">
        <f t="shared" ref="F51:F60" si="14">ROUND(B51*E51/10000,0)</f>
        <v>#DIV/0!</v>
      </c>
      <c r="G51" s="3780"/>
      <c r="H51" s="3798"/>
      <c r="I51" s="879">
        <v>1</v>
      </c>
      <c r="J51" s="879">
        <v>1</v>
      </c>
      <c r="K51" s="2955"/>
      <c r="L51" s="3009"/>
      <c r="M51" s="3009"/>
      <c r="N51" s="3009"/>
      <c r="O51" s="3009"/>
      <c r="P51" s="3009"/>
      <c r="Q51" s="3009"/>
      <c r="R51" s="3009"/>
      <c r="S51" s="3009"/>
      <c r="T51" s="3009"/>
      <c r="U51" s="3009"/>
      <c r="V51" s="3009"/>
      <c r="W51" s="3009"/>
      <c r="X51" s="3009"/>
      <c r="Y51" s="3009"/>
      <c r="Z51" s="3009"/>
      <c r="AA51" s="3009"/>
      <c r="AB51" s="3009"/>
      <c r="AC51" s="3009"/>
      <c r="AD51" s="3009"/>
      <c r="AE51" s="3009"/>
    </row>
    <row r="52" spans="1:31" s="648" customFormat="1">
      <c r="A52" s="649" t="s">
        <v>2587</v>
      </c>
      <c r="B52" s="224" t="e">
        <f>ROUND($C$43*C52*D52,0)</f>
        <v>#DIV/0!</v>
      </c>
      <c r="C52" s="176">
        <f t="shared" ref="C52:C60" si="15">IF($C$50="北京市系数",I52,J52)</f>
        <v>0.8</v>
      </c>
      <c r="D52" s="1076">
        <v>0.25</v>
      </c>
      <c r="E52" s="650"/>
      <c r="F52" s="647" t="e">
        <f t="shared" si="14"/>
        <v>#DIV/0!</v>
      </c>
      <c r="G52" s="3814" t="s">
        <v>2588</v>
      </c>
      <c r="H52" s="1018" t="str">
        <f>项目基本情况!B37</f>
        <v>一级</v>
      </c>
      <c r="I52" s="879">
        <f>SUMIF(修正!A45:A56,H52,修正!B45:B56)</f>
        <v>0.8</v>
      </c>
      <c r="J52" s="880"/>
      <c r="K52" s="2952"/>
      <c r="L52" s="3009"/>
      <c r="M52" s="3009"/>
      <c r="N52" s="3009"/>
      <c r="O52" s="3009"/>
      <c r="P52" s="3009"/>
      <c r="Q52" s="3009"/>
      <c r="R52" s="3009"/>
      <c r="S52" s="3009"/>
      <c r="T52" s="3009"/>
      <c r="U52" s="3009"/>
      <c r="V52" s="3009"/>
      <c r="W52" s="3009"/>
      <c r="X52" s="3009"/>
      <c r="Y52" s="3009"/>
      <c r="Z52" s="3009"/>
      <c r="AA52" s="3009"/>
      <c r="AB52" s="3009"/>
      <c r="AC52" s="3009"/>
      <c r="AD52" s="3009"/>
      <c r="AE52" s="3009"/>
    </row>
    <row r="53" spans="1:31" s="648" customFormat="1">
      <c r="A53" s="649" t="s">
        <v>2589</v>
      </c>
      <c r="B53" s="224" t="e">
        <f t="shared" ref="B53:B60" si="16">ROUND($C$43*C53*D53,0)</f>
        <v>#DIV/0!</v>
      </c>
      <c r="C53" s="176">
        <f t="shared" si="15"/>
        <v>0.5</v>
      </c>
      <c r="D53" s="1076">
        <v>0.25</v>
      </c>
      <c r="E53" s="650"/>
      <c r="F53" s="647" t="e">
        <f t="shared" si="14"/>
        <v>#DIV/0!</v>
      </c>
      <c r="G53" s="3814"/>
      <c r="H53" s="1018" t="str">
        <f>项目基本情况!B37</f>
        <v>一级</v>
      </c>
      <c r="I53" s="879">
        <f>SUMIF(修正!A45:A56,H53,修正!C45:C56)</f>
        <v>0.5</v>
      </c>
      <c r="J53" s="880"/>
      <c r="K53" s="2955"/>
      <c r="L53" s="3009"/>
      <c r="M53" s="3009"/>
      <c r="N53" s="3009"/>
      <c r="O53" s="3009"/>
      <c r="P53" s="3009"/>
      <c r="Q53" s="3009"/>
      <c r="R53" s="3009"/>
      <c r="S53" s="3009"/>
      <c r="T53" s="3009"/>
      <c r="U53" s="3009"/>
      <c r="V53" s="3009"/>
      <c r="W53" s="3009"/>
      <c r="X53" s="3009"/>
      <c r="Y53" s="3009"/>
      <c r="Z53" s="3009"/>
      <c r="AA53" s="3009"/>
      <c r="AB53" s="3009"/>
      <c r="AC53" s="3009"/>
      <c r="AD53" s="3009"/>
      <c r="AE53" s="3009"/>
    </row>
    <row r="54" spans="1:31" s="648" customFormat="1">
      <c r="A54" s="649" t="s">
        <v>2590</v>
      </c>
      <c r="B54" s="224" t="e">
        <f t="shared" si="16"/>
        <v>#DIV/0!</v>
      </c>
      <c r="C54" s="176">
        <f t="shared" si="15"/>
        <v>0.36</v>
      </c>
      <c r="D54" s="1076">
        <v>0.25</v>
      </c>
      <c r="E54" s="650"/>
      <c r="F54" s="647" t="e">
        <f t="shared" si="14"/>
        <v>#DIV/0!</v>
      </c>
      <c r="G54" s="3814"/>
      <c r="H54" s="1018" t="str">
        <f>项目基本情况!B37</f>
        <v>一级</v>
      </c>
      <c r="I54" s="879">
        <f>SUMIF(修正!A45:A56,H54,修正!D45:D56)</f>
        <v>0.36</v>
      </c>
      <c r="J54" s="880"/>
      <c r="K54" s="2952"/>
      <c r="L54" s="3009"/>
      <c r="M54" s="3009"/>
      <c r="N54" s="3009"/>
      <c r="O54" s="3009"/>
      <c r="P54" s="3009"/>
      <c r="Q54" s="3009"/>
      <c r="R54" s="3009"/>
      <c r="S54" s="3009"/>
      <c r="T54" s="3009"/>
      <c r="U54" s="3009"/>
      <c r="V54" s="3009"/>
      <c r="W54" s="3009"/>
      <c r="X54" s="3009"/>
      <c r="Y54" s="3009"/>
      <c r="Z54" s="3009"/>
      <c r="AA54" s="3009"/>
      <c r="AB54" s="3009"/>
      <c r="AC54" s="3009"/>
      <c r="AD54" s="3009"/>
      <c r="AE54" s="3009"/>
    </row>
    <row r="55" spans="1:31" s="648" customFormat="1">
      <c r="A55" s="649" t="s">
        <v>2591</v>
      </c>
      <c r="B55" s="224" t="e">
        <f t="shared" si="16"/>
        <v>#DIV/0!</v>
      </c>
      <c r="C55" s="176">
        <f t="shared" si="15"/>
        <v>0.3</v>
      </c>
      <c r="D55" s="1076">
        <v>0.25</v>
      </c>
      <c r="E55" s="650"/>
      <c r="F55" s="647" t="e">
        <f t="shared" si="14"/>
        <v>#DIV/0!</v>
      </c>
      <c r="G55" s="3814"/>
      <c r="H55" s="1018" t="str">
        <f>项目基本情况!B37</f>
        <v>一级</v>
      </c>
      <c r="I55" s="879">
        <f>SUMIF(修正!A45:A56,H55,修正!E45:E56)</f>
        <v>0.3</v>
      </c>
      <c r="J55" s="880"/>
      <c r="K55" s="2955"/>
      <c r="L55" s="3009"/>
      <c r="M55" s="3009"/>
      <c r="N55" s="3009"/>
      <c r="O55" s="3009"/>
      <c r="P55" s="3009"/>
      <c r="Q55" s="3009"/>
      <c r="R55" s="3009"/>
      <c r="S55" s="3009"/>
      <c r="T55" s="3009"/>
      <c r="U55" s="3009"/>
      <c r="V55" s="3009"/>
      <c r="W55" s="3009"/>
      <c r="X55" s="3009"/>
      <c r="Y55" s="3009"/>
      <c r="Z55" s="3009"/>
      <c r="AA55" s="3009"/>
      <c r="AB55" s="3009"/>
      <c r="AC55" s="3009"/>
      <c r="AD55" s="3009"/>
      <c r="AE55" s="3009"/>
    </row>
    <row r="56" spans="1:31" s="648" customFormat="1">
      <c r="A56" s="649" t="s">
        <v>2592</v>
      </c>
      <c r="B56" s="224" t="e">
        <f t="shared" si="16"/>
        <v>#DIV/0!</v>
      </c>
      <c r="C56" s="176">
        <f t="shared" si="15"/>
        <v>0.3</v>
      </c>
      <c r="D56" s="1076">
        <v>0.25</v>
      </c>
      <c r="E56" s="223">
        <f>'数据-汇总表'!E11</f>
        <v>9931.119999999999</v>
      </c>
      <c r="F56" s="647" t="e">
        <f t="shared" si="14"/>
        <v>#DIV/0!</v>
      </c>
      <c r="G56" s="2173" t="s">
        <v>2593</v>
      </c>
      <c r="H56" s="1018" t="str">
        <f>项目基本情况!C37</f>
        <v>一级</v>
      </c>
      <c r="I56" s="879">
        <f>SUMIF(修正!A45:A56,H56,修正!F45:F56)</f>
        <v>0.3</v>
      </c>
      <c r="J56" s="880"/>
      <c r="K56" s="2952"/>
      <c r="L56" s="3009"/>
      <c r="M56" s="3009"/>
      <c r="N56" s="3009"/>
      <c r="O56" s="3009"/>
      <c r="P56" s="3009"/>
      <c r="Q56" s="3009"/>
      <c r="R56" s="3009"/>
      <c r="S56" s="3009"/>
      <c r="T56" s="3009"/>
      <c r="U56" s="3009"/>
      <c r="V56" s="3009"/>
      <c r="W56" s="3009"/>
      <c r="X56" s="3009"/>
      <c r="Y56" s="3009"/>
      <c r="Z56" s="3009"/>
      <c r="AA56" s="3009"/>
      <c r="AB56" s="3009"/>
      <c r="AC56" s="3009"/>
      <c r="AD56" s="3009"/>
      <c r="AE56" s="3009"/>
    </row>
    <row r="57" spans="1:31" s="648" customFormat="1">
      <c r="A57" s="649" t="s">
        <v>2594</v>
      </c>
      <c r="B57" s="224" t="e">
        <f t="shared" si="16"/>
        <v>#DIV/0!</v>
      </c>
      <c r="C57" s="176">
        <f t="shared" si="15"/>
        <v>0.3</v>
      </c>
      <c r="D57" s="1076">
        <v>0.25</v>
      </c>
      <c r="E57" s="223">
        <f>'数据-汇总表'!E12</f>
        <v>0</v>
      </c>
      <c r="F57" s="647" t="e">
        <f t="shared" si="14"/>
        <v>#DIV/0!</v>
      </c>
      <c r="G57" s="1023" t="s">
        <v>2595</v>
      </c>
      <c r="H57" s="1018" t="str">
        <f>IF(G57="商业",项目基本情况!B37,IF(G57="办公",项目基本情况!C37,IF(G57="住宅",项目基本情况!D37,项目基本情况!E37)))</f>
        <v>一级</v>
      </c>
      <c r="I57" s="879">
        <f>SUMIF(修正!A45:A56,H57,修正!G45:G56)</f>
        <v>0.3</v>
      </c>
      <c r="J57" s="880"/>
      <c r="K57" s="2955"/>
      <c r="L57" s="3009"/>
      <c r="M57" s="3009"/>
      <c r="N57" s="3009"/>
      <c r="O57" s="3009"/>
      <c r="P57" s="3009"/>
      <c r="Q57" s="3009"/>
      <c r="R57" s="3009"/>
      <c r="S57" s="3009"/>
      <c r="T57" s="3009"/>
      <c r="U57" s="3009"/>
      <c r="V57" s="3009"/>
      <c r="W57" s="3009"/>
      <c r="X57" s="3009"/>
      <c r="Y57" s="3009"/>
      <c r="Z57" s="3009"/>
      <c r="AA57" s="3009"/>
      <c r="AB57" s="3009"/>
      <c r="AC57" s="3009"/>
      <c r="AD57" s="3009"/>
      <c r="AE57" s="3009"/>
    </row>
    <row r="58" spans="1:31" s="648" customFormat="1">
      <c r="A58" s="649" t="s">
        <v>2596</v>
      </c>
      <c r="B58" s="224" t="e">
        <f t="shared" si="16"/>
        <v>#DIV/0!</v>
      </c>
      <c r="C58" s="176">
        <f t="shared" si="15"/>
        <v>0</v>
      </c>
      <c r="D58" s="1076">
        <v>0.25</v>
      </c>
      <c r="E58" s="223">
        <f>'数据-汇总表'!E13</f>
        <v>5444.8200000000006</v>
      </c>
      <c r="F58" s="647" t="e">
        <f t="shared" si="14"/>
        <v>#DIV/0!</v>
      </c>
      <c r="G58" s="1023" t="s">
        <v>2597</v>
      </c>
      <c r="H58" s="1018">
        <f>IF(G58="商业",项目基本情况!B37,IF(G58="办公",项目基本情况!C37,IF(G58="住宅",项目基本情况!D37,项目基本情况!E37)))</f>
        <v>0</v>
      </c>
      <c r="I58" s="879">
        <f>SUMIF(修正!A45:A56,H58,修正!H45:H56)</f>
        <v>0</v>
      </c>
      <c r="J58" s="880"/>
      <c r="K58" s="2952"/>
      <c r="L58" s="3009"/>
      <c r="M58" s="3009"/>
      <c r="N58" s="3009"/>
      <c r="O58" s="3009"/>
      <c r="P58" s="3009"/>
      <c r="Q58" s="3009"/>
      <c r="R58" s="3009"/>
      <c r="S58" s="3009"/>
      <c r="T58" s="3009"/>
      <c r="U58" s="3009"/>
      <c r="V58" s="3009"/>
      <c r="W58" s="3009"/>
      <c r="X58" s="3009"/>
      <c r="Y58" s="3009"/>
      <c r="Z58" s="3009"/>
      <c r="AA58" s="3009"/>
      <c r="AB58" s="3009"/>
      <c r="AC58" s="3009"/>
      <c r="AD58" s="3009"/>
      <c r="AE58" s="3009"/>
    </row>
    <row r="59" spans="1:31" s="648" customFormat="1">
      <c r="A59" s="649" t="s">
        <v>2598</v>
      </c>
      <c r="B59" s="224" t="e">
        <f t="shared" si="16"/>
        <v>#DIV/0!</v>
      </c>
      <c r="C59" s="176">
        <f t="shared" si="15"/>
        <v>0.25</v>
      </c>
      <c r="D59" s="1076">
        <v>0.25</v>
      </c>
      <c r="E59" s="223">
        <f>'数据-汇总表'!E14</f>
        <v>0</v>
      </c>
      <c r="F59" s="647" t="e">
        <f t="shared" si="14"/>
        <v>#DIV/0!</v>
      </c>
      <c r="G59" s="2173" t="s">
        <v>2588</v>
      </c>
      <c r="H59" s="1018" t="str">
        <f>项目基本情况!B37</f>
        <v>一级</v>
      </c>
      <c r="I59" s="879">
        <f>SUMIF(修正!A45:A56,H59,修正!H45:H56)</f>
        <v>0.25</v>
      </c>
      <c r="J59" s="880"/>
      <c r="K59" s="2955"/>
      <c r="L59" s="3009"/>
      <c r="M59" s="3009"/>
      <c r="N59" s="3009"/>
      <c r="O59" s="3009"/>
      <c r="P59" s="3009"/>
      <c r="Q59" s="3009"/>
      <c r="R59" s="3009"/>
      <c r="S59" s="3009"/>
      <c r="T59" s="3009"/>
      <c r="U59" s="3009"/>
      <c r="V59" s="3009"/>
      <c r="W59" s="3009"/>
      <c r="X59" s="3009"/>
      <c r="Y59" s="3009"/>
      <c r="Z59" s="3009"/>
      <c r="AA59" s="3009"/>
      <c r="AB59" s="3009"/>
      <c r="AC59" s="3009"/>
      <c r="AD59" s="3009"/>
      <c r="AE59" s="3009"/>
    </row>
    <row r="60" spans="1:31" s="648" customFormat="1" ht="15" thickBot="1">
      <c r="A60" s="649" t="s">
        <v>2599</v>
      </c>
      <c r="B60" s="224" t="e">
        <f t="shared" si="16"/>
        <v>#DIV/0!</v>
      </c>
      <c r="C60" s="176">
        <f t="shared" si="15"/>
        <v>0.25</v>
      </c>
      <c r="D60" s="1076">
        <v>0.25</v>
      </c>
      <c r="E60" s="223">
        <f>'数据-汇总表'!E15</f>
        <v>0</v>
      </c>
      <c r="F60" s="647" t="e">
        <f t="shared" si="14"/>
        <v>#DIV/0!</v>
      </c>
      <c r="G60" s="2174" t="s">
        <v>2593</v>
      </c>
      <c r="H60" s="1028" t="str">
        <f>项目基本情况!C37</f>
        <v>一级</v>
      </c>
      <c r="I60" s="879">
        <f>SUMIF(修正!A45:A56,H60,修正!H45:H56)</f>
        <v>0.25</v>
      </c>
      <c r="J60" s="880"/>
      <c r="K60" s="2952"/>
      <c r="L60" s="3009"/>
      <c r="M60" s="3009"/>
      <c r="N60" s="3009"/>
      <c r="O60" s="3009"/>
      <c r="P60" s="3009"/>
      <c r="Q60" s="3009"/>
      <c r="R60" s="3009"/>
      <c r="S60" s="3009"/>
      <c r="T60" s="3009"/>
      <c r="U60" s="3009"/>
      <c r="V60" s="3009"/>
      <c r="W60" s="3009"/>
      <c r="X60" s="3009"/>
      <c r="Y60" s="3009"/>
      <c r="Z60" s="3009"/>
      <c r="AA60" s="3009"/>
      <c r="AB60" s="3009"/>
      <c r="AC60" s="3009"/>
      <c r="AD60" s="3009"/>
      <c r="AE60" s="3009"/>
    </row>
    <row r="61" spans="1:31" s="648" customFormat="1" ht="15" thickBot="1">
      <c r="A61" s="651" t="s">
        <v>2600</v>
      </c>
      <c r="B61" s="652" t="s">
        <v>28</v>
      </c>
      <c r="C61" s="652" t="s">
        <v>29</v>
      </c>
      <c r="D61" s="652" t="s">
        <v>997</v>
      </c>
      <c r="E61" s="652">
        <f>IF(B41="楼面地价",SUM(E51:E60),'数据-汇总表'!D3)</f>
        <v>5933.24</v>
      </c>
      <c r="F61" s="653" t="e">
        <f>IF(B41="楼面地价",SUM(F51:F60),ROUND(C43*E61/10000,0))</f>
        <v>#DIV/0!</v>
      </c>
      <c r="G61" s="1070"/>
      <c r="H61" s="1070"/>
      <c r="I61" s="1070"/>
      <c r="J61" s="1070"/>
      <c r="K61" s="2957"/>
      <c r="L61" s="3009"/>
      <c r="M61" s="3009"/>
      <c r="N61" s="3009"/>
      <c r="O61" s="3009"/>
      <c r="P61" s="3009"/>
      <c r="Q61" s="3009"/>
      <c r="R61" s="3009"/>
      <c r="S61" s="3009"/>
      <c r="T61" s="3009"/>
      <c r="U61" s="3009"/>
      <c r="V61" s="3009"/>
      <c r="W61" s="3009"/>
      <c r="X61" s="3009"/>
      <c r="Y61" s="3009"/>
      <c r="Z61" s="3009"/>
      <c r="AA61" s="3009"/>
      <c r="AB61" s="3009"/>
      <c r="AC61" s="3009"/>
      <c r="AD61" s="3009"/>
      <c r="AE61" s="3009"/>
    </row>
    <row r="62" spans="1:31">
      <c r="A62" s="1058"/>
      <c r="B62" s="1060"/>
      <c r="C62" s="1062"/>
      <c r="D62" s="1058"/>
      <c r="E62" s="1058"/>
      <c r="F62" s="1058"/>
      <c r="G62" s="1058"/>
      <c r="H62" s="1058"/>
      <c r="I62" s="1058"/>
      <c r="J62" s="1058"/>
      <c r="K62" s="1019"/>
      <c r="L62" s="1020"/>
      <c r="M62" s="1058"/>
      <c r="N62" s="1058"/>
      <c r="O62" s="1058"/>
      <c r="P62" s="2952"/>
      <c r="Q62" s="2952"/>
      <c r="R62" s="2952"/>
      <c r="S62" s="2952"/>
      <c r="T62" s="2952"/>
      <c r="U62" s="2952"/>
      <c r="V62" s="2952"/>
      <c r="W62" s="2952"/>
      <c r="X62" s="2952"/>
      <c r="Y62" s="2952"/>
      <c r="Z62" s="2952"/>
      <c r="AA62" s="2952"/>
      <c r="AB62" s="2952"/>
      <c r="AC62" s="2952"/>
      <c r="AD62" s="2952"/>
      <c r="AE62" s="2952"/>
    </row>
    <row r="63" spans="1:31">
      <c r="A63" s="1058"/>
      <c r="B63" s="1060"/>
      <c r="C63" s="701" t="str">
        <f>YEAR(C7)&amp;"-"&amp;MONTH(C7)&amp;"-1"</f>
        <v>2017-6-1</v>
      </c>
      <c r="D63" s="701">
        <f>EDATE(C63,-3)</f>
        <v>42795</v>
      </c>
      <c r="E63" s="701">
        <f>EDATE(D63,-3)</f>
        <v>42705</v>
      </c>
      <c r="F63" s="701">
        <f t="shared" ref="F63:O63" si="17">EDATE(E63,-3)</f>
        <v>42614</v>
      </c>
      <c r="G63" s="701">
        <f t="shared" si="17"/>
        <v>42522</v>
      </c>
      <c r="H63" s="701">
        <f t="shared" si="17"/>
        <v>42430</v>
      </c>
      <c r="I63" s="701">
        <f t="shared" si="17"/>
        <v>42339</v>
      </c>
      <c r="J63" s="701">
        <f t="shared" si="17"/>
        <v>42248</v>
      </c>
      <c r="K63" s="701">
        <f t="shared" si="17"/>
        <v>42156</v>
      </c>
      <c r="L63" s="701">
        <f t="shared" si="17"/>
        <v>42064</v>
      </c>
      <c r="M63" s="701">
        <f t="shared" si="17"/>
        <v>41974</v>
      </c>
      <c r="N63" s="701">
        <f t="shared" si="17"/>
        <v>41883</v>
      </c>
      <c r="O63" s="701">
        <f t="shared" si="17"/>
        <v>41791</v>
      </c>
      <c r="P63" s="2952"/>
      <c r="Q63" s="2952"/>
      <c r="R63" s="2952"/>
      <c r="S63" s="2952"/>
      <c r="T63" s="2952"/>
      <c r="U63" s="2952"/>
      <c r="V63" s="2952"/>
      <c r="W63" s="2952"/>
      <c r="X63" s="2952"/>
      <c r="Y63" s="2952"/>
      <c r="Z63" s="2952"/>
      <c r="AA63" s="2952"/>
      <c r="AB63" s="2952"/>
      <c r="AC63" s="2952"/>
      <c r="AD63" s="2952"/>
      <c r="AE63" s="2952"/>
    </row>
    <row r="64" spans="1:31" ht="21.75" thickBot="1">
      <c r="A64" s="703" t="s">
        <v>2495</v>
      </c>
      <c r="B64" s="699"/>
      <c r="C64" s="704"/>
      <c r="D64" s="704"/>
      <c r="E64" s="704"/>
      <c r="F64" s="705"/>
      <c r="G64" s="705"/>
      <c r="H64" s="704"/>
      <c r="I64" s="704"/>
      <c r="J64" s="704"/>
      <c r="K64" s="706"/>
      <c r="L64" s="707"/>
      <c r="M64" s="704"/>
      <c r="N64" s="704"/>
      <c r="O64" s="1071"/>
      <c r="P64" s="2996"/>
      <c r="Q64" s="2966"/>
      <c r="R64" s="2952"/>
      <c r="S64" s="2952"/>
      <c r="T64" s="2952"/>
      <c r="U64" s="2952"/>
      <c r="V64" s="2952"/>
      <c r="W64" s="2952"/>
      <c r="X64" s="2952"/>
      <c r="Y64" s="2952"/>
      <c r="Z64" s="2952"/>
      <c r="AA64" s="2952"/>
      <c r="AB64" s="2952"/>
      <c r="AC64" s="2952"/>
      <c r="AD64" s="2952"/>
      <c r="AE64" s="2952"/>
    </row>
    <row r="65" spans="1:31" s="465" customFormat="1" ht="15">
      <c r="A65" s="2175" t="s">
        <v>2601</v>
      </c>
      <c r="B65" s="1269"/>
      <c r="C65" s="1344" t="str">
        <f>YEAR(C63)&amp;"-"&amp;ROUNDUP(MONTH(C63)/3,0)</f>
        <v>2017-2</v>
      </c>
      <c r="D65" s="1344" t="str">
        <f t="shared" ref="D65:O65" si="18">YEAR(D63)&amp;"-"&amp;ROUNDUP(MONTH(D63)/3,0)</f>
        <v>2017-1</v>
      </c>
      <c r="E65" s="1344" t="str">
        <f t="shared" si="18"/>
        <v>2016-4</v>
      </c>
      <c r="F65" s="1344" t="str">
        <f t="shared" si="18"/>
        <v>2016-3</v>
      </c>
      <c r="G65" s="1344" t="str">
        <f t="shared" si="18"/>
        <v>2016-2</v>
      </c>
      <c r="H65" s="1344" t="str">
        <f t="shared" si="18"/>
        <v>2016-1</v>
      </c>
      <c r="I65" s="1344" t="str">
        <f t="shared" si="18"/>
        <v>2015-4</v>
      </c>
      <c r="J65" s="1344" t="str">
        <f t="shared" si="18"/>
        <v>2015-3</v>
      </c>
      <c r="K65" s="1344" t="str">
        <f t="shared" si="18"/>
        <v>2015-2</v>
      </c>
      <c r="L65" s="1344" t="str">
        <f t="shared" si="18"/>
        <v>2015-1</v>
      </c>
      <c r="M65" s="1344" t="str">
        <f t="shared" si="18"/>
        <v>2014-4</v>
      </c>
      <c r="N65" s="1344" t="str">
        <f t="shared" si="18"/>
        <v>2014-3</v>
      </c>
      <c r="O65" s="1344" t="str">
        <f t="shared" si="18"/>
        <v>2014-2</v>
      </c>
      <c r="P65" s="3003"/>
      <c r="Q65" s="2968"/>
      <c r="R65" s="2968"/>
      <c r="S65" s="2968"/>
      <c r="T65" s="2968"/>
      <c r="U65" s="2968"/>
      <c r="V65" s="2968"/>
      <c r="W65" s="2968"/>
      <c r="X65" s="2968"/>
      <c r="Y65" s="2968"/>
      <c r="Z65" s="2968"/>
      <c r="AA65" s="2968"/>
      <c r="AB65" s="2968"/>
      <c r="AC65" s="2968"/>
      <c r="AD65" s="2968"/>
      <c r="AE65" s="2968"/>
    </row>
    <row r="66" spans="1:31" s="113" customFormat="1" ht="30.75" customHeight="1">
      <c r="A66" s="2180" t="s">
        <v>2621</v>
      </c>
      <c r="B66" s="294" t="str">
        <f>"北京市平均增长率"&amp;TEXT('基准地价修正-办公'!P24,"0.00%")</f>
        <v>北京市平均增长率1.37%</v>
      </c>
      <c r="C66" s="560">
        <v>100</v>
      </c>
      <c r="D66" s="552"/>
      <c r="E66" s="552"/>
      <c r="F66" s="552"/>
      <c r="G66" s="552"/>
      <c r="H66" s="552"/>
      <c r="I66" s="552"/>
      <c r="J66" s="552"/>
      <c r="K66" s="552"/>
      <c r="L66" s="552"/>
      <c r="M66" s="1340"/>
      <c r="N66" s="1340"/>
      <c r="O66" s="1342"/>
      <c r="P66" s="2966"/>
      <c r="Q66" s="2886"/>
      <c r="R66" s="2886"/>
      <c r="S66" s="2886"/>
      <c r="T66" s="2886"/>
      <c r="U66" s="2886"/>
      <c r="V66" s="2886"/>
      <c r="W66" s="2886"/>
      <c r="X66" s="2886"/>
      <c r="Y66" s="2886"/>
      <c r="Z66" s="2886"/>
      <c r="AA66" s="2886"/>
      <c r="AB66" s="2886"/>
      <c r="AC66" s="2886"/>
      <c r="AD66" s="2886"/>
      <c r="AE66" s="2886"/>
    </row>
    <row r="67" spans="1:31" s="113" customFormat="1" ht="15.75" thickBot="1">
      <c r="A67" s="472" t="s">
        <v>2406</v>
      </c>
      <c r="B67" s="473"/>
      <c r="C67" s="474"/>
      <c r="D67" s="475"/>
      <c r="E67" s="475"/>
      <c r="F67" s="475"/>
      <c r="G67" s="475"/>
      <c r="H67" s="475"/>
      <c r="I67" s="475"/>
      <c r="J67" s="475"/>
      <c r="K67" s="475"/>
      <c r="L67" s="475"/>
      <c r="M67" s="476"/>
      <c r="N67" s="476"/>
      <c r="O67" s="477"/>
      <c r="P67" s="2966"/>
      <c r="Q67" s="2966"/>
      <c r="R67" s="2886"/>
      <c r="S67" s="2886"/>
      <c r="T67" s="2886"/>
      <c r="U67" s="2886"/>
      <c r="V67" s="2886"/>
      <c r="W67" s="2886"/>
      <c r="X67" s="2886"/>
      <c r="Y67" s="2886"/>
      <c r="Z67" s="2886"/>
      <c r="AA67" s="2886"/>
      <c r="AB67" s="2886"/>
      <c r="AC67" s="2886"/>
      <c r="AD67" s="2886"/>
      <c r="AE67" s="2886"/>
    </row>
    <row r="68" spans="1:31" s="113" customFormat="1" ht="15">
      <c r="A68" s="478" t="s">
        <v>2371</v>
      </c>
      <c r="B68" s="467"/>
      <c r="C68" s="479" t="s">
        <v>2473</v>
      </c>
      <c r="D68" s="480"/>
      <c r="E68" s="480"/>
      <c r="F68" s="480"/>
      <c r="G68" s="480"/>
      <c r="H68" s="480"/>
      <c r="I68" s="480"/>
      <c r="J68" s="480"/>
      <c r="K68" s="480"/>
      <c r="L68" s="481"/>
      <c r="M68" s="482"/>
      <c r="N68" s="2979"/>
      <c r="O68" s="2979"/>
      <c r="P68" s="3004"/>
      <c r="Q68" s="2966"/>
      <c r="R68" s="2886"/>
      <c r="S68" s="2886"/>
      <c r="T68" s="2886"/>
      <c r="U68" s="2886"/>
      <c r="V68" s="2886"/>
      <c r="W68" s="2886"/>
      <c r="X68" s="2886"/>
      <c r="Y68" s="2886"/>
      <c r="Z68" s="2886"/>
      <c r="AA68" s="2886"/>
      <c r="AB68" s="2886"/>
      <c r="AC68" s="2886"/>
      <c r="AD68" s="2886"/>
      <c r="AE68" s="2886"/>
    </row>
    <row r="69" spans="1:31" s="113" customFormat="1" ht="15.75" thickBot="1">
      <c r="A69" s="478"/>
      <c r="B69" s="467"/>
      <c r="C69" s="595">
        <v>100</v>
      </c>
      <c r="D69" s="469"/>
      <c r="E69" s="469"/>
      <c r="F69" s="469"/>
      <c r="G69" s="469"/>
      <c r="H69" s="469"/>
      <c r="I69" s="469"/>
      <c r="J69" s="469"/>
      <c r="K69" s="469"/>
      <c r="L69" s="469"/>
      <c r="M69" s="471"/>
      <c r="N69" s="2979"/>
      <c r="O69" s="2979"/>
      <c r="P69" s="2966"/>
      <c r="Q69" s="2966"/>
      <c r="R69" s="2886"/>
      <c r="S69" s="2886"/>
      <c r="T69" s="2886"/>
      <c r="U69" s="2886"/>
      <c r="V69" s="2886"/>
      <c r="W69" s="2886"/>
      <c r="X69" s="2886"/>
      <c r="Y69" s="2886"/>
      <c r="Z69" s="2886"/>
      <c r="AA69" s="2886"/>
      <c r="AB69" s="2886"/>
      <c r="AC69" s="2886"/>
      <c r="AD69" s="2886"/>
      <c r="AE69" s="2886"/>
    </row>
    <row r="70" spans="1:31">
      <c r="A70" s="484" t="s">
        <v>2409</v>
      </c>
      <c r="B70" s="485" t="s">
        <v>2375</v>
      </c>
      <c r="C70" s="487"/>
      <c r="D70" s="487"/>
      <c r="E70" s="487"/>
      <c r="F70" s="487"/>
      <c r="G70" s="487"/>
      <c r="H70" s="487"/>
      <c r="I70" s="487"/>
      <c r="J70" s="487"/>
      <c r="K70" s="488"/>
      <c r="L70" s="489"/>
      <c r="M70" s="490"/>
      <c r="N70" s="2980"/>
      <c r="O70" s="2980"/>
      <c r="P70" s="3005"/>
      <c r="Q70" s="2966"/>
      <c r="R70" s="2952"/>
      <c r="S70" s="2952"/>
      <c r="T70" s="2952"/>
      <c r="U70" s="2952"/>
      <c r="V70" s="2952"/>
      <c r="W70" s="2952"/>
      <c r="X70" s="2952"/>
      <c r="Y70" s="2952"/>
      <c r="Z70" s="2952"/>
      <c r="AA70" s="2952"/>
      <c r="AB70" s="2952"/>
      <c r="AC70" s="2952"/>
      <c r="AD70" s="2952"/>
      <c r="AE70" s="2952"/>
    </row>
    <row r="71" spans="1:31" ht="15.75" thickBot="1">
      <c r="A71" s="491"/>
      <c r="B71" s="492"/>
      <c r="C71" s="493"/>
      <c r="D71" s="493"/>
      <c r="E71" s="493"/>
      <c r="F71" s="493"/>
      <c r="G71" s="493"/>
      <c r="H71" s="493"/>
      <c r="I71" s="493"/>
      <c r="J71" s="493"/>
      <c r="K71" s="493"/>
      <c r="L71" s="493"/>
      <c r="M71" s="494"/>
      <c r="N71" s="2981"/>
      <c r="O71" s="2981"/>
      <c r="P71" s="3005"/>
      <c r="Q71" s="2966"/>
      <c r="R71" s="2952"/>
      <c r="S71" s="2952"/>
      <c r="T71" s="2952"/>
      <c r="U71" s="2952"/>
      <c r="V71" s="2952"/>
      <c r="W71" s="2952"/>
      <c r="X71" s="2952"/>
      <c r="Y71" s="2952"/>
      <c r="Z71" s="2952"/>
      <c r="AA71" s="2952"/>
      <c r="AB71" s="2952"/>
      <c r="AC71" s="2952"/>
      <c r="AD71" s="2952"/>
      <c r="AE71" s="2952"/>
    </row>
    <row r="72" spans="1:31" ht="27.75" thickTop="1">
      <c r="A72" s="491"/>
      <c r="B72" s="495" t="s">
        <v>2378</v>
      </c>
      <c r="C72" s="496"/>
      <c r="D72" s="496"/>
      <c r="E72" s="496"/>
      <c r="F72" s="496"/>
      <c r="G72" s="496"/>
      <c r="H72" s="496"/>
      <c r="I72" s="496"/>
      <c r="J72" s="496"/>
      <c r="K72" s="497"/>
      <c r="L72" s="498"/>
      <c r="M72" s="499"/>
      <c r="N72" s="2980"/>
      <c r="O72" s="2980"/>
      <c r="P72" s="3005"/>
      <c r="Q72" s="2966"/>
      <c r="R72" s="2952"/>
      <c r="S72" s="2952"/>
      <c r="T72" s="2952"/>
      <c r="U72" s="2952"/>
      <c r="V72" s="2952"/>
      <c r="W72" s="2952"/>
      <c r="X72" s="2952"/>
      <c r="Y72" s="2952"/>
      <c r="Z72" s="2952"/>
      <c r="AA72" s="2952"/>
      <c r="AB72" s="2952"/>
      <c r="AC72" s="2952"/>
      <c r="AD72" s="2952"/>
      <c r="AE72" s="2952"/>
    </row>
    <row r="73" spans="1:31" ht="15.75" thickBot="1">
      <c r="A73" s="491"/>
      <c r="B73" s="500"/>
      <c r="C73" s="501"/>
      <c r="D73" s="501"/>
      <c r="E73" s="501"/>
      <c r="F73" s="501"/>
      <c r="G73" s="501"/>
      <c r="H73" s="501"/>
      <c r="I73" s="501"/>
      <c r="J73" s="501"/>
      <c r="K73" s="501"/>
      <c r="L73" s="501"/>
      <c r="M73" s="502"/>
      <c r="N73" s="2981"/>
      <c r="O73" s="2981"/>
      <c r="P73" s="3005"/>
      <c r="Q73" s="2966"/>
      <c r="R73" s="2952"/>
      <c r="S73" s="2952"/>
      <c r="T73" s="2952"/>
      <c r="U73" s="2952"/>
      <c r="V73" s="2952"/>
      <c r="W73" s="2952"/>
      <c r="X73" s="2952"/>
      <c r="Y73" s="2952"/>
      <c r="Z73" s="2952"/>
      <c r="AA73" s="2952"/>
      <c r="AB73" s="2952"/>
      <c r="AC73" s="2952"/>
      <c r="AD73" s="2952"/>
      <c r="AE73" s="2952"/>
    </row>
    <row r="74" spans="1:31" ht="15.75" thickTop="1">
      <c r="A74" s="491"/>
      <c r="B74" s="503" t="s">
        <v>2379</v>
      </c>
      <c r="C74" s="504" t="str">
        <f>C75&amp;"（含）"&amp;"-"&amp;D75</f>
        <v>（含）-</v>
      </c>
      <c r="D74" s="504" t="str">
        <f t="shared" ref="D74:L74" si="19">D75&amp;"（含）"&amp;"-"&amp;E75</f>
        <v>（含）-</v>
      </c>
      <c r="E74" s="504" t="str">
        <f t="shared" si="19"/>
        <v>（含）-</v>
      </c>
      <c r="F74" s="504" t="str">
        <f t="shared" si="19"/>
        <v>（含）-</v>
      </c>
      <c r="G74" s="504" t="str">
        <f t="shared" si="19"/>
        <v>（含）-</v>
      </c>
      <c r="H74" s="504" t="str">
        <f t="shared" si="19"/>
        <v>（含）-</v>
      </c>
      <c r="I74" s="504" t="str">
        <f t="shared" si="19"/>
        <v>（含）-</v>
      </c>
      <c r="J74" s="504" t="str">
        <f t="shared" si="19"/>
        <v>（含）-</v>
      </c>
      <c r="K74" s="504" t="str">
        <f t="shared" si="19"/>
        <v>（含）-</v>
      </c>
      <c r="L74" s="504" t="str">
        <f t="shared" si="19"/>
        <v>（含）-</v>
      </c>
      <c r="M74" s="407" t="str">
        <f>M75&amp;"（含）"&amp;"-"&amp;P75</f>
        <v>（含）-</v>
      </c>
      <c r="N74" s="2981"/>
      <c r="O74" s="2981"/>
      <c r="P74" s="3005"/>
      <c r="Q74" s="2966"/>
      <c r="R74" s="2952"/>
      <c r="S74" s="2952"/>
      <c r="T74" s="2952"/>
      <c r="U74" s="2952"/>
      <c r="V74" s="2952"/>
      <c r="W74" s="2952"/>
      <c r="X74" s="2952"/>
      <c r="Y74" s="2952"/>
      <c r="Z74" s="2952"/>
      <c r="AA74" s="2952"/>
      <c r="AB74" s="2952"/>
      <c r="AC74" s="2952"/>
      <c r="AD74" s="2952"/>
      <c r="AE74" s="2952"/>
    </row>
    <row r="75" spans="1:31" ht="15">
      <c r="A75" s="491"/>
      <c r="B75" s="505"/>
      <c r="C75" s="506"/>
      <c r="D75" s="506"/>
      <c r="E75" s="506"/>
      <c r="F75" s="506"/>
      <c r="G75" s="506"/>
      <c r="H75" s="506"/>
      <c r="I75" s="506"/>
      <c r="J75" s="506"/>
      <c r="K75" s="507"/>
      <c r="L75" s="508"/>
      <c r="M75" s="509"/>
      <c r="N75" s="2980"/>
      <c r="O75" s="2980"/>
      <c r="P75" s="3005"/>
      <c r="Q75" s="2966"/>
      <c r="R75" s="2952"/>
      <c r="S75" s="2952"/>
      <c r="T75" s="2952"/>
      <c r="U75" s="2952"/>
      <c r="V75" s="2952"/>
      <c r="W75" s="2952"/>
      <c r="X75" s="2952"/>
      <c r="Y75" s="2952"/>
      <c r="Z75" s="2952"/>
      <c r="AA75" s="2952"/>
      <c r="AB75" s="2952"/>
      <c r="AC75" s="2952"/>
      <c r="AD75" s="2952"/>
      <c r="AE75" s="2952"/>
    </row>
    <row r="76" spans="1:31" ht="15.75" thickBot="1">
      <c r="A76" s="491"/>
      <c r="B76" s="492"/>
      <c r="C76" s="501">
        <v>100</v>
      </c>
      <c r="D76" s="501">
        <f>IF($B$41="单位面积地价",C76+$K11,C76-$K11)</f>
        <v>100</v>
      </c>
      <c r="E76" s="501">
        <f t="shared" ref="E76:M76" si="20">IF($B$41="单位面积地价",D76+$K11,D76-$K11)</f>
        <v>100</v>
      </c>
      <c r="F76" s="501">
        <f t="shared" si="20"/>
        <v>100</v>
      </c>
      <c r="G76" s="501">
        <f t="shared" si="20"/>
        <v>100</v>
      </c>
      <c r="H76" s="501">
        <f t="shared" si="20"/>
        <v>100</v>
      </c>
      <c r="I76" s="501">
        <f t="shared" si="20"/>
        <v>100</v>
      </c>
      <c r="J76" s="501">
        <f t="shared" si="20"/>
        <v>100</v>
      </c>
      <c r="K76" s="501">
        <f t="shared" si="20"/>
        <v>100</v>
      </c>
      <c r="L76" s="501">
        <f t="shared" si="20"/>
        <v>100</v>
      </c>
      <c r="M76" s="501">
        <f t="shared" si="20"/>
        <v>100</v>
      </c>
      <c r="N76" s="2981"/>
      <c r="O76" s="2981"/>
      <c r="P76" s="3005"/>
      <c r="Q76" s="2966"/>
      <c r="R76" s="2952"/>
      <c r="S76" s="2952"/>
      <c r="T76" s="2952"/>
      <c r="U76" s="2952"/>
      <c r="V76" s="2952"/>
      <c r="W76" s="2952"/>
      <c r="X76" s="2952"/>
      <c r="Y76" s="2952"/>
      <c r="Z76" s="2952"/>
      <c r="AA76" s="2952"/>
      <c r="AB76" s="2952"/>
      <c r="AC76" s="2952"/>
      <c r="AD76" s="2952"/>
      <c r="AE76" s="2952"/>
    </row>
    <row r="77" spans="1:31" s="430" customFormat="1" ht="15.75" thickTop="1">
      <c r="A77" s="510"/>
      <c r="B77" s="495">
        <f>B12</f>
        <v>111</v>
      </c>
      <c r="C77" s="511"/>
      <c r="D77" s="511"/>
      <c r="E77" s="511"/>
      <c r="F77" s="511"/>
      <c r="G77" s="511"/>
      <c r="H77" s="512"/>
      <c r="I77" s="512"/>
      <c r="J77" s="512"/>
      <c r="K77" s="512"/>
      <c r="L77" s="513"/>
      <c r="M77" s="514"/>
      <c r="N77" s="2982"/>
      <c r="O77" s="2982"/>
      <c r="P77" s="3006"/>
      <c r="Q77" s="2973"/>
      <c r="R77" s="2974"/>
      <c r="S77" s="2974"/>
      <c r="T77" s="2974"/>
      <c r="U77" s="2974"/>
      <c r="V77" s="2974"/>
      <c r="W77" s="2974"/>
      <c r="X77" s="2974"/>
      <c r="Y77" s="2974"/>
      <c r="Z77" s="2974"/>
      <c r="AA77" s="2974"/>
      <c r="AB77" s="2974"/>
      <c r="AC77" s="2974"/>
      <c r="AD77" s="2974"/>
      <c r="AE77" s="2974"/>
    </row>
    <row r="78" spans="1:31" s="430" customFormat="1" ht="15.75" thickBot="1">
      <c r="A78" s="510"/>
      <c r="B78" s="500"/>
      <c r="C78" s="517"/>
      <c r="D78" s="493"/>
      <c r="E78" s="493"/>
      <c r="F78" s="493"/>
      <c r="G78" s="493"/>
      <c r="H78" s="493"/>
      <c r="I78" s="493"/>
      <c r="J78" s="493"/>
      <c r="K78" s="493"/>
      <c r="L78" s="493"/>
      <c r="M78" s="494"/>
      <c r="N78" s="2981"/>
      <c r="O78" s="2981"/>
      <c r="P78" s="3006"/>
      <c r="Q78" s="2973"/>
      <c r="R78" s="2974"/>
      <c r="S78" s="2974"/>
      <c r="T78" s="2974"/>
      <c r="U78" s="2974"/>
      <c r="V78" s="2974"/>
      <c r="W78" s="2974"/>
      <c r="X78" s="2974"/>
      <c r="Y78" s="2974"/>
      <c r="Z78" s="2974"/>
      <c r="AA78" s="2974"/>
      <c r="AB78" s="2974"/>
      <c r="AC78" s="2974"/>
      <c r="AD78" s="2974"/>
      <c r="AE78" s="2974"/>
    </row>
    <row r="79" spans="1:31" s="430" customFormat="1" ht="15.75" thickTop="1">
      <c r="A79" s="510"/>
      <c r="B79" s="495">
        <f>B13</f>
        <v>111</v>
      </c>
      <c r="C79" s="511"/>
      <c r="D79" s="511"/>
      <c r="E79" s="511"/>
      <c r="F79" s="511"/>
      <c r="G79" s="511"/>
      <c r="H79" s="512"/>
      <c r="I79" s="512"/>
      <c r="J79" s="512"/>
      <c r="K79" s="512"/>
      <c r="L79" s="513"/>
      <c r="M79" s="514"/>
      <c r="N79" s="2982"/>
      <c r="O79" s="2982"/>
      <c r="P79" s="2950"/>
      <c r="Q79" s="2976"/>
      <c r="R79" s="2974"/>
      <c r="S79" s="2974"/>
      <c r="T79" s="2974"/>
      <c r="U79" s="2974"/>
      <c r="V79" s="2974"/>
      <c r="W79" s="2974"/>
      <c r="X79" s="2974"/>
      <c r="Y79" s="2974"/>
      <c r="Z79" s="2974"/>
      <c r="AA79" s="2974"/>
      <c r="AB79" s="2974"/>
      <c r="AC79" s="2974"/>
      <c r="AD79" s="2974"/>
      <c r="AE79" s="2974"/>
    </row>
    <row r="80" spans="1:31" s="430" customFormat="1" ht="15.75" thickBot="1">
      <c r="A80" s="510"/>
      <c r="B80" s="500"/>
      <c r="C80" s="517"/>
      <c r="D80" s="517"/>
      <c r="E80" s="517"/>
      <c r="F80" s="517"/>
      <c r="G80" s="517"/>
      <c r="H80" s="519"/>
      <c r="I80" s="519"/>
      <c r="J80" s="519"/>
      <c r="K80" s="519"/>
      <c r="L80" s="519"/>
      <c r="M80" s="520"/>
      <c r="N80" s="2982"/>
      <c r="O80" s="2982"/>
      <c r="P80" s="3006"/>
      <c r="Q80" s="2973"/>
      <c r="R80" s="2974"/>
      <c r="S80" s="2974"/>
      <c r="T80" s="2974"/>
      <c r="U80" s="2974"/>
      <c r="V80" s="2974"/>
      <c r="W80" s="2974"/>
      <c r="X80" s="2974"/>
      <c r="Y80" s="2974"/>
      <c r="Z80" s="2974"/>
      <c r="AA80" s="2974"/>
      <c r="AB80" s="2974"/>
      <c r="AC80" s="2974"/>
      <c r="AD80" s="2974"/>
      <c r="AE80" s="2974"/>
    </row>
    <row r="81" spans="1:31" s="430" customFormat="1" ht="15.75" thickTop="1">
      <c r="A81" s="510"/>
      <c r="B81" s="503">
        <f>B14</f>
        <v>111</v>
      </c>
      <c r="C81" s="480"/>
      <c r="D81" s="480"/>
      <c r="E81" s="480"/>
      <c r="F81" s="480"/>
      <c r="G81" s="480"/>
      <c r="H81" s="521"/>
      <c r="I81" s="521"/>
      <c r="J81" s="521"/>
      <c r="K81" s="521"/>
      <c r="L81" s="522"/>
      <c r="M81" s="523"/>
      <c r="N81" s="2982"/>
      <c r="O81" s="2982"/>
      <c r="P81" s="3011"/>
      <c r="Q81" s="2973"/>
      <c r="R81" s="2974"/>
      <c r="S81" s="2974"/>
      <c r="T81" s="2974"/>
      <c r="U81" s="2974"/>
      <c r="V81" s="2974"/>
      <c r="W81" s="2974"/>
      <c r="X81" s="2974"/>
      <c r="Y81" s="2974"/>
      <c r="Z81" s="2974"/>
      <c r="AA81" s="2974"/>
      <c r="AB81" s="2974"/>
      <c r="AC81" s="2974"/>
      <c r="AD81" s="2974"/>
      <c r="AE81" s="2974"/>
    </row>
    <row r="82" spans="1:31" s="430" customFormat="1" ht="15.75" thickBot="1">
      <c r="A82" s="525"/>
      <c r="B82" s="526"/>
      <c r="C82" s="527"/>
      <c r="D82" s="527"/>
      <c r="E82" s="527"/>
      <c r="F82" s="527"/>
      <c r="G82" s="527"/>
      <c r="H82" s="528"/>
      <c r="I82" s="528"/>
      <c r="J82" s="528"/>
      <c r="K82" s="528"/>
      <c r="L82" s="528"/>
      <c r="M82" s="529"/>
      <c r="N82" s="2982"/>
      <c r="O82" s="2982"/>
      <c r="P82" s="3006"/>
      <c r="Q82" s="2973"/>
      <c r="R82" s="2974"/>
      <c r="S82" s="2974"/>
      <c r="T82" s="2974"/>
      <c r="U82" s="2974"/>
      <c r="V82" s="2974"/>
      <c r="W82" s="2974"/>
      <c r="X82" s="2974"/>
      <c r="Y82" s="2974"/>
      <c r="Z82" s="2974"/>
      <c r="AA82" s="2974"/>
      <c r="AB82" s="2974"/>
      <c r="AC82" s="2974"/>
      <c r="AD82" s="2974"/>
      <c r="AE82" s="2974"/>
    </row>
    <row r="83" spans="1:31">
      <c r="A83" s="484" t="s">
        <v>2380</v>
      </c>
      <c r="B83" s="485" t="s">
        <v>2525</v>
      </c>
      <c r="C83" s="530" t="s">
        <v>2418</v>
      </c>
      <c r="D83" s="530" t="s">
        <v>2419</v>
      </c>
      <c r="E83" s="530" t="s">
        <v>2420</v>
      </c>
      <c r="F83" s="530" t="s">
        <v>2421</v>
      </c>
      <c r="G83" s="530" t="s">
        <v>2422</v>
      </c>
      <c r="H83" s="486"/>
      <c r="I83" s="486"/>
      <c r="J83" s="486"/>
      <c r="K83" s="531"/>
      <c r="L83" s="532"/>
      <c r="M83" s="533"/>
      <c r="N83" s="2980"/>
      <c r="O83" s="2980"/>
      <c r="P83" s="3007"/>
      <c r="Q83" s="2966"/>
      <c r="R83" s="2952"/>
      <c r="S83" s="2952"/>
      <c r="T83" s="2952"/>
      <c r="U83" s="2952"/>
      <c r="V83" s="2952"/>
      <c r="W83" s="2952"/>
      <c r="X83" s="2952"/>
      <c r="Y83" s="2952"/>
      <c r="Z83" s="2952"/>
      <c r="AA83" s="2952"/>
      <c r="AB83" s="2952"/>
      <c r="AC83" s="2952"/>
      <c r="AD83" s="2952"/>
      <c r="AE83" s="295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1"/>
      <c r="O84" s="2981"/>
      <c r="P84" s="3005"/>
      <c r="Q84" s="2966"/>
      <c r="R84" s="2952"/>
      <c r="S84" s="2952"/>
      <c r="T84" s="2952"/>
      <c r="U84" s="2952"/>
      <c r="V84" s="2952"/>
      <c r="W84" s="2952"/>
      <c r="X84" s="2952"/>
      <c r="Y84" s="2952"/>
      <c r="Z84" s="2952"/>
      <c r="AA84" s="2952"/>
      <c r="AB84" s="2952"/>
      <c r="AC84" s="2952"/>
      <c r="AD84" s="2952"/>
      <c r="AE84" s="2952"/>
    </row>
    <row r="85" spans="1:31" ht="15.75" thickTop="1">
      <c r="A85" s="491"/>
      <c r="B85" s="495" t="s">
        <v>2423</v>
      </c>
      <c r="C85" s="535" t="s">
        <v>2418</v>
      </c>
      <c r="D85" s="535" t="s">
        <v>2419</v>
      </c>
      <c r="E85" s="535" t="s">
        <v>2420</v>
      </c>
      <c r="F85" s="535" t="s">
        <v>2421</v>
      </c>
      <c r="G85" s="535" t="s">
        <v>2422</v>
      </c>
      <c r="H85" s="496"/>
      <c r="I85" s="496"/>
      <c r="J85" s="496"/>
      <c r="K85" s="497"/>
      <c r="L85" s="498"/>
      <c r="M85" s="499"/>
      <c r="N85" s="2980"/>
      <c r="O85" s="2980"/>
      <c r="P85" s="3005"/>
      <c r="Q85" s="2966"/>
      <c r="R85" s="2952"/>
      <c r="S85" s="2952"/>
      <c r="T85" s="2952"/>
      <c r="U85" s="2952"/>
      <c r="V85" s="2952"/>
      <c r="W85" s="2952"/>
      <c r="X85" s="2952"/>
      <c r="Y85" s="2952"/>
      <c r="Z85" s="2952"/>
      <c r="AA85" s="2952"/>
      <c r="AB85" s="2952"/>
      <c r="AC85" s="2952"/>
      <c r="AD85" s="2952"/>
      <c r="AE85" s="295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1"/>
      <c r="O86" s="2981"/>
      <c r="P86" s="3005"/>
      <c r="Q86" s="2966"/>
      <c r="R86" s="2952"/>
      <c r="S86" s="2952"/>
      <c r="T86" s="2952"/>
      <c r="U86" s="2952"/>
      <c r="V86" s="2952"/>
      <c r="W86" s="2952"/>
      <c r="X86" s="2952"/>
      <c r="Y86" s="2952"/>
      <c r="Z86" s="2952"/>
      <c r="AA86" s="2952"/>
      <c r="AB86" s="2952"/>
      <c r="AC86" s="2952"/>
      <c r="AD86" s="2952"/>
      <c r="AE86" s="2952"/>
    </row>
    <row r="87" spans="1:31" s="113" customFormat="1" ht="15.75" thickTop="1">
      <c r="A87" s="536"/>
      <c r="B87" s="495" t="s">
        <v>2604</v>
      </c>
      <c r="C87" s="530" t="s">
        <v>2418</v>
      </c>
      <c r="D87" s="530" t="s">
        <v>2419</v>
      </c>
      <c r="E87" s="530" t="s">
        <v>2420</v>
      </c>
      <c r="F87" s="530" t="s">
        <v>2421</v>
      </c>
      <c r="G87" s="530" t="s">
        <v>2422</v>
      </c>
      <c r="H87" s="535"/>
      <c r="I87" s="535"/>
      <c r="J87" s="535"/>
      <c r="K87" s="535"/>
      <c r="L87" s="654"/>
      <c r="M87" s="578"/>
      <c r="N87" s="2979"/>
      <c r="O87" s="2979"/>
      <c r="P87" s="3005"/>
      <c r="Q87" s="2966"/>
      <c r="R87" s="2886"/>
      <c r="S87" s="2886"/>
      <c r="T87" s="2886"/>
      <c r="U87" s="2886"/>
      <c r="V87" s="2886"/>
      <c r="W87" s="2886"/>
      <c r="X87" s="2886"/>
      <c r="Y87" s="2886"/>
      <c r="Z87" s="2886"/>
      <c r="AA87" s="2886"/>
      <c r="AB87" s="2886"/>
      <c r="AC87" s="2886"/>
      <c r="AD87" s="2886"/>
      <c r="AE87" s="288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1"/>
      <c r="O88" s="2981"/>
      <c r="P88" s="3005"/>
      <c r="Q88" s="2966"/>
      <c r="R88" s="2886"/>
      <c r="S88" s="2886"/>
      <c r="T88" s="2886"/>
      <c r="U88" s="2886"/>
      <c r="V88" s="2886"/>
      <c r="W88" s="2886"/>
      <c r="X88" s="2886"/>
      <c r="Y88" s="2886"/>
      <c r="Z88" s="2886"/>
      <c r="AA88" s="2886"/>
      <c r="AB88" s="2886"/>
      <c r="AC88" s="2886"/>
      <c r="AD88" s="2886"/>
      <c r="AE88" s="2886"/>
    </row>
    <row r="89" spans="1:31" s="113" customFormat="1" ht="27.75" thickTop="1">
      <c r="A89" s="536"/>
      <c r="B89" s="495" t="s">
        <v>2605</v>
      </c>
      <c r="C89" s="530" t="s">
        <v>2418</v>
      </c>
      <c r="D89" s="530" t="s">
        <v>2419</v>
      </c>
      <c r="E89" s="530" t="s">
        <v>2420</v>
      </c>
      <c r="F89" s="530" t="s">
        <v>2421</v>
      </c>
      <c r="G89" s="530" t="s">
        <v>2422</v>
      </c>
      <c r="H89" s="535"/>
      <c r="I89" s="535"/>
      <c r="J89" s="535"/>
      <c r="K89" s="535"/>
      <c r="L89" s="535"/>
      <c r="M89" s="578"/>
      <c r="N89" s="2979"/>
      <c r="O89" s="2979"/>
      <c r="P89" s="3005"/>
      <c r="Q89" s="2966"/>
      <c r="R89" s="2886"/>
      <c r="S89" s="2886"/>
      <c r="T89" s="2886"/>
      <c r="U89" s="2886"/>
      <c r="V89" s="2886"/>
      <c r="W89" s="2886"/>
      <c r="X89" s="2886"/>
      <c r="Y89" s="2886"/>
      <c r="Z89" s="2886"/>
      <c r="AA89" s="2886"/>
      <c r="AB89" s="2886"/>
      <c r="AC89" s="2886"/>
      <c r="AD89" s="2886"/>
      <c r="AE89" s="288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1"/>
      <c r="O90" s="2981"/>
      <c r="P90" s="3005"/>
      <c r="Q90" s="2966"/>
      <c r="R90" s="2886"/>
      <c r="S90" s="2886"/>
      <c r="T90" s="2886"/>
      <c r="U90" s="2886"/>
      <c r="V90" s="2886"/>
      <c r="W90" s="2886"/>
      <c r="X90" s="2886"/>
      <c r="Y90" s="2886"/>
      <c r="Z90" s="2886"/>
      <c r="AA90" s="2886"/>
      <c r="AB90" s="2886"/>
      <c r="AC90" s="2886"/>
      <c r="AD90" s="2886"/>
      <c r="AE90" s="2886"/>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2"/>
      <c r="O91" s="2982"/>
      <c r="P91" s="3006"/>
      <c r="Q91" s="2973"/>
      <c r="R91" s="2974"/>
      <c r="S91" s="2974"/>
      <c r="T91" s="2974"/>
      <c r="U91" s="2974"/>
      <c r="V91" s="2974"/>
      <c r="W91" s="2974"/>
      <c r="X91" s="2974"/>
      <c r="Y91" s="2974"/>
      <c r="Z91" s="2974"/>
      <c r="AA91" s="2974"/>
      <c r="AB91" s="2974"/>
      <c r="AC91" s="2974"/>
      <c r="AD91" s="2974"/>
      <c r="AE91" s="297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2"/>
      <c r="O92" s="2982"/>
      <c r="P92" s="3006"/>
      <c r="Q92" s="2973"/>
      <c r="R92" s="2974"/>
      <c r="S92" s="2974"/>
      <c r="T92" s="2974"/>
      <c r="U92" s="2974"/>
      <c r="V92" s="2974"/>
      <c r="W92" s="2974"/>
      <c r="X92" s="2974"/>
      <c r="Y92" s="2974"/>
      <c r="Z92" s="2974"/>
      <c r="AA92" s="2974"/>
      <c r="AB92" s="2974"/>
      <c r="AC92" s="2974"/>
      <c r="AD92" s="2974"/>
      <c r="AE92" s="2974"/>
    </row>
    <row r="93" spans="1:31" s="430" customFormat="1" ht="15.75" thickTop="1">
      <c r="A93" s="510"/>
      <c r="B93" s="503" t="s">
        <v>2622</v>
      </c>
      <c r="C93" s="616" t="s">
        <v>2496</v>
      </c>
      <c r="D93" s="616" t="s">
        <v>2497</v>
      </c>
      <c r="E93" s="616" t="s">
        <v>2498</v>
      </c>
      <c r="F93" s="616" t="s">
        <v>2499</v>
      </c>
      <c r="G93" s="616" t="s">
        <v>2500</v>
      </c>
      <c r="H93" s="557"/>
      <c r="I93" s="557"/>
      <c r="J93" s="557"/>
      <c r="K93" s="557"/>
      <c r="L93" s="557"/>
      <c r="M93" s="559"/>
      <c r="N93" s="2982"/>
      <c r="O93" s="2982"/>
      <c r="P93" s="3006"/>
      <c r="Q93" s="2973"/>
      <c r="R93" s="2974"/>
      <c r="S93" s="2974"/>
      <c r="T93" s="2974"/>
      <c r="U93" s="2974"/>
      <c r="V93" s="2974"/>
      <c r="W93" s="2974"/>
      <c r="X93" s="2974"/>
      <c r="Y93" s="2974"/>
      <c r="Z93" s="2974"/>
      <c r="AA93" s="2974"/>
      <c r="AB93" s="2974"/>
      <c r="AC93" s="2974"/>
      <c r="AD93" s="2974"/>
      <c r="AE93" s="297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2"/>
      <c r="O94" s="2982"/>
      <c r="P94" s="3006"/>
      <c r="Q94" s="2973"/>
      <c r="R94" s="2974"/>
      <c r="S94" s="2974"/>
      <c r="T94" s="2974"/>
      <c r="U94" s="2974"/>
      <c r="V94" s="2974"/>
      <c r="W94" s="2974"/>
      <c r="X94" s="2974"/>
      <c r="Y94" s="2974"/>
      <c r="Z94" s="2974"/>
      <c r="AA94" s="2974"/>
      <c r="AB94" s="2974"/>
      <c r="AC94" s="2974"/>
      <c r="AD94" s="2974"/>
      <c r="AE94" s="2974"/>
    </row>
    <row r="95" spans="1:31" ht="15.75" thickTop="1">
      <c r="A95" s="491"/>
      <c r="B95" s="495" t="str">
        <f>B27</f>
        <v>临街状况</v>
      </c>
      <c r="C95" s="496" t="s">
        <v>2606</v>
      </c>
      <c r="D95" s="496" t="s">
        <v>2607</v>
      </c>
      <c r="E95" s="496" t="s">
        <v>2608</v>
      </c>
      <c r="F95" s="496" t="s">
        <v>2609</v>
      </c>
      <c r="G95" s="496"/>
      <c r="H95" s="496"/>
      <c r="I95" s="496"/>
      <c r="J95" s="496"/>
      <c r="K95" s="497"/>
      <c r="L95" s="498"/>
      <c r="M95" s="499"/>
      <c r="N95" s="2980"/>
      <c r="O95" s="2980"/>
      <c r="P95" s="3005"/>
      <c r="Q95" s="2966"/>
      <c r="R95" s="2952"/>
      <c r="S95" s="2952"/>
      <c r="T95" s="2952"/>
      <c r="U95" s="2952"/>
      <c r="V95" s="2952"/>
      <c r="W95" s="2952"/>
      <c r="X95" s="2952"/>
      <c r="Y95" s="2952"/>
      <c r="Z95" s="2952"/>
      <c r="AA95" s="2952"/>
      <c r="AB95" s="2952"/>
      <c r="AC95" s="2952"/>
      <c r="AD95" s="2952"/>
      <c r="AE95" s="2952"/>
    </row>
    <row r="96" spans="1:31" ht="15.75" thickBot="1">
      <c r="A96" s="491"/>
      <c r="B96" s="500"/>
      <c r="C96" s="501">
        <v>100</v>
      </c>
      <c r="D96" s="501">
        <f t="shared" ref="D96:M96" si="21">C96-$K27</f>
        <v>100</v>
      </c>
      <c r="E96" s="501">
        <f t="shared" si="21"/>
        <v>100</v>
      </c>
      <c r="F96" s="501">
        <f t="shared" si="21"/>
        <v>100</v>
      </c>
      <c r="G96" s="501">
        <f t="shared" si="21"/>
        <v>100</v>
      </c>
      <c r="H96" s="501">
        <f t="shared" si="21"/>
        <v>100</v>
      </c>
      <c r="I96" s="501">
        <f t="shared" si="21"/>
        <v>100</v>
      </c>
      <c r="J96" s="501">
        <f t="shared" si="21"/>
        <v>100</v>
      </c>
      <c r="K96" s="501">
        <f t="shared" si="21"/>
        <v>100</v>
      </c>
      <c r="L96" s="501">
        <f t="shared" si="21"/>
        <v>100</v>
      </c>
      <c r="M96" s="501">
        <f t="shared" si="21"/>
        <v>100</v>
      </c>
      <c r="N96" s="2981"/>
      <c r="O96" s="2981"/>
      <c r="P96" s="3005"/>
      <c r="Q96" s="2966"/>
      <c r="R96" s="2952"/>
      <c r="S96" s="2952"/>
      <c r="T96" s="2952"/>
      <c r="U96" s="2952"/>
      <c r="V96" s="2952"/>
      <c r="W96" s="2952"/>
      <c r="X96" s="2952"/>
      <c r="Y96" s="2952"/>
      <c r="Z96" s="2952"/>
      <c r="AA96" s="2952"/>
      <c r="AB96" s="2952"/>
      <c r="AC96" s="2952"/>
      <c r="AD96" s="2952"/>
      <c r="AE96" s="2952"/>
    </row>
    <row r="97" spans="1:31" ht="27.75" thickTop="1">
      <c r="A97" s="491"/>
      <c r="B97" s="495" t="s">
        <v>2512</v>
      </c>
      <c r="C97" s="511"/>
      <c r="D97" s="511"/>
      <c r="E97" s="511"/>
      <c r="F97" s="511"/>
      <c r="G97" s="511"/>
      <c r="H97" s="540"/>
      <c r="I97" s="540"/>
      <c r="J97" s="540"/>
      <c r="K97" s="541"/>
      <c r="L97" s="542"/>
      <c r="M97" s="543"/>
      <c r="N97" s="2980"/>
      <c r="O97" s="2980"/>
      <c r="P97" s="3005"/>
      <c r="Q97" s="2966"/>
      <c r="R97" s="2952"/>
      <c r="S97" s="2952"/>
      <c r="T97" s="2952"/>
      <c r="U97" s="2952"/>
      <c r="V97" s="2952"/>
      <c r="W97" s="2952"/>
      <c r="X97" s="2952"/>
      <c r="Y97" s="2952"/>
      <c r="Z97" s="2952"/>
      <c r="AA97" s="2952"/>
      <c r="AB97" s="2952"/>
      <c r="AC97" s="2952"/>
      <c r="AD97" s="2952"/>
      <c r="AE97" s="2952"/>
    </row>
    <row r="98" spans="1:31" ht="15.75" thickBot="1">
      <c r="A98" s="491"/>
      <c r="B98" s="500"/>
      <c r="C98" s="501">
        <v>100</v>
      </c>
      <c r="D98" s="501">
        <f t="shared" ref="D98:M98" si="22">C98-$K28</f>
        <v>100</v>
      </c>
      <c r="E98" s="501">
        <f t="shared" si="22"/>
        <v>100</v>
      </c>
      <c r="F98" s="501">
        <f t="shared" si="22"/>
        <v>100</v>
      </c>
      <c r="G98" s="501">
        <f t="shared" si="22"/>
        <v>100</v>
      </c>
      <c r="H98" s="501">
        <f t="shared" si="22"/>
        <v>100</v>
      </c>
      <c r="I98" s="501">
        <f t="shared" si="22"/>
        <v>100</v>
      </c>
      <c r="J98" s="501">
        <f t="shared" si="22"/>
        <v>100</v>
      </c>
      <c r="K98" s="501">
        <f t="shared" si="22"/>
        <v>100</v>
      </c>
      <c r="L98" s="501">
        <f t="shared" si="22"/>
        <v>100</v>
      </c>
      <c r="M98" s="501">
        <f t="shared" si="22"/>
        <v>100</v>
      </c>
      <c r="N98" s="2981"/>
      <c r="O98" s="2981"/>
      <c r="P98" s="3005"/>
      <c r="Q98" s="2966"/>
      <c r="R98" s="2952"/>
      <c r="S98" s="2952"/>
      <c r="T98" s="2952"/>
      <c r="U98" s="2952"/>
      <c r="V98" s="2952"/>
      <c r="W98" s="2952"/>
      <c r="X98" s="2952"/>
      <c r="Y98" s="2952"/>
      <c r="Z98" s="2952"/>
      <c r="AA98" s="2952"/>
      <c r="AB98" s="2952"/>
      <c r="AC98" s="2952"/>
      <c r="AD98" s="2952"/>
      <c r="AE98" s="2952"/>
    </row>
    <row r="99" spans="1:31" ht="15.75" thickTop="1">
      <c r="A99" s="491"/>
      <c r="B99" s="495" t="s">
        <v>2569</v>
      </c>
      <c r="C99" s="540"/>
      <c r="D99" s="540"/>
      <c r="E99" s="540"/>
      <c r="F99" s="540"/>
      <c r="G99" s="540"/>
      <c r="H99" s="540"/>
      <c r="I99" s="540"/>
      <c r="J99" s="540"/>
      <c r="K99" s="541"/>
      <c r="L99" s="542"/>
      <c r="M99" s="543"/>
      <c r="N99" s="2980"/>
      <c r="O99" s="2980"/>
      <c r="P99" s="3005"/>
      <c r="Q99" s="2966"/>
      <c r="R99" s="2952"/>
      <c r="S99" s="2952"/>
      <c r="T99" s="2952"/>
      <c r="U99" s="2952"/>
      <c r="V99" s="2952"/>
      <c r="W99" s="2952"/>
      <c r="X99" s="2952"/>
      <c r="Y99" s="2952"/>
      <c r="Z99" s="2952"/>
      <c r="AA99" s="2952"/>
      <c r="AB99" s="2952"/>
      <c r="AC99" s="2952"/>
      <c r="AD99" s="2952"/>
      <c r="AE99" s="2952"/>
    </row>
    <row r="100" spans="1:31" ht="15.75" thickBot="1">
      <c r="A100" s="491"/>
      <c r="B100" s="500"/>
      <c r="C100" s="501">
        <v>100</v>
      </c>
      <c r="D100" s="501">
        <f t="shared" ref="D100:M100" si="23">C100-$K30</f>
        <v>100</v>
      </c>
      <c r="E100" s="501">
        <f t="shared" si="23"/>
        <v>100</v>
      </c>
      <c r="F100" s="501">
        <f t="shared" si="23"/>
        <v>100</v>
      </c>
      <c r="G100" s="501">
        <f t="shared" si="23"/>
        <v>100</v>
      </c>
      <c r="H100" s="501">
        <f t="shared" si="23"/>
        <v>100</v>
      </c>
      <c r="I100" s="501">
        <f t="shared" si="23"/>
        <v>100</v>
      </c>
      <c r="J100" s="501">
        <f t="shared" si="23"/>
        <v>100</v>
      </c>
      <c r="K100" s="501">
        <f t="shared" si="23"/>
        <v>100</v>
      </c>
      <c r="L100" s="501">
        <f t="shared" si="23"/>
        <v>100</v>
      </c>
      <c r="M100" s="501">
        <f t="shared" si="23"/>
        <v>100</v>
      </c>
      <c r="N100" s="2981"/>
      <c r="O100" s="2981"/>
      <c r="P100" s="3005"/>
      <c r="Q100" s="2966"/>
      <c r="R100" s="2952"/>
      <c r="S100" s="2952"/>
      <c r="T100" s="2952"/>
      <c r="U100" s="2952"/>
      <c r="V100" s="2952"/>
      <c r="W100" s="2952"/>
      <c r="X100" s="2952"/>
      <c r="Y100" s="2952"/>
      <c r="Z100" s="2952"/>
      <c r="AA100" s="2952"/>
      <c r="AB100" s="2952"/>
      <c r="AC100" s="2952"/>
      <c r="AD100" s="2952"/>
      <c r="AE100" s="2952"/>
    </row>
    <row r="101" spans="1:31" ht="15.75" thickTop="1">
      <c r="A101" s="491"/>
      <c r="B101" s="503">
        <f>B31</f>
        <v>111</v>
      </c>
      <c r="C101" s="511"/>
      <c r="D101" s="511"/>
      <c r="E101" s="511"/>
      <c r="F101" s="511"/>
      <c r="G101" s="544"/>
      <c r="H101" s="544"/>
      <c r="I101" s="544"/>
      <c r="J101" s="544"/>
      <c r="K101" s="545"/>
      <c r="L101" s="546"/>
      <c r="M101" s="547"/>
      <c r="N101" s="2980"/>
      <c r="O101" s="2980"/>
      <c r="P101" s="3005"/>
      <c r="Q101" s="2966"/>
      <c r="R101" s="2952"/>
      <c r="S101" s="2952"/>
      <c r="T101" s="2952"/>
      <c r="U101" s="2952"/>
      <c r="V101" s="2952"/>
      <c r="W101" s="2952"/>
      <c r="X101" s="2952"/>
      <c r="Y101" s="2952"/>
      <c r="Z101" s="2952"/>
      <c r="AA101" s="2952"/>
      <c r="AB101" s="2952"/>
      <c r="AC101" s="2952"/>
      <c r="AD101" s="2952"/>
      <c r="AE101" s="2952"/>
    </row>
    <row r="102" spans="1:31" ht="15.75" thickBot="1">
      <c r="A102" s="491"/>
      <c r="B102" s="526"/>
      <c r="C102" s="517"/>
      <c r="D102" s="493"/>
      <c r="E102" s="493"/>
      <c r="F102" s="493"/>
      <c r="G102" s="548"/>
      <c r="H102" s="548"/>
      <c r="I102" s="548"/>
      <c r="J102" s="548"/>
      <c r="K102" s="548"/>
      <c r="L102" s="548"/>
      <c r="M102" s="549"/>
      <c r="N102" s="2981"/>
      <c r="O102" s="2981"/>
      <c r="P102" s="3005"/>
      <c r="Q102" s="2966"/>
      <c r="R102" s="2952"/>
      <c r="S102" s="2952"/>
      <c r="T102" s="2952"/>
      <c r="U102" s="2952"/>
      <c r="V102" s="2952"/>
      <c r="W102" s="2952"/>
      <c r="X102" s="2952"/>
      <c r="Y102" s="2952"/>
      <c r="Z102" s="2952"/>
      <c r="AA102" s="2952"/>
      <c r="AB102" s="2952"/>
      <c r="AC102" s="2952"/>
      <c r="AD102" s="2952"/>
      <c r="AE102" s="2952"/>
    </row>
    <row r="103" spans="1:31" ht="15" thickTop="1">
      <c r="A103" s="631"/>
      <c r="B103" s="495">
        <f>B32</f>
        <v>111</v>
      </c>
      <c r="C103" s="511"/>
      <c r="D103" s="511"/>
      <c r="E103" s="511"/>
      <c r="F103" s="511"/>
      <c r="G103" s="540"/>
      <c r="H103" s="540"/>
      <c r="I103" s="540"/>
      <c r="J103" s="540"/>
      <c r="K103" s="541"/>
      <c r="L103" s="542"/>
      <c r="M103" s="543"/>
      <c r="N103" s="2980"/>
      <c r="O103" s="2980"/>
      <c r="P103" s="3005"/>
      <c r="Q103" s="2966"/>
      <c r="R103" s="2952"/>
      <c r="S103" s="2952"/>
      <c r="T103" s="2952"/>
      <c r="U103" s="2952"/>
      <c r="V103" s="2952"/>
      <c r="W103" s="2952"/>
      <c r="X103" s="2952"/>
      <c r="Y103" s="2952"/>
      <c r="Z103" s="2952"/>
      <c r="AA103" s="2952"/>
      <c r="AB103" s="2952"/>
      <c r="AC103" s="2952"/>
      <c r="AD103" s="2952"/>
      <c r="AE103" s="2952"/>
    </row>
    <row r="104" spans="1:31" ht="15.75" thickBot="1">
      <c r="A104" s="491"/>
      <c r="B104" s="500"/>
      <c r="C104" s="517"/>
      <c r="D104" s="517"/>
      <c r="E104" s="517"/>
      <c r="F104" s="517"/>
      <c r="G104" s="493"/>
      <c r="H104" s="493"/>
      <c r="I104" s="493"/>
      <c r="J104" s="493"/>
      <c r="K104" s="493"/>
      <c r="L104" s="493"/>
      <c r="M104" s="494"/>
      <c r="N104" s="2981"/>
      <c r="O104" s="2981"/>
      <c r="P104" s="3005"/>
      <c r="Q104" s="2966"/>
      <c r="R104" s="2952"/>
      <c r="S104" s="2952"/>
      <c r="T104" s="2952"/>
      <c r="U104" s="2952"/>
      <c r="V104" s="2952"/>
      <c r="W104" s="2952"/>
      <c r="X104" s="2952"/>
      <c r="Y104" s="2952"/>
      <c r="Z104" s="2952"/>
      <c r="AA104" s="2952"/>
      <c r="AB104" s="2952"/>
      <c r="AC104" s="2952"/>
      <c r="AD104" s="2952"/>
      <c r="AE104" s="2952"/>
    </row>
    <row r="105" spans="1:31" s="430" customFormat="1" ht="15" thickTop="1">
      <c r="A105" s="550"/>
      <c r="B105" s="551">
        <f>B33</f>
        <v>111</v>
      </c>
      <c r="C105" s="480"/>
      <c r="D105" s="480"/>
      <c r="E105" s="480"/>
      <c r="F105" s="480"/>
      <c r="G105" s="552"/>
      <c r="H105" s="552"/>
      <c r="I105" s="552"/>
      <c r="J105" s="553"/>
      <c r="K105" s="553"/>
      <c r="L105" s="554"/>
      <c r="M105" s="555"/>
      <c r="N105" s="2982"/>
      <c r="O105" s="2982"/>
      <c r="P105" s="3006"/>
      <c r="Q105" s="2973"/>
      <c r="R105" s="2974"/>
      <c r="S105" s="2974"/>
      <c r="T105" s="2974"/>
      <c r="U105" s="2974"/>
      <c r="V105" s="2974"/>
      <c r="W105" s="2974"/>
      <c r="X105" s="2974"/>
      <c r="Y105" s="2974"/>
      <c r="Z105" s="2974"/>
      <c r="AA105" s="2974"/>
      <c r="AB105" s="2974"/>
      <c r="AC105" s="2974"/>
      <c r="AD105" s="2974"/>
      <c r="AE105" s="2974"/>
    </row>
    <row r="106" spans="1:31" s="430" customFormat="1" ht="15.75" thickBot="1">
      <c r="A106" s="510"/>
      <c r="B106" s="503"/>
      <c r="C106" s="527"/>
      <c r="D106" s="527"/>
      <c r="E106" s="527"/>
      <c r="F106" s="527"/>
      <c r="G106" s="633"/>
      <c r="H106" s="633"/>
      <c r="I106" s="633"/>
      <c r="J106" s="633"/>
      <c r="K106" s="633"/>
      <c r="L106" s="633"/>
      <c r="M106" s="655"/>
      <c r="N106" s="2981"/>
      <c r="O106" s="2981"/>
      <c r="P106" s="3006"/>
      <c r="Q106" s="2973"/>
      <c r="R106" s="2974"/>
      <c r="S106" s="2974"/>
      <c r="T106" s="2974"/>
      <c r="U106" s="2974"/>
      <c r="V106" s="2974"/>
      <c r="W106" s="2974"/>
      <c r="X106" s="2974"/>
      <c r="Y106" s="2974"/>
      <c r="Z106" s="2974"/>
      <c r="AA106" s="2974"/>
      <c r="AB106" s="2974"/>
      <c r="AC106" s="2974"/>
      <c r="AD106" s="2974"/>
      <c r="AE106" s="2974"/>
    </row>
    <row r="107" spans="1:31">
      <c r="A107" s="484" t="s">
        <v>2384</v>
      </c>
      <c r="B107" s="485" t="s">
        <v>2610</v>
      </c>
      <c r="C107" s="486" t="str">
        <f t="shared" ref="C107:L107" si="24">C108&amp;"(含)"&amp;"-"&amp;D108</f>
        <v>(含)-</v>
      </c>
      <c r="D107" s="486" t="str">
        <f t="shared" si="24"/>
        <v>(含)-</v>
      </c>
      <c r="E107" s="486" t="str">
        <f t="shared" si="24"/>
        <v>(含)-</v>
      </c>
      <c r="F107" s="486" t="str">
        <f t="shared" si="24"/>
        <v>(含)-</v>
      </c>
      <c r="G107" s="486" t="str">
        <f t="shared" si="24"/>
        <v>(含)-</v>
      </c>
      <c r="H107" s="486" t="str">
        <f t="shared" si="24"/>
        <v>(含)-</v>
      </c>
      <c r="I107" s="486" t="str">
        <f t="shared" si="24"/>
        <v>(含)-</v>
      </c>
      <c r="J107" s="486" t="str">
        <f t="shared" si="24"/>
        <v>(含)-</v>
      </c>
      <c r="K107" s="1503" t="str">
        <f t="shared" si="24"/>
        <v>(含)-</v>
      </c>
      <c r="L107" s="1503" t="str">
        <f t="shared" si="24"/>
        <v>(含)-</v>
      </c>
      <c r="M107" s="1504" t="str">
        <f>M108&amp;"(含)"&amp;"-"&amp;P108</f>
        <v>(含)-</v>
      </c>
      <c r="N107" s="2980"/>
      <c r="O107" s="2980"/>
      <c r="P107" s="3005"/>
      <c r="Q107" s="2966"/>
      <c r="R107" s="2952"/>
      <c r="S107" s="2952"/>
      <c r="T107" s="2952"/>
      <c r="U107" s="2952"/>
      <c r="V107" s="2952"/>
      <c r="W107" s="2952"/>
      <c r="X107" s="2952"/>
      <c r="Y107" s="2952"/>
      <c r="Z107" s="2952"/>
      <c r="AA107" s="2952"/>
      <c r="AB107" s="2952"/>
      <c r="AC107" s="2952"/>
      <c r="AD107" s="2952"/>
      <c r="AE107" s="2952"/>
    </row>
    <row r="108" spans="1:31" ht="15">
      <c r="A108" s="491"/>
      <c r="B108" s="503"/>
      <c r="C108" s="552"/>
      <c r="D108" s="552"/>
      <c r="E108" s="552"/>
      <c r="F108" s="552"/>
      <c r="G108" s="552"/>
      <c r="H108" s="552"/>
      <c r="I108" s="552"/>
      <c r="J108" s="553"/>
      <c r="K108" s="553"/>
      <c r="L108" s="554"/>
      <c r="M108" s="555"/>
      <c r="N108" s="2980"/>
      <c r="O108" s="2980"/>
      <c r="P108" s="3005"/>
      <c r="Q108" s="2966"/>
      <c r="R108" s="2952"/>
      <c r="S108" s="2952"/>
      <c r="T108" s="2952"/>
      <c r="U108" s="2952"/>
      <c r="V108" s="2952"/>
      <c r="W108" s="2952"/>
      <c r="X108" s="2952"/>
      <c r="Y108" s="2952"/>
      <c r="Z108" s="2952"/>
      <c r="AA108" s="2952"/>
      <c r="AB108" s="2952"/>
      <c r="AC108" s="2952"/>
      <c r="AD108" s="2952"/>
      <c r="AE108" s="2952"/>
    </row>
    <row r="109" spans="1:31" ht="15.75" thickBot="1">
      <c r="A109" s="491"/>
      <c r="B109" s="500"/>
      <c r="C109" s="527"/>
      <c r="D109" s="548"/>
      <c r="E109" s="548"/>
      <c r="F109" s="548"/>
      <c r="G109" s="548"/>
      <c r="H109" s="548"/>
      <c r="I109" s="548"/>
      <c r="J109" s="548"/>
      <c r="K109" s="548"/>
      <c r="L109" s="548"/>
      <c r="M109" s="549"/>
      <c r="N109" s="2981"/>
      <c r="O109" s="2981"/>
      <c r="P109" s="3005"/>
      <c r="Q109" s="2966"/>
      <c r="R109" s="2952"/>
      <c r="S109" s="2952"/>
      <c r="T109" s="2952"/>
      <c r="U109" s="2952"/>
      <c r="V109" s="2952"/>
      <c r="W109" s="2952"/>
      <c r="X109" s="2952"/>
      <c r="Y109" s="2952"/>
      <c r="Z109" s="2952"/>
      <c r="AA109" s="2952"/>
      <c r="AB109" s="2952"/>
      <c r="AC109" s="2952"/>
      <c r="AD109" s="2952"/>
      <c r="AE109" s="2952"/>
    </row>
    <row r="110" spans="1:31" ht="15" thickTop="1">
      <c r="A110" s="556"/>
      <c r="B110" s="495" t="s">
        <v>2611</v>
      </c>
      <c r="C110" s="540"/>
      <c r="D110" s="540"/>
      <c r="E110" s="540"/>
      <c r="F110" s="540"/>
      <c r="G110" s="540"/>
      <c r="H110" s="540"/>
      <c r="I110" s="540"/>
      <c r="J110" s="540"/>
      <c r="K110" s="541"/>
      <c r="L110" s="542"/>
      <c r="M110" s="543"/>
      <c r="N110" s="2980"/>
      <c r="O110" s="2980"/>
      <c r="P110" s="3005"/>
      <c r="Q110" s="2966"/>
      <c r="R110" s="2952"/>
      <c r="S110" s="2952"/>
      <c r="T110" s="2952"/>
      <c r="U110" s="2952"/>
      <c r="V110" s="2952"/>
      <c r="W110" s="2952"/>
      <c r="X110" s="2952"/>
      <c r="Y110" s="2952"/>
      <c r="Z110" s="2952"/>
      <c r="AA110" s="2952"/>
      <c r="AB110" s="2952"/>
      <c r="AC110" s="2952"/>
      <c r="AD110" s="2952"/>
      <c r="AE110" s="2952"/>
    </row>
    <row r="111" spans="1:31" ht="15.75" thickBot="1">
      <c r="A111" s="491"/>
      <c r="B111" s="500"/>
      <c r="C111" s="501">
        <v>100</v>
      </c>
      <c r="D111" s="501">
        <f t="shared" ref="D111:M111" si="25">C111-$K35</f>
        <v>100</v>
      </c>
      <c r="E111" s="501">
        <f t="shared" si="25"/>
        <v>100</v>
      </c>
      <c r="F111" s="501">
        <f t="shared" si="25"/>
        <v>100</v>
      </c>
      <c r="G111" s="501">
        <f t="shared" si="25"/>
        <v>100</v>
      </c>
      <c r="H111" s="501">
        <f t="shared" si="25"/>
        <v>100</v>
      </c>
      <c r="I111" s="501">
        <f t="shared" si="25"/>
        <v>100</v>
      </c>
      <c r="J111" s="501">
        <f t="shared" si="25"/>
        <v>100</v>
      </c>
      <c r="K111" s="501">
        <f t="shared" si="25"/>
        <v>100</v>
      </c>
      <c r="L111" s="501">
        <f t="shared" si="25"/>
        <v>100</v>
      </c>
      <c r="M111" s="502">
        <f t="shared" si="25"/>
        <v>100</v>
      </c>
      <c r="N111" s="2981"/>
      <c r="O111" s="2981"/>
      <c r="P111" s="3005"/>
      <c r="Q111" s="2966"/>
      <c r="R111" s="2952"/>
      <c r="S111" s="2952"/>
      <c r="T111" s="2952"/>
      <c r="U111" s="2952"/>
      <c r="V111" s="2952"/>
      <c r="W111" s="2952"/>
      <c r="X111" s="2952"/>
      <c r="Y111" s="2952"/>
      <c r="Z111" s="2952"/>
      <c r="AA111" s="2952"/>
      <c r="AB111" s="2952"/>
      <c r="AC111" s="2952"/>
      <c r="AD111" s="2952"/>
      <c r="AE111" s="2952"/>
    </row>
    <row r="112" spans="1:31" s="430" customFormat="1" ht="15" thickTop="1">
      <c r="A112" s="550"/>
      <c r="B112" s="495" t="s">
        <v>2613</v>
      </c>
      <c r="C112" s="511"/>
      <c r="D112" s="511"/>
      <c r="E112" s="511"/>
      <c r="F112" s="511"/>
      <c r="G112" s="511"/>
      <c r="H112" s="540"/>
      <c r="I112" s="540"/>
      <c r="J112" s="540"/>
      <c r="K112" s="541"/>
      <c r="L112" s="542"/>
      <c r="M112" s="543"/>
      <c r="N112" s="2982"/>
      <c r="O112" s="2982"/>
      <c r="P112" s="3006"/>
      <c r="Q112" s="2973"/>
      <c r="R112" s="2974"/>
      <c r="S112" s="2974"/>
      <c r="T112" s="2974"/>
      <c r="U112" s="2974"/>
      <c r="V112" s="2974"/>
      <c r="W112" s="2974"/>
      <c r="X112" s="2974"/>
      <c r="Y112" s="2974"/>
      <c r="Z112" s="2974"/>
      <c r="AA112" s="2974"/>
      <c r="AB112" s="2974"/>
      <c r="AC112" s="2974"/>
      <c r="AD112" s="2974"/>
      <c r="AE112" s="2974"/>
    </row>
    <row r="113" spans="1:31" s="430" customFormat="1" ht="15.75" thickBot="1">
      <c r="A113" s="510"/>
      <c r="B113" s="500"/>
      <c r="C113" s="501">
        <v>100</v>
      </c>
      <c r="D113" s="501">
        <f t="shared" ref="D113:M113" si="26">C113-$K36</f>
        <v>100</v>
      </c>
      <c r="E113" s="501">
        <f t="shared" si="26"/>
        <v>100</v>
      </c>
      <c r="F113" s="501">
        <f t="shared" si="26"/>
        <v>100</v>
      </c>
      <c r="G113" s="501">
        <f t="shared" si="26"/>
        <v>100</v>
      </c>
      <c r="H113" s="501">
        <f t="shared" si="26"/>
        <v>100</v>
      </c>
      <c r="I113" s="501">
        <f t="shared" si="26"/>
        <v>100</v>
      </c>
      <c r="J113" s="501">
        <f t="shared" si="26"/>
        <v>100</v>
      </c>
      <c r="K113" s="501">
        <f t="shared" si="26"/>
        <v>100</v>
      </c>
      <c r="L113" s="501">
        <f t="shared" si="26"/>
        <v>100</v>
      </c>
      <c r="M113" s="502">
        <f t="shared" si="26"/>
        <v>100</v>
      </c>
      <c r="N113" s="2982"/>
      <c r="O113" s="2982"/>
      <c r="P113" s="3006"/>
      <c r="Q113" s="2973"/>
      <c r="R113" s="2974"/>
      <c r="S113" s="2974"/>
      <c r="T113" s="2974"/>
      <c r="U113" s="2974"/>
      <c r="V113" s="2974"/>
      <c r="W113" s="2974"/>
      <c r="X113" s="2974"/>
      <c r="Y113" s="2974"/>
      <c r="Z113" s="2974"/>
      <c r="AA113" s="2974"/>
      <c r="AB113" s="2974"/>
      <c r="AC113" s="2974"/>
      <c r="AD113" s="2974"/>
      <c r="AE113" s="2974"/>
    </row>
    <row r="114" spans="1:31" ht="15" thickTop="1">
      <c r="A114" s="556"/>
      <c r="B114" s="495" t="s">
        <v>2614</v>
      </c>
      <c r="C114" s="511"/>
      <c r="D114" s="511"/>
      <c r="E114" s="540"/>
      <c r="F114" s="540"/>
      <c r="G114" s="540"/>
      <c r="H114" s="540"/>
      <c r="I114" s="540"/>
      <c r="J114" s="540"/>
      <c r="K114" s="541"/>
      <c r="L114" s="542"/>
      <c r="M114" s="543"/>
      <c r="N114" s="2980"/>
      <c r="O114" s="2980"/>
      <c r="P114" s="3005"/>
      <c r="Q114" s="2966"/>
      <c r="R114" s="2952"/>
      <c r="S114" s="2952"/>
      <c r="T114" s="2952"/>
      <c r="U114" s="2952"/>
      <c r="V114" s="2952"/>
      <c r="W114" s="2952"/>
      <c r="X114" s="2952"/>
      <c r="Y114" s="2952"/>
      <c r="Z114" s="2952"/>
      <c r="AA114" s="2952"/>
      <c r="AB114" s="2952"/>
      <c r="AC114" s="2952"/>
      <c r="AD114" s="2952"/>
      <c r="AE114" s="2952"/>
    </row>
    <row r="115" spans="1:31" ht="15.75" thickBot="1">
      <c r="A115" s="491"/>
      <c r="B115" s="500"/>
      <c r="C115" s="501">
        <v>100</v>
      </c>
      <c r="D115" s="501">
        <f t="shared" ref="D115:M115" si="27">C115-$K37</f>
        <v>100</v>
      </c>
      <c r="E115" s="501">
        <f t="shared" si="27"/>
        <v>100</v>
      </c>
      <c r="F115" s="501">
        <f t="shared" si="27"/>
        <v>100</v>
      </c>
      <c r="G115" s="501">
        <f t="shared" si="27"/>
        <v>100</v>
      </c>
      <c r="H115" s="501">
        <f t="shared" si="27"/>
        <v>100</v>
      </c>
      <c r="I115" s="501">
        <f t="shared" si="27"/>
        <v>100</v>
      </c>
      <c r="J115" s="501">
        <f t="shared" si="27"/>
        <v>100</v>
      </c>
      <c r="K115" s="501">
        <f t="shared" si="27"/>
        <v>100</v>
      </c>
      <c r="L115" s="501">
        <f t="shared" si="27"/>
        <v>100</v>
      </c>
      <c r="M115" s="502">
        <f t="shared" si="27"/>
        <v>100</v>
      </c>
      <c r="N115" s="2981"/>
      <c r="O115" s="2981"/>
      <c r="P115" s="3005"/>
      <c r="Q115" s="2966"/>
      <c r="R115" s="2952"/>
      <c r="S115" s="2952"/>
      <c r="T115" s="2952"/>
      <c r="U115" s="2952"/>
      <c r="V115" s="2952"/>
      <c r="W115" s="2952"/>
      <c r="X115" s="2952"/>
      <c r="Y115" s="2952"/>
      <c r="Z115" s="2952"/>
      <c r="AA115" s="2952"/>
      <c r="AB115" s="2952"/>
      <c r="AC115" s="2952"/>
      <c r="AD115" s="2952"/>
      <c r="AE115" s="2952"/>
    </row>
    <row r="116" spans="1:31" ht="15" thickTop="1">
      <c r="A116" s="556"/>
      <c r="B116" s="495">
        <f>B38</f>
        <v>111</v>
      </c>
      <c r="C116" s="511"/>
      <c r="D116" s="511"/>
      <c r="E116" s="511"/>
      <c r="F116" s="511"/>
      <c r="G116" s="511"/>
      <c r="H116" s="540"/>
      <c r="I116" s="540"/>
      <c r="J116" s="540"/>
      <c r="K116" s="541"/>
      <c r="L116" s="542"/>
      <c r="M116" s="543"/>
      <c r="N116" s="2980"/>
      <c r="O116" s="2980"/>
      <c r="P116" s="3005"/>
      <c r="Q116" s="2966"/>
      <c r="R116" s="2952"/>
      <c r="S116" s="2952"/>
      <c r="T116" s="2952"/>
      <c r="U116" s="2952"/>
      <c r="V116" s="2952"/>
      <c r="W116" s="2952"/>
      <c r="X116" s="2952"/>
      <c r="Y116" s="2952"/>
      <c r="Z116" s="2952"/>
      <c r="AA116" s="2952"/>
      <c r="AB116" s="2952"/>
      <c r="AC116" s="2952"/>
      <c r="AD116" s="2952"/>
      <c r="AE116" s="2952"/>
    </row>
    <row r="117" spans="1:31" ht="15.75" thickBot="1">
      <c r="A117" s="491"/>
      <c r="B117" s="500"/>
      <c r="C117" s="517"/>
      <c r="D117" s="493"/>
      <c r="E117" s="493"/>
      <c r="F117" s="493"/>
      <c r="G117" s="493"/>
      <c r="H117" s="493"/>
      <c r="I117" s="493"/>
      <c r="J117" s="493"/>
      <c r="K117" s="493"/>
      <c r="L117" s="493"/>
      <c r="M117" s="494"/>
      <c r="N117" s="2981"/>
      <c r="O117" s="2981"/>
      <c r="P117" s="3005"/>
      <c r="Q117" s="2966"/>
      <c r="R117" s="2952"/>
      <c r="S117" s="2952"/>
      <c r="T117" s="2952"/>
      <c r="U117" s="2952"/>
      <c r="V117" s="2952"/>
      <c r="W117" s="2952"/>
      <c r="X117" s="2952"/>
      <c r="Y117" s="2952"/>
      <c r="Z117" s="2952"/>
      <c r="AA117" s="2952"/>
      <c r="AB117" s="2952"/>
      <c r="AC117" s="2952"/>
      <c r="AD117" s="2952"/>
      <c r="AE117" s="2952"/>
    </row>
    <row r="118" spans="1:31" ht="15" thickTop="1">
      <c r="A118" s="556"/>
      <c r="B118" s="495">
        <f>B39</f>
        <v>111</v>
      </c>
      <c r="C118" s="511"/>
      <c r="D118" s="511"/>
      <c r="E118" s="511"/>
      <c r="F118" s="511"/>
      <c r="G118" s="540"/>
      <c r="H118" s="540"/>
      <c r="I118" s="540"/>
      <c r="J118" s="540"/>
      <c r="K118" s="541"/>
      <c r="L118" s="542"/>
      <c r="M118" s="543"/>
      <c r="N118" s="2980"/>
      <c r="O118" s="2980"/>
      <c r="P118" s="3005"/>
      <c r="Q118" s="2966"/>
      <c r="R118" s="2952"/>
      <c r="S118" s="2952"/>
      <c r="T118" s="2952"/>
      <c r="U118" s="2952"/>
      <c r="V118" s="2952"/>
      <c r="W118" s="2952"/>
      <c r="X118" s="2952"/>
      <c r="Y118" s="2952"/>
      <c r="Z118" s="2952"/>
      <c r="AA118" s="2952"/>
      <c r="AB118" s="2952"/>
      <c r="AC118" s="2952"/>
      <c r="AD118" s="2952"/>
      <c r="AE118" s="2952"/>
    </row>
    <row r="119" spans="1:31" ht="15.75" thickBot="1">
      <c r="A119" s="491"/>
      <c r="B119" s="500"/>
      <c r="C119" s="517"/>
      <c r="D119" s="517"/>
      <c r="E119" s="517"/>
      <c r="F119" s="517"/>
      <c r="G119" s="493"/>
      <c r="H119" s="493"/>
      <c r="I119" s="493"/>
      <c r="J119" s="493"/>
      <c r="K119" s="493"/>
      <c r="L119" s="493"/>
      <c r="M119" s="494"/>
      <c r="N119" s="2981"/>
      <c r="O119" s="2981"/>
      <c r="P119" s="3005"/>
      <c r="Q119" s="2966"/>
      <c r="R119" s="2952"/>
      <c r="S119" s="2952"/>
      <c r="T119" s="2952"/>
      <c r="U119" s="2952"/>
      <c r="V119" s="2952"/>
      <c r="W119" s="2952"/>
      <c r="X119" s="2952"/>
      <c r="Y119" s="2952"/>
      <c r="Z119" s="2952"/>
      <c r="AA119" s="2952"/>
      <c r="AB119" s="2952"/>
      <c r="AC119" s="2952"/>
      <c r="AD119" s="2952"/>
      <c r="AE119" s="2952"/>
    </row>
    <row r="120" spans="1:31" s="430" customFormat="1" ht="15" thickTop="1">
      <c r="A120" s="550"/>
      <c r="B120" s="495">
        <f>B40</f>
        <v>111</v>
      </c>
      <c r="C120" s="480"/>
      <c r="D120" s="480"/>
      <c r="E120" s="480"/>
      <c r="F120" s="480"/>
      <c r="G120" s="512"/>
      <c r="H120" s="512"/>
      <c r="I120" s="512"/>
      <c r="J120" s="512"/>
      <c r="K120" s="512"/>
      <c r="L120" s="513"/>
      <c r="M120" s="514"/>
      <c r="N120" s="2982"/>
      <c r="O120" s="2982"/>
      <c r="P120" s="3006"/>
      <c r="Q120" s="2973"/>
      <c r="R120" s="2974"/>
      <c r="S120" s="2974"/>
      <c r="T120" s="2974"/>
      <c r="U120" s="2974"/>
      <c r="V120" s="2974"/>
      <c r="W120" s="2974"/>
      <c r="X120" s="2974"/>
      <c r="Y120" s="2974"/>
      <c r="Z120" s="2974"/>
      <c r="AA120" s="2974"/>
      <c r="AB120" s="2974"/>
      <c r="AC120" s="2974"/>
      <c r="AD120" s="2974"/>
      <c r="AE120" s="2974"/>
    </row>
    <row r="121" spans="1:31" s="430" customFormat="1" ht="15.75" thickBot="1">
      <c r="A121" s="525"/>
      <c r="B121" s="656"/>
      <c r="C121" s="527"/>
      <c r="D121" s="527"/>
      <c r="E121" s="527"/>
      <c r="F121" s="527"/>
      <c r="G121" s="548"/>
      <c r="H121" s="548"/>
      <c r="I121" s="548"/>
      <c r="J121" s="548"/>
      <c r="K121" s="548"/>
      <c r="L121" s="548"/>
      <c r="M121" s="549"/>
      <c r="N121" s="2982"/>
      <c r="O121" s="2982"/>
      <c r="P121" s="3006"/>
      <c r="Q121" s="2973"/>
      <c r="R121" s="2974"/>
      <c r="S121" s="2974"/>
      <c r="T121" s="2974"/>
      <c r="U121" s="2974"/>
      <c r="V121" s="2974"/>
      <c r="W121" s="2974"/>
      <c r="X121" s="2974"/>
      <c r="Y121" s="2974"/>
      <c r="Z121" s="2974"/>
      <c r="AA121" s="2974"/>
      <c r="AB121" s="2974"/>
      <c r="AC121" s="2974"/>
      <c r="AD121" s="2974"/>
      <c r="AE121" s="2974"/>
    </row>
    <row r="122" spans="1:31">
      <c r="N122" s="2952"/>
      <c r="O122" s="2952"/>
      <c r="P122" s="2952"/>
      <c r="Q122" s="2952"/>
      <c r="R122" s="2952"/>
      <c r="S122" s="2952"/>
      <c r="T122" s="2952"/>
      <c r="U122" s="2952"/>
      <c r="V122" s="2952"/>
      <c r="W122" s="2952"/>
      <c r="X122" s="2952"/>
      <c r="Y122" s="2952"/>
      <c r="Z122" s="2952"/>
      <c r="AA122" s="2952"/>
      <c r="AB122" s="2952"/>
      <c r="AC122" s="2952"/>
      <c r="AD122" s="2952"/>
      <c r="AE122" s="2952"/>
    </row>
    <row r="123" spans="1:31">
      <c r="P123" s="2952"/>
      <c r="Q123" s="2952"/>
      <c r="R123" s="2952"/>
      <c r="S123" s="2952"/>
      <c r="T123" s="2952"/>
      <c r="U123" s="2952"/>
      <c r="V123" s="2952"/>
      <c r="W123" s="2952"/>
      <c r="X123" s="2952"/>
      <c r="Y123" s="2952"/>
      <c r="Z123" s="2952"/>
      <c r="AA123" s="2952"/>
      <c r="AB123" s="2952"/>
      <c r="AC123" s="2952"/>
      <c r="AD123" s="2952"/>
      <c r="AE123" s="295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51" priority="18" stopIfTrue="1" operator="containsText" text="超过">
      <formula>NOT(ISERROR(SEARCH("超过",F46)))</formula>
    </cfRule>
  </conditionalFormatting>
  <conditionalFormatting sqref="J48">
    <cfRule type="containsText" dxfId="150" priority="17" stopIfTrue="1" operator="containsText" text="超过">
      <formula>NOT(ISERROR(SEARCH("超过",J48)))</formula>
    </cfRule>
  </conditionalFormatting>
  <conditionalFormatting sqref="H48">
    <cfRule type="containsText" dxfId="149" priority="16" stopIfTrue="1" operator="containsText" text="超过">
      <formula>NOT(ISERROR(SEARCH("超过",H48)))</formula>
    </cfRule>
  </conditionalFormatting>
  <conditionalFormatting sqref="F48">
    <cfRule type="containsText" dxfId="148" priority="15" stopIfTrue="1" operator="containsText" text="超过">
      <formula>NOT(ISERROR(SEARCH("超过",F48)))</formula>
    </cfRule>
  </conditionalFormatting>
  <conditionalFormatting sqref="F47 H47 J47">
    <cfRule type="containsText" dxfId="147" priority="14" stopIfTrue="1" operator="containsText" text="超过">
      <formula>NOT(ISERROR(SEARCH("超过",F47)))</formula>
    </cfRule>
  </conditionalFormatting>
  <conditionalFormatting sqref="E46">
    <cfRule type="expression" dxfId="146" priority="13" stopIfTrue="1">
      <formula>$F$46="超过30%"</formula>
    </cfRule>
  </conditionalFormatting>
  <conditionalFormatting sqref="G48">
    <cfRule type="expression" dxfId="145" priority="12" stopIfTrue="1">
      <formula>$H$48="超过30%"</formula>
    </cfRule>
  </conditionalFormatting>
  <conditionalFormatting sqref="E48">
    <cfRule type="expression" dxfId="144" priority="10" stopIfTrue="1">
      <formula>$F$48="超过30%"</formula>
    </cfRule>
  </conditionalFormatting>
  <conditionalFormatting sqref="G46">
    <cfRule type="expression" dxfId="143" priority="9" stopIfTrue="1">
      <formula>$H$46="超过30%"</formula>
    </cfRule>
  </conditionalFormatting>
  <conditionalFormatting sqref="G47">
    <cfRule type="expression" dxfId="142" priority="8" stopIfTrue="1">
      <formula>$H$47="超过20%"</formula>
    </cfRule>
  </conditionalFormatting>
  <conditionalFormatting sqref="I46">
    <cfRule type="expression" dxfId="141" priority="7" stopIfTrue="1">
      <formula>$J$46="超过30%"</formula>
    </cfRule>
  </conditionalFormatting>
  <conditionalFormatting sqref="I47">
    <cfRule type="expression" dxfId="140" priority="6" stopIfTrue="1">
      <formula>$J$47="超过20%"</formula>
    </cfRule>
  </conditionalFormatting>
  <conditionalFormatting sqref="I48">
    <cfRule type="expression" dxfId="139" priority="5" stopIfTrue="1">
      <formula>$J$48="超过30%"</formula>
    </cfRule>
  </conditionalFormatting>
  <conditionalFormatting sqref="E47">
    <cfRule type="expression" dxfId="138" priority="53" stopIfTrue="1">
      <formula>#REF!+$F$47="超过20%"</formula>
    </cfRule>
  </conditionalFormatting>
  <conditionalFormatting sqref="F42">
    <cfRule type="expression" dxfId="137" priority="4">
      <formula>$D$42="简单平均"</formula>
    </cfRule>
  </conditionalFormatting>
  <conditionalFormatting sqref="H42">
    <cfRule type="expression" dxfId="136" priority="3">
      <formula>$D$42="简单平均"</formula>
    </cfRule>
  </conditionalFormatting>
  <conditionalFormatting sqref="J42">
    <cfRule type="expression" dxfId="135" priority="2">
      <formula>$D$42="简单平均"</formula>
    </cfRule>
  </conditionalFormatting>
  <conditionalFormatting sqref="F7:F40 H7:H40 J7:J40">
    <cfRule type="cellIs" dxfId="134" priority="1" operator="notEqual">
      <formula>100</formula>
    </cfRule>
  </conditionalFormatting>
  <dataValidations count="20">
    <dataValidation type="list" allowBlank="1" showInputMessage="1" showErrorMessage="1" sqref="B41" xr:uid="{00000000-0002-0000-1D00-000000000000}">
      <formula1>单价内涵</formula1>
    </dataValidation>
    <dataValidation type="list" allowBlank="1" showInputMessage="1" showErrorMessage="1" sqref="C22 E22 G22 I22" xr:uid="{00000000-0002-0000-1D00-000001000000}">
      <formula1>环境</formula1>
    </dataValidation>
    <dataValidation type="list" allowBlank="1" showInputMessage="1" showErrorMessage="1" sqref="E18 C18 G18 I18" xr:uid="{00000000-0002-0000-1D00-000002000000}">
      <formula1>交通便捷度</formula1>
    </dataValidation>
    <dataValidation type="list" allowBlank="1" showInputMessage="1" showErrorMessage="1" sqref="E24 C24 G24 I24" xr:uid="{00000000-0002-0000-1D00-000003000000}">
      <formula1>公共配套设施</formula1>
    </dataValidation>
    <dataValidation type="list" allowBlank="1" showInputMessage="1" showErrorMessage="1" sqref="C8 E8 G8 I8" xr:uid="{00000000-0002-0000-1D00-000004000000}">
      <formula1>套工交易情况</formula1>
    </dataValidation>
    <dataValidation type="list" allowBlank="1" showInputMessage="1" showErrorMessage="1" sqref="C9 E9 G9 I9" xr:uid="{00000000-0002-0000-1D00-000005000000}">
      <formula1>套工用途</formula1>
    </dataValidation>
    <dataValidation type="list" allowBlank="1" showInputMessage="1" showErrorMessage="1" sqref="I30 E30 G30" xr:uid="{00000000-0002-0000-1D00-000006000000}">
      <formula1>套工土地级别</formula1>
    </dataValidation>
    <dataValidation type="list" allowBlank="1" showInputMessage="1" showErrorMessage="1" sqref="C27 E27 G27 I27" xr:uid="{00000000-0002-0000-1D00-000007000000}">
      <formula1>临街状况</formula1>
    </dataValidation>
    <dataValidation type="list" allowBlank="1" showInputMessage="1" showErrorMessage="1" sqref="E20 G20 I20 C20" xr:uid="{00000000-0002-0000-1D00-000008000000}">
      <formula1>区域土地利用方向</formula1>
    </dataValidation>
    <dataValidation type="list" allowBlank="1" showInputMessage="1" showErrorMessage="1" sqref="C50" xr:uid="{00000000-0002-0000-1D00-000009000000}">
      <formula1>"北京市系数,其他省市系数"</formula1>
    </dataValidation>
    <dataValidation type="list" allowBlank="1" showInputMessage="1" showErrorMessage="1" sqref="C16 E16 G16 I16" xr:uid="{00000000-0002-0000-1D00-00000A000000}">
      <formula1>产业集聚程度</formula1>
    </dataValidation>
    <dataValidation type="list" allowBlank="1" showInputMessage="1" showErrorMessage="1" sqref="C29 E29 G29 I29" xr:uid="{00000000-0002-0000-1D00-00000B000000}">
      <formula1>套工道路等级</formula1>
    </dataValidation>
    <dataValidation type="list" allowBlank="1" showInputMessage="1" showErrorMessage="1" sqref="C35 E35 G35 I35" xr:uid="{00000000-0002-0000-1D00-00000C000000}">
      <formula1>套工宗地形状</formula1>
    </dataValidation>
    <dataValidation type="list" allowBlank="1" showInputMessage="1" showErrorMessage="1" sqref="C36 E36 G36 I36" xr:uid="{00000000-0002-0000-1D00-00000D000000}">
      <formula1>套工宗地开发程度</formula1>
    </dataValidation>
    <dataValidation type="list" allowBlank="1" showInputMessage="1" showErrorMessage="1" sqref="C37 E37 G37 I37" xr:uid="{00000000-0002-0000-1D00-00000E000000}">
      <formula1>套工地质条件</formula1>
    </dataValidation>
    <dataValidation type="list" allowBlank="1" showInputMessage="1" showErrorMessage="1" sqref="G58" xr:uid="{00000000-0002-0000-1D00-00000F000000}">
      <formula1>"住宅,工业"</formula1>
    </dataValidation>
    <dataValidation type="list" allowBlank="1" showInputMessage="1" showErrorMessage="1" sqref="G57" xr:uid="{00000000-0002-0000-1D00-000010000000}">
      <formula1>"商业,办公,住宅,工业"</formula1>
    </dataValidation>
    <dataValidation type="list" allowBlank="1" showInputMessage="1" showErrorMessage="1" sqref="D52:D60" xr:uid="{00000000-0002-0000-1D00-000011000000}">
      <formula1>"25%,1"</formula1>
    </dataValidation>
    <dataValidation type="list" allowBlank="1" showInputMessage="1" showErrorMessage="1" sqref="C26 E26 G26 I26" xr:uid="{00000000-0002-0000-1D00-000012000000}">
      <formula1>基础设施水平</formula1>
    </dataValidation>
    <dataValidation type="list" allowBlank="1" showInputMessage="1" showErrorMessage="1" sqref="D42"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P21"/>
  <sheetViews>
    <sheetView view="pageBreakPreview" zoomScaleNormal="100" zoomScaleSheetLayoutView="100" workbookViewId="0">
      <selection activeCell="E8" sqref="E8"/>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2819</v>
      </c>
      <c r="B1" s="2363"/>
      <c r="C1" s="2363"/>
      <c r="D1" s="2363"/>
      <c r="E1" s="2363"/>
      <c r="F1" s="3022"/>
      <c r="G1" s="3022"/>
      <c r="H1" s="3022"/>
      <c r="I1" s="3022"/>
      <c r="J1" s="3022"/>
      <c r="K1" s="3022"/>
      <c r="L1" s="3022"/>
      <c r="M1" s="3022"/>
      <c r="N1" s="3022"/>
      <c r="O1" s="3022"/>
      <c r="P1" s="3022"/>
    </row>
    <row r="2" spans="1:16" ht="15.75">
      <c r="A2" s="2361" t="s">
        <v>2812</v>
      </c>
      <c r="B2" s="2826">
        <f ca="1">SUMIF(B6:B13,"&lt;&gt;#ref!",B6:B13)</f>
        <v>114083</v>
      </c>
      <c r="C2" s="2361" t="s">
        <v>2813</v>
      </c>
      <c r="D2" s="2361" t="s">
        <v>2814</v>
      </c>
      <c r="E2" s="2836">
        <f ca="1">SUMIF(E6:E13,"&lt;&gt;#ref!",E6:E13)</f>
        <v>47689.05</v>
      </c>
      <c r="F2" s="3022"/>
      <c r="G2" s="3022"/>
      <c r="H2" s="3022"/>
      <c r="I2" s="3022"/>
      <c r="J2" s="3022"/>
      <c r="K2" s="3022"/>
      <c r="L2" s="3022"/>
      <c r="M2" s="3022"/>
      <c r="N2" s="3022"/>
      <c r="O2" s="3022"/>
      <c r="P2" s="3022"/>
    </row>
    <row r="3" spans="1:16" ht="15.75">
      <c r="A3" s="2361" t="s">
        <v>2815</v>
      </c>
      <c r="B3" s="2826">
        <f ca="1">ROUND(B2*10000/E2,0)</f>
        <v>23922</v>
      </c>
      <c r="C3" s="2361" t="s">
        <v>2820</v>
      </c>
      <c r="D3" s="3022"/>
      <c r="E3" s="3022"/>
      <c r="F3" s="3022"/>
      <c r="G3" s="3022"/>
      <c r="H3" s="3022"/>
      <c r="I3" s="3022"/>
      <c r="J3" s="3022"/>
      <c r="K3" s="3022"/>
      <c r="L3" s="3022"/>
      <c r="M3" s="3022"/>
      <c r="N3" s="3022"/>
      <c r="O3" s="3022"/>
      <c r="P3" s="3022"/>
    </row>
    <row r="4" spans="1:16" ht="15.75">
      <c r="A4" s="3023"/>
      <c r="B4" s="3022"/>
      <c r="C4" s="3022"/>
      <c r="D4" s="3022"/>
      <c r="E4" s="3022"/>
      <c r="F4" s="3022"/>
      <c r="G4" s="3022"/>
      <c r="H4" s="3022"/>
      <c r="I4" s="3022"/>
      <c r="J4" s="3022"/>
      <c r="K4" s="3022"/>
      <c r="L4" s="3022"/>
      <c r="M4" s="3022"/>
      <c r="N4" s="3022"/>
      <c r="O4" s="3022"/>
      <c r="P4" s="3022"/>
    </row>
    <row r="5" spans="1:16" ht="28.5">
      <c r="A5" s="2832" t="s">
        <v>2816</v>
      </c>
      <c r="B5" s="2834" t="s">
        <v>2817</v>
      </c>
      <c r="C5" s="2362"/>
      <c r="D5" s="3022"/>
      <c r="E5" s="2835" t="s">
        <v>2818</v>
      </c>
      <c r="F5" s="3022"/>
      <c r="G5" s="3022"/>
      <c r="H5" s="3022"/>
      <c r="I5" s="3022"/>
      <c r="J5" s="3022"/>
      <c r="K5" s="3022"/>
      <c r="L5" s="3022"/>
      <c r="M5" s="3022"/>
      <c r="N5" s="3022"/>
      <c r="O5" s="3022"/>
      <c r="P5" s="3022"/>
    </row>
    <row r="6" spans="1:16" ht="15.75">
      <c r="A6" s="2833" t="s">
        <v>3100</v>
      </c>
      <c r="B6" s="2826">
        <f ca="1">SUMIF(INDIRECT("'"&amp;A6&amp;"'"&amp;"!A:A"),"总价",INDIRECT("'"&amp;A6&amp;"'"&amp;"!B:B"))</f>
        <v>73017</v>
      </c>
      <c r="C6" s="2361" t="s">
        <v>2813</v>
      </c>
      <c r="D6" s="3022"/>
      <c r="E6" s="2836">
        <f ca="1">SUMIF(INDIRECT("'"&amp;A6&amp;"'"&amp;"!C:C"),"建筑面积",INDIRECT("'"&amp;A6&amp;"'"&amp;"!D:D"))</f>
        <v>35063.26</v>
      </c>
      <c r="F6" s="3022"/>
      <c r="G6" s="3022"/>
      <c r="H6" s="3022"/>
      <c r="I6" s="3022"/>
      <c r="J6" s="3022"/>
      <c r="K6" s="3022"/>
      <c r="L6" s="3022"/>
      <c r="M6" s="3022"/>
      <c r="N6" s="3022"/>
      <c r="O6" s="3022"/>
      <c r="P6" s="3022"/>
    </row>
    <row r="7" spans="1:16" ht="15.75">
      <c r="A7" s="2833" t="s">
        <v>3102</v>
      </c>
      <c r="B7" s="2826">
        <f ca="1">SUMIF(INDIRECT("'"&amp;A7&amp;"'"&amp;"!A:A"),"总价",INDIRECT("'"&amp;A7&amp;"'"&amp;"!B:B"))</f>
        <v>41066</v>
      </c>
      <c r="C7" s="2361" t="s">
        <v>2813</v>
      </c>
      <c r="D7" s="3022"/>
      <c r="E7" s="2836">
        <f>SUM('基准地价修正-商业'!U2:U6)</f>
        <v>12625.79</v>
      </c>
      <c r="F7" s="3022"/>
      <c r="G7" s="3022"/>
      <c r="H7" s="3022"/>
      <c r="I7" s="3022"/>
      <c r="J7" s="3022"/>
      <c r="K7" s="3022"/>
      <c r="L7" s="3022"/>
      <c r="M7" s="3022"/>
      <c r="N7" s="3022"/>
      <c r="O7" s="3022"/>
      <c r="P7" s="3022"/>
    </row>
    <row r="8" spans="1:16" ht="15.75">
      <c r="A8" s="2833"/>
      <c r="B8" s="2826" t="e">
        <f t="shared" ref="B8:B13" ca="1" si="0">SUMIF(INDIRECT("'"&amp;A8&amp;"'"&amp;"!A:A"),"总价",INDIRECT("'"&amp;A8&amp;"'"&amp;"!B:B"))</f>
        <v>#REF!</v>
      </c>
      <c r="C8" s="2361" t="s">
        <v>2813</v>
      </c>
      <c r="D8" s="3022"/>
      <c r="E8" s="2836" t="e">
        <f t="shared" ref="E8:E13" ca="1" si="1">SUMIF(INDIRECT("'"&amp;A8&amp;"'"&amp;"!C:C"),"建筑面积",INDIRECT("'"&amp;A8&amp;"'"&amp;"!D:D"))</f>
        <v>#REF!</v>
      </c>
      <c r="F8" s="3022"/>
      <c r="G8" s="3022"/>
      <c r="H8" s="3022"/>
      <c r="I8" s="3022"/>
      <c r="J8" s="3022"/>
      <c r="K8" s="3022"/>
      <c r="L8" s="3022"/>
      <c r="M8" s="3022"/>
      <c r="N8" s="3022"/>
      <c r="O8" s="3022"/>
      <c r="P8" s="3022"/>
    </row>
    <row r="9" spans="1:16" ht="15.75">
      <c r="A9" s="2833"/>
      <c r="B9" s="2826" t="e">
        <f t="shared" ca="1" si="0"/>
        <v>#REF!</v>
      </c>
      <c r="C9" s="2361" t="s">
        <v>2813</v>
      </c>
      <c r="D9" s="3022"/>
      <c r="E9" s="2836" t="e">
        <f t="shared" ca="1" si="1"/>
        <v>#REF!</v>
      </c>
      <c r="F9" s="3022"/>
      <c r="G9" s="3022"/>
      <c r="H9" s="3022"/>
      <c r="I9" s="3022"/>
      <c r="J9" s="3022"/>
      <c r="K9" s="3022"/>
      <c r="L9" s="3022"/>
      <c r="M9" s="3022"/>
      <c r="N9" s="3022"/>
      <c r="O9" s="3022"/>
      <c r="P9" s="3022"/>
    </row>
    <row r="10" spans="1:16" ht="15.75">
      <c r="A10" s="2833"/>
      <c r="B10" s="2826" t="e">
        <f t="shared" ca="1" si="0"/>
        <v>#REF!</v>
      </c>
      <c r="C10" s="2361" t="s">
        <v>2813</v>
      </c>
      <c r="D10" s="3022"/>
      <c r="E10" s="2836" t="e">
        <f t="shared" ca="1" si="1"/>
        <v>#REF!</v>
      </c>
      <c r="F10" s="3022"/>
      <c r="G10" s="3022"/>
      <c r="H10" s="3022"/>
      <c r="I10" s="3022"/>
      <c r="J10" s="3022"/>
      <c r="K10" s="3022"/>
      <c r="L10" s="3022"/>
      <c r="M10" s="3022"/>
      <c r="N10" s="3022"/>
      <c r="O10" s="3022"/>
      <c r="P10" s="3022"/>
    </row>
    <row r="11" spans="1:16" ht="15.75">
      <c r="A11" s="2833"/>
      <c r="B11" s="2826" t="e">
        <f t="shared" ca="1" si="0"/>
        <v>#REF!</v>
      </c>
      <c r="C11" s="2361" t="s">
        <v>2813</v>
      </c>
      <c r="D11" s="3022"/>
      <c r="E11" s="2836" t="e">
        <f t="shared" ca="1" si="1"/>
        <v>#REF!</v>
      </c>
      <c r="F11" s="3022"/>
      <c r="G11" s="3022"/>
      <c r="H11" s="3022"/>
      <c r="I11" s="3022"/>
      <c r="J11" s="3022"/>
      <c r="K11" s="3022"/>
      <c r="L11" s="3022"/>
      <c r="M11" s="3022"/>
      <c r="N11" s="3022"/>
      <c r="O11" s="3022"/>
      <c r="P11" s="3022"/>
    </row>
    <row r="12" spans="1:16" ht="15.75">
      <c r="A12" s="2833"/>
      <c r="B12" s="2826" t="e">
        <f t="shared" ca="1" si="0"/>
        <v>#REF!</v>
      </c>
      <c r="C12" s="2361" t="s">
        <v>2813</v>
      </c>
      <c r="D12" s="3022"/>
      <c r="E12" s="2836" t="e">
        <f t="shared" ca="1" si="1"/>
        <v>#REF!</v>
      </c>
      <c r="F12" s="3022"/>
      <c r="G12" s="3022"/>
      <c r="H12" s="3022"/>
      <c r="I12" s="3022"/>
      <c r="J12" s="3022"/>
      <c r="K12" s="3022"/>
      <c r="L12" s="3022"/>
      <c r="M12" s="3022"/>
      <c r="N12" s="3022"/>
      <c r="O12" s="3022"/>
      <c r="P12" s="3022"/>
    </row>
    <row r="13" spans="1:16" ht="15.75">
      <c r="A13" s="2833"/>
      <c r="B13" s="2826" t="e">
        <f t="shared" ca="1" si="0"/>
        <v>#REF!</v>
      </c>
      <c r="C13" s="2361" t="s">
        <v>2813</v>
      </c>
      <c r="D13" s="3022"/>
      <c r="E13" s="2836" t="e">
        <f t="shared" ca="1" si="1"/>
        <v>#REF!</v>
      </c>
      <c r="F13" s="3022"/>
      <c r="G13" s="3022"/>
      <c r="H13" s="3022"/>
      <c r="I13" s="3022"/>
      <c r="J13" s="3022"/>
      <c r="K13" s="3022"/>
      <c r="L13" s="3022"/>
      <c r="M13" s="3022"/>
      <c r="N13" s="3022"/>
      <c r="O13" s="3022"/>
      <c r="P13" s="3022"/>
    </row>
    <row r="14" spans="1:16">
      <c r="A14" s="3022"/>
      <c r="B14" s="3022"/>
      <c r="C14" s="3022"/>
      <c r="D14" s="3022"/>
      <c r="E14" s="3022"/>
      <c r="F14" s="3022"/>
      <c r="G14" s="3022"/>
      <c r="H14" s="3022"/>
      <c r="I14" s="3022"/>
      <c r="J14" s="3022"/>
      <c r="K14" s="3022"/>
      <c r="L14" s="3022"/>
      <c r="M14" s="3022"/>
      <c r="N14" s="3022"/>
      <c r="O14" s="3022"/>
      <c r="P14" s="3022"/>
    </row>
    <row r="15" spans="1:16">
      <c r="A15" s="3022"/>
      <c r="B15" s="3022"/>
      <c r="C15" s="3022"/>
      <c r="D15" s="3022"/>
      <c r="E15" s="3022"/>
      <c r="F15" s="3022"/>
      <c r="G15" s="3022"/>
      <c r="H15" s="3022"/>
      <c r="I15" s="3022"/>
      <c r="J15" s="3022"/>
      <c r="K15" s="3022"/>
      <c r="L15" s="3022"/>
      <c r="M15" s="3022"/>
      <c r="N15" s="3022"/>
      <c r="O15" s="3022"/>
      <c r="P15" s="3022"/>
    </row>
    <row r="16" spans="1:16">
      <c r="A16" s="3022"/>
      <c r="B16" s="3022"/>
      <c r="C16" s="3022"/>
      <c r="D16" s="3022"/>
      <c r="E16" s="3022"/>
      <c r="F16" s="3022"/>
      <c r="G16" s="3022"/>
      <c r="H16" s="3022"/>
      <c r="I16" s="3022"/>
      <c r="J16" s="3022"/>
      <c r="K16" s="3022"/>
      <c r="L16" s="3022"/>
      <c r="M16" s="3022"/>
      <c r="N16" s="3022"/>
      <c r="O16" s="3022"/>
      <c r="P16" s="3022"/>
    </row>
    <row r="17" spans="1:16">
      <c r="A17" s="3022"/>
      <c r="B17" s="3022"/>
      <c r="C17" s="3022"/>
      <c r="D17" s="3022"/>
      <c r="E17" s="3022"/>
      <c r="F17" s="3022"/>
      <c r="G17" s="3022"/>
      <c r="H17" s="3022"/>
      <c r="I17" s="3022"/>
      <c r="J17" s="3022"/>
      <c r="K17" s="3022"/>
      <c r="L17" s="3022"/>
      <c r="M17" s="3022"/>
      <c r="N17" s="3022"/>
      <c r="O17" s="3022"/>
      <c r="P17" s="3022"/>
    </row>
    <row r="18" spans="1:16">
      <c r="A18" s="3022"/>
      <c r="B18" s="3022"/>
      <c r="C18" s="3022"/>
      <c r="D18" s="3022"/>
      <c r="E18" s="3022"/>
      <c r="F18" s="3022"/>
      <c r="G18" s="3022"/>
      <c r="H18" s="3022"/>
      <c r="I18" s="3022"/>
      <c r="J18" s="3022"/>
      <c r="K18" s="3022"/>
      <c r="L18" s="3022"/>
      <c r="M18" s="3022"/>
      <c r="N18" s="3022"/>
      <c r="O18" s="3022"/>
      <c r="P18" s="3022"/>
    </row>
    <row r="19" spans="1:16">
      <c r="A19" s="3022"/>
      <c r="B19" s="3022"/>
      <c r="C19" s="3022"/>
      <c r="D19" s="3022"/>
      <c r="E19" s="3022"/>
      <c r="F19" s="3022"/>
      <c r="G19" s="3022"/>
      <c r="H19" s="3022"/>
      <c r="I19" s="3022"/>
      <c r="J19" s="3022"/>
      <c r="K19" s="3022"/>
      <c r="L19" s="3022"/>
      <c r="M19" s="3022"/>
      <c r="N19" s="3022"/>
      <c r="O19" s="3022"/>
      <c r="P19" s="3022"/>
    </row>
    <row r="20" spans="1:16">
      <c r="A20" s="3022"/>
      <c r="B20" s="3022"/>
      <c r="C20" s="3022"/>
      <c r="D20" s="3022"/>
      <c r="E20" s="3022"/>
      <c r="F20" s="3022"/>
      <c r="G20" s="3022"/>
      <c r="H20" s="3022"/>
      <c r="I20" s="3022"/>
      <c r="J20" s="3022"/>
      <c r="K20" s="3022"/>
      <c r="L20" s="3022"/>
      <c r="M20" s="3022"/>
      <c r="N20" s="3022"/>
      <c r="O20" s="3022"/>
      <c r="P20" s="3022"/>
    </row>
    <row r="21" spans="1:16">
      <c r="A21" s="3022"/>
      <c r="B21" s="3022"/>
      <c r="C21" s="3022"/>
      <c r="D21" s="3022"/>
      <c r="E21" s="3022"/>
      <c r="F21" s="3022"/>
      <c r="G21" s="3022"/>
      <c r="H21" s="3022"/>
      <c r="I21" s="3022"/>
      <c r="J21" s="3022"/>
      <c r="K21" s="3022"/>
      <c r="L21" s="3022"/>
      <c r="M21" s="3022"/>
      <c r="N21" s="3022"/>
      <c r="O21" s="3022"/>
      <c r="P21" s="3022"/>
    </row>
  </sheetData>
  <sheetProtection formatCells="0" formatColumns="0" formatRows="0"/>
  <phoneticPr fontId="141" type="noConversion"/>
  <dataValidations count="1">
    <dataValidation type="list" allowBlank="1" showInputMessage="1" showErrorMessage="1" sqref="A6:A13" xr:uid="{00000000-0002-0000-1E00-000000000000}">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K118"/>
  <sheetViews>
    <sheetView view="pageBreakPreview" topLeftCell="A16" zoomScale="90" zoomScaleNormal="80" zoomScaleSheetLayoutView="90" workbookViewId="0">
      <selection activeCell="L47" sqref="L47"/>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2623</v>
      </c>
      <c r="B1" s="203"/>
      <c r="C1" s="207" t="s">
        <v>2624</v>
      </c>
      <c r="D1" s="348">
        <f>SUM(D29:D30,D33:D39)</f>
        <v>35063.26</v>
      </c>
      <c r="E1" s="2181"/>
      <c r="F1" s="2181"/>
      <c r="G1" s="2181"/>
      <c r="H1" s="2181"/>
      <c r="I1" s="2181"/>
      <c r="J1" s="2181"/>
      <c r="K1" s="1280"/>
      <c r="L1" s="2182" t="s">
        <v>2625</v>
      </c>
      <c r="M1" s="994">
        <f>SUMPRODUCT((区片价!B5:B9=I2)*(区片价!C3:F3=E2)*(区片价!C5:F9))</f>
        <v>28410</v>
      </c>
      <c r="N1" s="997">
        <f>SUMPRODUCT((因素修正幅度!B5:B9=I2)*(因素修正幅度!C3:F3=E2)*(因素修正幅度!C5:F9))</f>
        <v>9.6000000000000002E-2</v>
      </c>
      <c r="O1" s="2183"/>
      <c r="P1" s="2183"/>
      <c r="Q1" s="1280"/>
      <c r="R1" s="1374" t="s">
        <v>2626</v>
      </c>
      <c r="S1" s="1374" t="s">
        <v>2627</v>
      </c>
      <c r="T1" s="1374" t="s">
        <v>2628</v>
      </c>
      <c r="U1" s="1374" t="s">
        <v>2629</v>
      </c>
      <c r="V1" s="1374" t="s">
        <v>2630</v>
      </c>
      <c r="W1" s="1378"/>
      <c r="X1" s="1378"/>
      <c r="Y1" s="1378"/>
      <c r="Z1" s="1378"/>
      <c r="AA1" s="1378"/>
      <c r="AB1" s="1378"/>
      <c r="AC1" s="1379"/>
      <c r="AD1" s="1380"/>
      <c r="AE1" s="1380"/>
      <c r="AF1" s="1380"/>
      <c r="AG1" s="1380"/>
      <c r="AH1" s="1380"/>
      <c r="AI1" s="1380"/>
      <c r="AJ1" s="1381"/>
    </row>
    <row r="2" spans="1:36" ht="15.75">
      <c r="A2" s="207" t="s">
        <v>2631</v>
      </c>
      <c r="B2" s="210">
        <f>C26</f>
        <v>73017</v>
      </c>
      <c r="C2" s="2185" t="s">
        <v>2632</v>
      </c>
      <c r="D2" s="2186" t="s">
        <v>2633</v>
      </c>
      <c r="E2" s="2187" t="s">
        <v>27</v>
      </c>
      <c r="F2" s="2186" t="s">
        <v>2634</v>
      </c>
      <c r="G2" s="2188" t="str">
        <f>IF(E2="商业",项目基本情况!B37,IF(E2="办公",项目基本情况!C37,IF(E2="住宅",项目基本情况!D37,项目基本情况!E37)))</f>
        <v>一级</v>
      </c>
      <c r="H2" s="2186" t="s">
        <v>2635</v>
      </c>
      <c r="I2" s="2188" t="str">
        <f>IF(E2="商业",项目基本情况!B38,IF(E2="办公",项目基本情况!C38,IF(E2="住宅",项目基本情况!D38,项目基本情况!E38)))</f>
        <v>Ⅰ—03</v>
      </c>
      <c r="J2" s="2189"/>
      <c r="K2" s="1280"/>
      <c r="L2" s="2190" t="s">
        <v>2636</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1.9361999999999999</v>
      </c>
      <c r="T2" s="1374">
        <f>ROUND($C$5*$C$18*$C$19*$C$20*S2*$C$24,0)</f>
        <v>63839</v>
      </c>
      <c r="U2" s="1375"/>
      <c r="V2" s="1374">
        <f>ROUND(T2*U2/10000,0)</f>
        <v>0</v>
      </c>
      <c r="W2" s="1378"/>
      <c r="X2" s="1378"/>
      <c r="Y2" s="1378"/>
      <c r="Z2" s="1378"/>
      <c r="AA2" s="1378"/>
      <c r="AB2" s="1378"/>
      <c r="AC2" s="1379"/>
      <c r="AD2" s="1380"/>
      <c r="AE2" s="1380"/>
      <c r="AF2" s="1380"/>
      <c r="AG2" s="1380"/>
      <c r="AH2" s="1380"/>
      <c r="AI2" s="1380"/>
      <c r="AJ2" s="1381"/>
    </row>
    <row r="3" spans="1:36" ht="25.5">
      <c r="A3" s="209" t="s">
        <v>2637</v>
      </c>
      <c r="B3" s="210">
        <f>ROUND(B2*10000/D1,0)</f>
        <v>20824</v>
      </c>
      <c r="C3" s="2185" t="s">
        <v>2638</v>
      </c>
      <c r="D3" s="2186" t="s">
        <v>2639</v>
      </c>
      <c r="E3" s="2191" t="s">
        <v>3090</v>
      </c>
      <c r="F3" s="2192" t="s">
        <v>3091</v>
      </c>
      <c r="G3" s="855">
        <f>IF(F3="宗地容积率",'数据-汇总表'!I4,IF(F3="估价对象容积率",'数据-汇总表'!I6,'数据-汇总表'!I7))</f>
        <v>5.45</v>
      </c>
      <c r="H3" s="175" t="s">
        <v>2641</v>
      </c>
      <c r="I3" s="881"/>
      <c r="J3" s="2189" t="s">
        <v>2642</v>
      </c>
      <c r="K3" s="1280"/>
      <c r="L3" s="2190" t="s">
        <v>2643</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1.4198</v>
      </c>
      <c r="T3" s="1374">
        <f t="shared" ref="T3:T16" si="0">ROUND($C$5*$C$18*$C$19*$C$20*S3*$C$24,0)</f>
        <v>46812</v>
      </c>
      <c r="U3" s="1375"/>
      <c r="V3" s="1374">
        <f t="shared" ref="V3:V16" si="1">ROUND(T3*U3/10000,0)</f>
        <v>0</v>
      </c>
      <c r="W3" s="1378"/>
      <c r="X3" s="1378"/>
      <c r="Y3" s="1378"/>
      <c r="Z3" s="1378"/>
      <c r="AA3" s="1378"/>
      <c r="AB3" s="1378"/>
      <c r="AC3" s="1379"/>
      <c r="AD3" s="1380"/>
      <c r="AE3" s="1380"/>
      <c r="AF3" s="1380"/>
      <c r="AG3" s="1380"/>
      <c r="AH3" s="1380"/>
      <c r="AI3" s="1380"/>
      <c r="AJ3" s="1381"/>
    </row>
    <row r="4" spans="1:36" ht="15.75">
      <c r="A4" s="3838"/>
      <c r="B4" s="3839"/>
      <c r="C4" s="3839"/>
      <c r="D4" s="3840"/>
      <c r="E4" s="3840"/>
      <c r="F4" s="3840"/>
      <c r="G4" s="3840"/>
      <c r="H4" s="3840"/>
      <c r="I4" s="3840"/>
      <c r="J4" s="3841"/>
      <c r="K4" s="1280"/>
      <c r="L4" s="2190" t="s">
        <v>2644</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1.1594</v>
      </c>
      <c r="T4" s="1374">
        <f t="shared" si="0"/>
        <v>38227</v>
      </c>
      <c r="U4" s="1375"/>
      <c r="V4" s="1374">
        <f t="shared" si="1"/>
        <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2645</v>
      </c>
      <c r="C5" s="856">
        <f>ROUND(IF(E2="商业",C6*C7+C16,(IF(E2="住宅",C6*C12+C16,C6+C16))),0)</f>
        <v>28410</v>
      </c>
      <c r="D5" s="1523">
        <f>ROUND(C6+C16,0)</f>
        <v>28410</v>
      </c>
      <c r="E5" s="1523"/>
      <c r="F5" s="2195"/>
      <c r="G5" s="2196"/>
      <c r="H5" s="2196"/>
      <c r="I5" s="2196"/>
      <c r="J5" s="2197"/>
      <c r="K5" s="2198"/>
      <c r="L5" s="2190" t="s">
        <v>2646</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0.96220000000000006</v>
      </c>
      <c r="T5" s="1374">
        <f t="shared" si="0"/>
        <v>31725</v>
      </c>
      <c r="U5" s="1375"/>
      <c r="V5" s="1374">
        <f t="shared" si="1"/>
        <v>0</v>
      </c>
      <c r="W5" s="1378"/>
      <c r="X5" s="1378"/>
      <c r="Y5" s="1378"/>
      <c r="Z5" s="1378"/>
      <c r="AA5" s="1378"/>
      <c r="AB5" s="1378"/>
      <c r="AC5" s="2199"/>
      <c r="AD5" s="2200"/>
      <c r="AE5" s="2200"/>
      <c r="AF5" s="2200"/>
      <c r="AG5" s="2200"/>
      <c r="AH5" s="2200"/>
      <c r="AI5" s="2200"/>
      <c r="AJ5" s="2201"/>
    </row>
    <row r="6" spans="1:36" ht="15.75" thickBot="1">
      <c r="A6" s="2203" t="s">
        <v>2647</v>
      </c>
      <c r="B6" s="2204" t="s">
        <v>2648</v>
      </c>
      <c r="C6" s="857">
        <f>SUMIF(L1:L12,G2,M1:M12)</f>
        <v>28410</v>
      </c>
      <c r="D6" s="2205" t="s">
        <v>2649</v>
      </c>
      <c r="E6" s="2206"/>
      <c r="F6" s="2206"/>
      <c r="G6" s="2207"/>
      <c r="H6" s="2207"/>
      <c r="I6" s="2207"/>
      <c r="J6" s="2208"/>
      <c r="K6" s="1568"/>
      <c r="L6" s="2190" t="s">
        <v>2650</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0.8417</v>
      </c>
      <c r="T6" s="1374">
        <f t="shared" si="0"/>
        <v>27752</v>
      </c>
      <c r="U6" s="1375"/>
      <c r="V6" s="1374">
        <f t="shared" si="1"/>
        <v>0</v>
      </c>
      <c r="W6" s="1378"/>
      <c r="X6" s="1378"/>
      <c r="Y6" s="1378"/>
      <c r="Z6" s="1378"/>
      <c r="AA6" s="1378"/>
      <c r="AB6" s="1378"/>
      <c r="AC6" s="2199"/>
      <c r="AD6" s="2200"/>
      <c r="AE6" s="2200"/>
      <c r="AF6" s="2200"/>
      <c r="AG6" s="2200"/>
      <c r="AH6" s="2200"/>
      <c r="AI6" s="2200"/>
      <c r="AJ6" s="2201"/>
    </row>
    <row r="7" spans="1:36" ht="24">
      <c r="A7" s="3819" t="str">
        <f>IF(E2="商业",IF(C8="不临58条商业街","",2),"")</f>
        <v/>
      </c>
      <c r="B7" s="2209" t="s">
        <v>2651</v>
      </c>
      <c r="C7" s="858" t="e">
        <f>IF(C8="不临58条商业街",1,ROUND(1+(1.6*E8+1.2*E9+0.8*E10+0.4*E11)*C9,4))</f>
        <v>#DIV/0!</v>
      </c>
      <c r="D7" s="2210" t="s">
        <v>2652</v>
      </c>
      <c r="E7" s="882"/>
      <c r="F7" s="2211"/>
      <c r="G7" s="2212"/>
      <c r="H7" s="2212"/>
      <c r="I7" s="2212"/>
      <c r="J7" s="2213"/>
      <c r="K7" s="1568"/>
      <c r="L7" s="2190" t="s">
        <v>2653</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0.76080000000000003</v>
      </c>
      <c r="T7" s="1374">
        <f t="shared" si="0"/>
        <v>25084</v>
      </c>
      <c r="U7" s="1375"/>
      <c r="V7" s="1374">
        <f t="shared" si="1"/>
        <v>0</v>
      </c>
      <c r="W7" s="1542" t="s">
        <v>2654</v>
      </c>
      <c r="X7" s="1376" t="str">
        <f>G2</f>
        <v>一级</v>
      </c>
      <c r="Y7" s="1376" t="s">
        <v>2655</v>
      </c>
      <c r="Z7" s="1377">
        <f>G3</f>
        <v>5.45</v>
      </c>
      <c r="AA7" s="1378"/>
      <c r="AB7" s="1378"/>
      <c r="AC7" s="1379"/>
      <c r="AD7" s="1380"/>
      <c r="AE7" s="1380"/>
      <c r="AF7" s="1380"/>
      <c r="AG7" s="1380"/>
      <c r="AH7" s="1380"/>
      <c r="AI7" s="1380"/>
      <c r="AJ7" s="1381"/>
    </row>
    <row r="8" spans="1:36" ht="15">
      <c r="A8" s="3842"/>
      <c r="B8" s="175" t="s">
        <v>2656</v>
      </c>
      <c r="C8" s="2214"/>
      <c r="D8" s="859" t="s">
        <v>139</v>
      </c>
      <c r="E8" s="860" t="e">
        <f>ROUND(C11/E7,4)</f>
        <v>#DIV/0!</v>
      </c>
      <c r="F8" s="2215" t="s">
        <v>2657</v>
      </c>
      <c r="G8" s="2216"/>
      <c r="H8" s="2216"/>
      <c r="I8" s="2216"/>
      <c r="J8" s="2217"/>
      <c r="K8" s="1280"/>
      <c r="L8" s="2190" t="s">
        <v>2658</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si="0"/>
        <v>0</v>
      </c>
      <c r="U8" s="1375"/>
      <c r="V8" s="1374">
        <f t="shared" si="1"/>
        <v>0</v>
      </c>
      <c r="W8" s="3835" t="s">
        <v>2659</v>
      </c>
      <c r="X8" s="3836"/>
      <c r="Y8" s="1382" t="s">
        <v>2660</v>
      </c>
      <c r="Z8" s="1382" t="s">
        <v>2661</v>
      </c>
      <c r="AA8" s="1382" t="s">
        <v>2662</v>
      </c>
      <c r="AB8" s="1382" t="s">
        <v>2663</v>
      </c>
      <c r="AC8" s="1382" t="s">
        <v>2664</v>
      </c>
      <c r="AD8" s="1382" t="s">
        <v>2665</v>
      </c>
      <c r="AE8" s="1382" t="s">
        <v>2666</v>
      </c>
      <c r="AF8" s="1382" t="s">
        <v>2667</v>
      </c>
      <c r="AG8" s="1382" t="s">
        <v>2668</v>
      </c>
      <c r="AH8" s="1382" t="s">
        <v>2669</v>
      </c>
      <c r="AI8" s="1382" t="s">
        <v>2670</v>
      </c>
      <c r="AJ8" s="1382" t="s">
        <v>2671</v>
      </c>
    </row>
    <row r="9" spans="1:36" ht="15">
      <c r="A9" s="3842"/>
      <c r="B9" s="175" t="s">
        <v>2672</v>
      </c>
      <c r="C9" s="861">
        <f>SUMIF(修正!C59:C119,C8,修正!E59:E119)</f>
        <v>0</v>
      </c>
      <c r="D9" s="176" t="s">
        <v>140</v>
      </c>
      <c r="E9" s="176" t="e">
        <f>ROUND(C11/E7,4)</f>
        <v>#DIV/0!</v>
      </c>
      <c r="F9" s="2215" t="s">
        <v>2673</v>
      </c>
      <c r="G9" s="2216"/>
      <c r="H9" s="2216"/>
      <c r="I9" s="2216"/>
      <c r="J9" s="2217"/>
      <c r="K9" s="1280"/>
      <c r="L9" s="2190" t="s">
        <v>2674</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si="0"/>
        <v>0</v>
      </c>
      <c r="U9" s="1375"/>
      <c r="V9" s="1374">
        <f t="shared" si="1"/>
        <v>0</v>
      </c>
      <c r="W9" s="3837" t="s">
        <v>2675</v>
      </c>
      <c r="X9" s="1383" t="s">
        <v>2676</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842"/>
      <c r="B10" s="175" t="s">
        <v>2677</v>
      </c>
      <c r="C10" s="176">
        <f>SUMIF(修正!C59:C119,C8,修正!F59:F119)</f>
        <v>0</v>
      </c>
      <c r="D10" s="176" t="s">
        <v>141</v>
      </c>
      <c r="E10" s="176" t="e">
        <f>ROUND(C11/E7,4)</f>
        <v>#DIV/0!</v>
      </c>
      <c r="F10" s="2215" t="s">
        <v>2678</v>
      </c>
      <c r="G10" s="2216"/>
      <c r="H10" s="2216"/>
      <c r="I10" s="2216"/>
      <c r="J10" s="2217"/>
      <c r="K10" s="1280"/>
      <c r="L10" s="2190" t="s">
        <v>2679</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si="0"/>
        <v>0</v>
      </c>
      <c r="U10" s="1375"/>
      <c r="V10" s="1374">
        <f t="shared" si="1"/>
        <v>0</v>
      </c>
      <c r="W10" s="3837"/>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842"/>
      <c r="B11" s="2218" t="s">
        <v>2680</v>
      </c>
      <c r="C11" s="862">
        <f>C10/4</f>
        <v>0</v>
      </c>
      <c r="D11" s="862" t="s">
        <v>142</v>
      </c>
      <c r="E11" s="862" t="e">
        <f>ROUND(C11/E7,4)</f>
        <v>#DIV/0!</v>
      </c>
      <c r="F11" s="2219" t="s">
        <v>2681</v>
      </c>
      <c r="G11" s="2220"/>
      <c r="H11" s="2220"/>
      <c r="I11" s="2220"/>
      <c r="J11" s="2221"/>
      <c r="K11" s="1280"/>
      <c r="L11" s="2190" t="s">
        <v>2682</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si="0"/>
        <v>0</v>
      </c>
      <c r="U11" s="1375"/>
      <c r="V11" s="1374">
        <f t="shared" si="1"/>
        <v>0</v>
      </c>
      <c r="W11" s="3837" t="s">
        <v>2683</v>
      </c>
      <c r="X11" s="1386" t="s">
        <v>2684</v>
      </c>
      <c r="Y11" s="1387">
        <f>$G$3</f>
        <v>5.45</v>
      </c>
      <c r="Z11" s="1387">
        <f t="shared" ref="Z11:AJ11" si="3">$G$3</f>
        <v>5.45</v>
      </c>
      <c r="AA11" s="1387">
        <f t="shared" si="3"/>
        <v>5.45</v>
      </c>
      <c r="AB11" s="1387">
        <f t="shared" si="3"/>
        <v>5.45</v>
      </c>
      <c r="AC11" s="1387">
        <f t="shared" si="3"/>
        <v>5.45</v>
      </c>
      <c r="AD11" s="1387">
        <f t="shared" si="3"/>
        <v>5.45</v>
      </c>
      <c r="AE11" s="1387">
        <f t="shared" si="3"/>
        <v>5.45</v>
      </c>
      <c r="AF11" s="1387">
        <f t="shared" si="3"/>
        <v>5.45</v>
      </c>
      <c r="AG11" s="1387">
        <f t="shared" si="3"/>
        <v>5.45</v>
      </c>
      <c r="AH11" s="1387">
        <f t="shared" si="3"/>
        <v>5.45</v>
      </c>
      <c r="AI11" s="1387">
        <f t="shared" si="3"/>
        <v>5.45</v>
      </c>
      <c r="AJ11" s="1387">
        <f t="shared" si="3"/>
        <v>5.45</v>
      </c>
    </row>
    <row r="12" spans="1:36" ht="25.5" thickBot="1">
      <c r="A12" s="3819" t="s">
        <v>2685</v>
      </c>
      <c r="B12" s="2222" t="s">
        <v>2686</v>
      </c>
      <c r="C12" s="858">
        <f>ROUND(C15*D15*E15*F15*G15*H15*I15*J15,4)</f>
        <v>1</v>
      </c>
      <c r="D12" s="2223" t="s">
        <v>2687</v>
      </c>
      <c r="E12" s="2224"/>
      <c r="F12" s="2224"/>
      <c r="G12" s="2225"/>
      <c r="H12" s="2225"/>
      <c r="I12" s="2225"/>
      <c r="J12" s="2226"/>
      <c r="K12" s="1280"/>
      <c r="L12" s="2227" t="s">
        <v>2688</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si="0"/>
        <v>0</v>
      </c>
      <c r="U12" s="1375"/>
      <c r="V12" s="1374">
        <f t="shared" si="1"/>
        <v>0</v>
      </c>
      <c r="W12" s="3837"/>
      <c r="X12" s="1388" t="s">
        <v>2689</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843"/>
      <c r="B13" s="2228" t="s">
        <v>2690</v>
      </c>
      <c r="C13" s="2229" t="s">
        <v>2691</v>
      </c>
      <c r="D13" s="1534" t="s">
        <v>2692</v>
      </c>
      <c r="E13" s="1534" t="s">
        <v>2693</v>
      </c>
      <c r="F13" s="30" t="s">
        <v>2694</v>
      </c>
      <c r="G13" s="2230" t="s">
        <v>2695</v>
      </c>
      <c r="H13" s="2230" t="s">
        <v>2695</v>
      </c>
      <c r="I13" s="2230" t="s">
        <v>2695</v>
      </c>
      <c r="J13" s="2231" t="s">
        <v>2695</v>
      </c>
      <c r="K13" s="1280"/>
      <c r="L13" s="1280"/>
      <c r="M13" s="1280"/>
      <c r="N13" s="1280"/>
      <c r="O13" s="1280"/>
      <c r="P13" s="1280"/>
      <c r="Q13" s="1280"/>
      <c r="R13" s="1374">
        <v>12</v>
      </c>
      <c r="S13" s="1375"/>
      <c r="T13" s="1374">
        <f t="shared" si="0"/>
        <v>0</v>
      </c>
      <c r="U13" s="1375"/>
      <c r="V13" s="1374">
        <f t="shared" si="1"/>
        <v>0</v>
      </c>
      <c r="W13" s="3837"/>
      <c r="X13" s="1388"/>
      <c r="Y13" s="1385">
        <f>(-0.163*(Y12^2)-0.59*Y12+7617)*(10^(-4))/Y11</f>
        <v>0.13976146788990826</v>
      </c>
      <c r="Z13" s="1385">
        <f t="shared" ref="Z13:AJ13" si="5">(-0.163*(Z12^2)-0.59*Z12+7617)*(10^(-4))/Z11</f>
        <v>0.13976146788990826</v>
      </c>
      <c r="AA13" s="1385">
        <f t="shared" si="5"/>
        <v>0.13976146788990826</v>
      </c>
      <c r="AB13" s="1385">
        <f t="shared" si="5"/>
        <v>0.13976146788990826</v>
      </c>
      <c r="AC13" s="1385">
        <f t="shared" si="5"/>
        <v>0.13976146788990826</v>
      </c>
      <c r="AD13" s="1385">
        <f t="shared" si="5"/>
        <v>0.13976146788990826</v>
      </c>
      <c r="AE13" s="1385">
        <f t="shared" si="5"/>
        <v>0.13976146788990826</v>
      </c>
      <c r="AF13" s="1385">
        <f t="shared" si="5"/>
        <v>0.13976146788990826</v>
      </c>
      <c r="AG13" s="1385">
        <f t="shared" si="5"/>
        <v>0.13976146788990826</v>
      </c>
      <c r="AH13" s="1385">
        <f t="shared" si="5"/>
        <v>0.13976146788990826</v>
      </c>
      <c r="AI13" s="1385">
        <f t="shared" si="5"/>
        <v>0.13976146788990826</v>
      </c>
      <c r="AJ13" s="1385">
        <f t="shared" si="5"/>
        <v>0.13976146788990826</v>
      </c>
    </row>
    <row r="14" spans="1:36" ht="15">
      <c r="A14" s="3843"/>
      <c r="B14" s="2232"/>
      <c r="C14" s="2233"/>
      <c r="D14" s="2234"/>
      <c r="E14" s="2234"/>
      <c r="F14" s="2235"/>
      <c r="G14" s="2236" t="s">
        <v>2696</v>
      </c>
      <c r="H14" s="2237"/>
      <c r="I14" s="2238"/>
      <c r="J14" s="2239"/>
      <c r="K14" s="1280"/>
      <c r="L14" s="1280"/>
      <c r="M14" s="1280"/>
      <c r="N14" s="1280"/>
      <c r="O14" s="1280"/>
      <c r="P14" s="1280"/>
      <c r="Q14" s="1280"/>
      <c r="R14" s="1374">
        <v>13</v>
      </c>
      <c r="S14" s="1375"/>
      <c r="T14" s="1374">
        <f t="shared" si="0"/>
        <v>0</v>
      </c>
      <c r="U14" s="1375"/>
      <c r="V14" s="1374">
        <f t="shared" si="1"/>
        <v>0</v>
      </c>
      <c r="W14" s="1378"/>
      <c r="X14" s="1378"/>
      <c r="Y14" s="1378"/>
      <c r="Z14" s="1378"/>
      <c r="AA14" s="1378"/>
      <c r="AB14" s="1378"/>
      <c r="AC14" s="1379"/>
      <c r="AD14" s="3018"/>
      <c r="AE14" s="3018"/>
      <c r="AF14" s="3018"/>
      <c r="AG14" s="3018"/>
      <c r="AH14" s="3018"/>
      <c r="AI14" s="3018"/>
      <c r="AJ14" s="3019"/>
    </row>
    <row r="15" spans="1:36" ht="15.75" thickBot="1">
      <c r="A15" s="3844"/>
      <c r="B15" s="2240" t="s">
        <v>2697</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f t="shared" si="0"/>
        <v>0</v>
      </c>
      <c r="U15" s="1375"/>
      <c r="V15" s="1374">
        <f t="shared" si="1"/>
        <v>0</v>
      </c>
      <c r="W15" s="1378"/>
      <c r="X15" s="1378"/>
      <c r="Y15" s="1378"/>
      <c r="Z15" s="1378"/>
      <c r="AA15" s="1378"/>
      <c r="AB15" s="1378"/>
      <c r="AC15" s="1379"/>
      <c r="AD15" s="3018"/>
      <c r="AE15" s="3018"/>
      <c r="AF15" s="3018"/>
      <c r="AG15" s="3018"/>
      <c r="AH15" s="3018"/>
      <c r="AI15" s="3018"/>
      <c r="AJ15" s="3019"/>
    </row>
    <row r="16" spans="1:36" ht="24.6" customHeight="1">
      <c r="A16" s="3819" t="s">
        <v>2702</v>
      </c>
      <c r="B16" s="2209" t="s">
        <v>2703</v>
      </c>
      <c r="C16" s="2371">
        <f>ROUND(IF(F17="与级别开发程度一致",0,(G17-E17)/C17),0)</f>
        <v>0</v>
      </c>
      <c r="D16" s="3832" t="s">
        <v>2707</v>
      </c>
      <c r="E16" s="3833"/>
      <c r="F16" s="3832" t="s">
        <v>2704</v>
      </c>
      <c r="G16" s="3833"/>
      <c r="H16" s="2241"/>
      <c r="I16" s="2241"/>
      <c r="J16" s="2375"/>
      <c r="K16" s="2241"/>
      <c r="L16" s="2241"/>
      <c r="M16" s="2241"/>
      <c r="N16" s="2241"/>
      <c r="O16" s="2242"/>
      <c r="P16" s="2183"/>
      <c r="Q16" s="1280"/>
      <c r="R16" s="1374">
        <v>15</v>
      </c>
      <c r="S16" s="1375"/>
      <c r="T16" s="1374">
        <f t="shared" si="0"/>
        <v>0</v>
      </c>
      <c r="U16" s="1375"/>
      <c r="V16" s="1374">
        <f t="shared" si="1"/>
        <v>0</v>
      </c>
      <c r="W16" s="1378"/>
      <c r="X16" s="1378"/>
      <c r="Y16" s="1378"/>
      <c r="Z16" s="1378"/>
      <c r="AA16" s="1378"/>
      <c r="AB16" s="1378"/>
      <c r="AC16" s="1379"/>
      <c r="AD16" s="3018"/>
      <c r="AE16" s="3018"/>
      <c r="AF16" s="3018"/>
      <c r="AG16" s="3018"/>
      <c r="AH16" s="3018"/>
      <c r="AI16" s="3018"/>
      <c r="AJ16" s="3019"/>
    </row>
    <row r="17" spans="1:37" ht="26.25" thickBot="1">
      <c r="A17" s="3820"/>
      <c r="B17" s="2382" t="s">
        <v>2706</v>
      </c>
      <c r="C17" s="2383">
        <f>SUMPRODUCT((修正!A2:A5=E2)*(修正!B1:M1=G2)*(修正!B2:M5))</f>
        <v>3.5</v>
      </c>
      <c r="D17" s="193" t="str">
        <f>IF(OR(G2="八级",G2="九级",G2="十级",G2="十一级",G2="十二级"),"五通一平","七通一平")</f>
        <v>七通一平</v>
      </c>
      <c r="E17" s="2372">
        <f>SUMPRODUCT((修正!B1:M1=G2)*(修正!B15:M15))</f>
        <v>375</v>
      </c>
      <c r="F17" s="2373" t="s">
        <v>3092</v>
      </c>
      <c r="G17" s="2374">
        <f>SUM(H17:O17)</f>
        <v>0</v>
      </c>
      <c r="H17" s="2383">
        <f>SUMPRODUCT((七通一平=H16)*(修正!B1:M1=G2)*(修正!B6:M14))</f>
        <v>0</v>
      </c>
      <c r="I17" s="2383">
        <f>SUMPRODUCT((七通一平=I16)*(修正!B1:M1=G2)*(修正!B6:M14))</f>
        <v>0</v>
      </c>
      <c r="J17" s="2384">
        <f>SUMPRODUCT((七通一平=J16)*(修正!B1:M1=G2)*(修正!B6:M14))</f>
        <v>0</v>
      </c>
      <c r="K17" s="2383">
        <f>SUMPRODUCT((七通一平=K16)*(修正!B1:M1=G2)*(修正!B6:M14))</f>
        <v>0</v>
      </c>
      <c r="L17" s="2383">
        <f>SUMPRODUCT((七通一平=L16)*(修正!B1:M1=G2)*(修正!B6:M14))</f>
        <v>0</v>
      </c>
      <c r="M17" s="2383">
        <f>SUMPRODUCT((七通一平=M16)*(修正!B1:M1=G2)*(修正!B6:M14))</f>
        <v>0</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2709</v>
      </c>
      <c r="C18" s="2378">
        <f>SUMIF(修正!C18:C39,E3,修正!E18:E39)</f>
        <v>1</v>
      </c>
      <c r="D18" s="2379"/>
      <c r="E18" s="2380"/>
      <c r="F18" s="2380"/>
      <c r="G18" s="2380"/>
      <c r="H18" s="2380"/>
      <c r="I18" s="2380"/>
      <c r="J18" s="2381"/>
      <c r="K18" s="1287"/>
      <c r="L18" s="3017"/>
      <c r="M18" s="3017"/>
      <c r="N18" s="3017"/>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7"/>
    </row>
    <row r="19" spans="1:37" s="2202" customFormat="1" ht="29.25" thickBot="1">
      <c r="A19" s="2246" t="s">
        <v>809</v>
      </c>
      <c r="B19" s="2247" t="s">
        <v>2710</v>
      </c>
      <c r="C19" s="863">
        <f>ROUND(IF(H19="按公示增长率计算",SUMPRODUCT((地价!A3:A35=YEAR(G19)&amp;"-"&amp;ROUNDUP(MONTH(G19)/3,0))*(地价!X2:AB2=E2)*(地价!X3:AB35)),IF(H19="地价指数",M20/M19,(1+I19)^O19)),4)</f>
        <v>1.2205999999999999</v>
      </c>
      <c r="D19" s="2251" t="s">
        <v>2711</v>
      </c>
      <c r="E19" s="864">
        <v>41640</v>
      </c>
      <c r="F19" s="2251" t="s">
        <v>2712</v>
      </c>
      <c r="G19" s="865">
        <f>'数据-取费表'!B2</f>
        <v>42914</v>
      </c>
      <c r="H19" s="2252" t="s">
        <v>3093</v>
      </c>
      <c r="I19" s="866" t="str">
        <f>IF(H19="季度增幅（自定义）",SUMIF(N21:N24,E2,O21:O24),"")</f>
        <v/>
      </c>
      <c r="J19" s="2249"/>
      <c r="K19" s="1287"/>
      <c r="L19" s="2253" t="s">
        <v>2713</v>
      </c>
      <c r="M19" s="1496">
        <f>ROUND(SUMIF(地价!B2:F2,E2,地价!B35:F35),0)</f>
        <v>258</v>
      </c>
      <c r="N19" s="2254" t="s">
        <v>2714</v>
      </c>
      <c r="O19" s="867">
        <f>ROUNDDOWN(DATEDIF(E19,G19,"M")/3,0)</f>
        <v>13</v>
      </c>
      <c r="P19" s="1284"/>
      <c r="Q19" s="1286"/>
      <c r="R19" s="1286"/>
      <c r="S19" s="1286"/>
      <c r="T19" s="1281"/>
      <c r="U19" s="1281"/>
      <c r="V19" s="1281"/>
      <c r="W19" s="1280"/>
      <c r="X19" s="1280"/>
      <c r="Y19" s="1280"/>
      <c r="Z19" s="1287"/>
      <c r="AA19" s="1287"/>
      <c r="AB19" s="1287"/>
      <c r="AC19" s="1287"/>
      <c r="AD19" s="1287"/>
      <c r="AE19" s="1287"/>
      <c r="AF19" s="1286"/>
      <c r="AG19" s="3020"/>
      <c r="AH19" s="2340"/>
      <c r="AI19" s="3021"/>
      <c r="AJ19" s="3021"/>
      <c r="AK19" s="2255"/>
    </row>
    <row r="20" spans="1:37" s="2202" customFormat="1" ht="27.75" thickBot="1">
      <c r="A20" s="2256" t="s">
        <v>810</v>
      </c>
      <c r="B20" s="2257" t="s">
        <v>2715</v>
      </c>
      <c r="C20" s="868">
        <f>ROUND(POWER(1+G20,J20-I20)*(POWER(1+G20,I20)-1)/(POWER(1+G20,J20)-1),4)</f>
        <v>0.90259999999999996</v>
      </c>
      <c r="D20" s="2258" t="s">
        <v>2716</v>
      </c>
      <c r="E20" s="1505">
        <f>存贷款利率!E18/100</f>
        <v>4.3499999999999997E-2</v>
      </c>
      <c r="F20" s="2258" t="s">
        <v>2708</v>
      </c>
      <c r="G20" s="873">
        <f>SUMIF(M26:P26,E2,M28:P28)</f>
        <v>5.1999999999999998E-2</v>
      </c>
      <c r="H20" s="2258" t="s">
        <v>2717</v>
      </c>
      <c r="I20" s="874">
        <f>SUMIF('数据-取费表'!C6:C15,E2,'数据-取费表'!F6:F15)/COUNTIF('数据-取费表'!C6:C15,E2)</f>
        <v>35.07</v>
      </c>
      <c r="J20" s="875">
        <f>IF(E2="住宅",70,IF(E2="商业",40,50))</f>
        <v>50</v>
      </c>
      <c r="K20" s="1287"/>
      <c r="L20" s="2259" t="s">
        <v>2718</v>
      </c>
      <c r="M20" s="1497">
        <f>ROUND(SUMPRODUCT((地价!A4:A35=YEAR(G19)&amp;"-"&amp;ROUNDUP(MONTH(G19)/3,0))*(地价!B2:F2=E2)*(地价!B4:F35)),0)</f>
        <v>314</v>
      </c>
      <c r="N20" s="2260" t="s">
        <v>2719</v>
      </c>
      <c r="O20" s="2261" t="s">
        <v>2720</v>
      </c>
      <c r="P20" s="2262" t="s">
        <v>2721</v>
      </c>
      <c r="Q20" s="3017"/>
      <c r="R20" s="1286"/>
      <c r="S20" s="1286"/>
      <c r="T20" s="1281"/>
      <c r="U20" s="1281"/>
      <c r="V20" s="1281"/>
      <c r="W20" s="1280"/>
      <c r="X20" s="1280"/>
      <c r="Y20" s="1280"/>
      <c r="Z20" s="1287"/>
      <c r="AA20" s="1287"/>
      <c r="AB20" s="1287"/>
      <c r="AC20" s="1287"/>
      <c r="AD20" s="1287"/>
      <c r="AE20" s="1287"/>
      <c r="AF20" s="1287"/>
      <c r="AG20" s="3017"/>
      <c r="AH20" s="3017"/>
      <c r="AI20" s="3017"/>
      <c r="AJ20" s="3017"/>
    </row>
    <row r="21" spans="1:37" s="2202" customFormat="1" ht="15">
      <c r="A21" s="2263" t="s">
        <v>811</v>
      </c>
      <c r="B21" s="2264" t="s">
        <v>3096</v>
      </c>
      <c r="C21" s="876">
        <f>IF(B21="容积率修正",IF(G3&lt;=10,D22,J22),C23)</f>
        <v>0.90439999999999998</v>
      </c>
      <c r="D21" s="2265"/>
      <c r="E21" s="2265"/>
      <c r="F21" s="2265"/>
      <c r="G21" s="2265"/>
      <c r="H21" s="2265"/>
      <c r="I21" s="2265"/>
      <c r="J21" s="2266"/>
      <c r="K21" s="1287"/>
      <c r="L21" s="3017"/>
      <c r="M21" s="3017"/>
      <c r="N21" s="2267" t="s">
        <v>2722</v>
      </c>
      <c r="O21" s="1335"/>
      <c r="P21" s="1336">
        <f>SUMPRODUCT((地价!A3:A35=YEAR(G19)&amp;"-"&amp;ROUNDUP(MONTH(G19)/3,0))*(地价!AD2:AH2=N21)*(地价!AD3:AH35))</f>
        <v>1.6E-2</v>
      </c>
      <c r="Q21" s="3017"/>
      <c r="R21" s="1286"/>
      <c r="S21" s="1286"/>
      <c r="T21" s="1281"/>
      <c r="U21" s="1281"/>
      <c r="V21" s="1281"/>
      <c r="W21" s="1280"/>
      <c r="X21" s="1280"/>
      <c r="Y21" s="1280"/>
      <c r="Z21" s="1287"/>
      <c r="AA21" s="1287"/>
      <c r="AB21" s="1287"/>
      <c r="AC21" s="1287"/>
      <c r="AD21" s="1287"/>
      <c r="AE21" s="1287"/>
      <c r="AF21" s="1287"/>
      <c r="AG21" s="3017"/>
      <c r="AH21" s="3017"/>
      <c r="AI21" s="3017"/>
      <c r="AJ21" s="3017"/>
    </row>
    <row r="22" spans="1:37" s="2202" customFormat="1" ht="14.25">
      <c r="A22" s="2141" t="s">
        <v>2723</v>
      </c>
      <c r="B22" s="2268" t="s">
        <v>2724</v>
      </c>
      <c r="C22" s="1536" t="s">
        <v>2725</v>
      </c>
      <c r="D22" s="1536">
        <f>IF(E22=G22,F22,IF(G3&lt;=10,ROUND(F22+(H22-F22)*(G3-E22)/(G22-E22),4),"——"))</f>
        <v>0.90439999999999998</v>
      </c>
      <c r="E22" s="855">
        <f>ROUNDDOWN(G3,1)</f>
        <v>5.4</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0.90580000000000005</v>
      </c>
      <c r="G22" s="855">
        <f>ROUNDUP(G3,1)</f>
        <v>5.5</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0.90290000000000004</v>
      </c>
      <c r="I22" s="1536" t="s">
        <v>155</v>
      </c>
      <c r="J22" s="877" t="str">
        <f>IF(G3&gt;10,D113,"——")</f>
        <v>——</v>
      </c>
      <c r="K22" s="1287"/>
      <c r="L22" s="3017"/>
      <c r="M22" s="3017"/>
      <c r="N22" s="2267" t="s">
        <v>2726</v>
      </c>
      <c r="O22" s="1335"/>
      <c r="P22" s="1336">
        <f>SUMPRODUCT((地价!A3:A35=YEAR(G19)&amp;"-"&amp;ROUNDUP(MONTH(G19)/3,0))*(地价!AD2:AH2=N22)*(地价!AD3:AH35))</f>
        <v>1.6E-2</v>
      </c>
      <c r="Q22" s="3017"/>
      <c r="R22" s="1286"/>
      <c r="S22" s="1286"/>
      <c r="T22" s="1281"/>
      <c r="U22" s="1281"/>
      <c r="V22" s="1281"/>
      <c r="W22" s="1280"/>
      <c r="X22" s="1280"/>
      <c r="Y22" s="1280"/>
      <c r="Z22" s="1287"/>
      <c r="AA22" s="1287"/>
      <c r="AB22" s="1287"/>
      <c r="AC22" s="1287"/>
      <c r="AD22" s="1287"/>
      <c r="AE22" s="1287"/>
      <c r="AF22" s="1287"/>
      <c r="AG22" s="3017"/>
      <c r="AH22" s="3017"/>
      <c r="AI22" s="3017"/>
      <c r="AJ22" s="3017"/>
    </row>
    <row r="23" spans="1:37" ht="27.75" thickBot="1">
      <c r="A23" s="2141" t="s">
        <v>2727</v>
      </c>
      <c r="B23" s="2269" t="s">
        <v>2728</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2729</v>
      </c>
      <c r="O23" s="1335"/>
      <c r="P23" s="1336">
        <f>SUMPRODUCT((地价!A3:A35=YEAR(G19)&amp;"-"&amp;ROUNDUP(MONTH(G19)/3,0))*(地价!AD2:AH2=N23)*(地价!AD3:AH35))</f>
        <v>2.75E-2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2730</v>
      </c>
      <c r="C24" s="863">
        <f>SUMIF(A45:A88,E2,B45:B88)</f>
        <v>1.0533999999999999</v>
      </c>
      <c r="D24" s="2248"/>
      <c r="E24" s="2275"/>
      <c r="F24" s="2275"/>
      <c r="G24" s="2275"/>
      <c r="H24" s="2275"/>
      <c r="I24" s="2275"/>
      <c r="J24" s="2276"/>
      <c r="K24" s="1287"/>
      <c r="L24" s="3017"/>
      <c r="M24" s="3017"/>
      <c r="N24" s="2277" t="s">
        <v>2731</v>
      </c>
      <c r="O24" s="1337"/>
      <c r="P24" s="1338">
        <f>SUMPRODUCT((地价!A3:A35=YEAR(G19)&amp;"-"&amp;ROUNDUP(MONTH(G19)/3,0))*(地价!AD2:AH2=N24)*(地价!AD3:AH35))</f>
        <v>1.37E-2</v>
      </c>
      <c r="Q24" s="3017"/>
      <c r="R24" s="1286"/>
      <c r="S24" s="1286"/>
      <c r="T24" s="1281"/>
      <c r="U24" s="1281"/>
      <c r="V24" s="1281"/>
      <c r="W24" s="1280"/>
      <c r="X24" s="1280"/>
      <c r="Y24" s="1280"/>
      <c r="Z24" s="1287"/>
      <c r="AA24" s="1287"/>
      <c r="AB24" s="1287"/>
      <c r="AC24" s="1287"/>
      <c r="AD24" s="1287"/>
      <c r="AE24" s="1287"/>
      <c r="AF24" s="1287"/>
      <c r="AG24" s="3017"/>
      <c r="AH24" s="3017"/>
      <c r="AI24" s="3017"/>
      <c r="AJ24" s="3017"/>
    </row>
    <row r="25" spans="1:37" ht="15.75" thickBot="1">
      <c r="A25" s="2256" t="s">
        <v>813</v>
      </c>
      <c r="B25" s="2278" t="s">
        <v>2732</v>
      </c>
      <c r="C25" s="869"/>
      <c r="D25" s="2212"/>
      <c r="E25" s="2212"/>
      <c r="F25" s="2279"/>
      <c r="G25" s="2212"/>
      <c r="H25" s="2212"/>
      <c r="I25" s="2212"/>
      <c r="J25" s="2213"/>
      <c r="K25" s="1280"/>
      <c r="L25" s="2183"/>
      <c r="M25" s="2183"/>
      <c r="N25" s="3012" t="s">
        <v>2733</v>
      </c>
      <c r="O25" s="3013"/>
      <c r="P25" s="3014">
        <f>SUMPRODUCT((地价!A3:A35=YEAR(G19)&amp;"-"&amp;ROUNDUP(MONTH(G19)/3,0))*(地价!AD2:AH2=N25)*(地价!AD3:AH35))</f>
        <v>2.46E-2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2734</v>
      </c>
      <c r="C26" s="2542">
        <f>IF(B21="容积率修正",E29+SUM(E33:E39),SUM(V2:V16)+SUM(E33:E39))</f>
        <v>73017</v>
      </c>
      <c r="D26" s="2281"/>
      <c r="E26" s="2237"/>
      <c r="F26" s="2282"/>
      <c r="G26" s="2237"/>
      <c r="H26" s="2237"/>
      <c r="I26" s="2237"/>
      <c r="J26" s="2283"/>
      <c r="K26" s="1280"/>
      <c r="L26" s="3015" t="s">
        <v>2633</v>
      </c>
      <c r="M26" s="2210" t="s">
        <v>2698</v>
      </c>
      <c r="N26" s="2210" t="s">
        <v>2699</v>
      </c>
      <c r="O26" s="2210" t="s">
        <v>2700</v>
      </c>
      <c r="P26" s="3016" t="s">
        <v>2701</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2735</v>
      </c>
      <c r="C27" s="870">
        <f>E30+SUM(I33:I39)</f>
        <v>3578</v>
      </c>
      <c r="D27" s="2285"/>
      <c r="E27" s="2286"/>
      <c r="F27" s="2287"/>
      <c r="G27" s="2286"/>
      <c r="H27" s="2286"/>
      <c r="I27" s="2286"/>
      <c r="J27" s="2288"/>
      <c r="K27" s="1280"/>
      <c r="L27" s="2243" t="s">
        <v>2705</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2736</v>
      </c>
      <c r="C28" s="2291" t="s">
        <v>2737</v>
      </c>
      <c r="D28" s="2291" t="s">
        <v>2738</v>
      </c>
      <c r="E28" s="2292" t="s">
        <v>2739</v>
      </c>
      <c r="F28" s="2293"/>
      <c r="G28" s="2225"/>
      <c r="H28" s="2225"/>
      <c r="I28" s="2225"/>
      <c r="J28" s="2226"/>
      <c r="K28" s="1280"/>
      <c r="L28" s="2244" t="s">
        <v>2708</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2740</v>
      </c>
      <c r="C29" s="180">
        <f>ROUND(C5*C18*C19*C20*C21*C24,0)</f>
        <v>29819</v>
      </c>
      <c r="D29" s="2296">
        <f>'数据-汇总表'!F19</f>
        <v>19687.320000000003</v>
      </c>
      <c r="E29" s="879">
        <f>ROUND(C29*D29/10000,0)</f>
        <v>58706</v>
      </c>
      <c r="F29" s="2297" t="s">
        <v>2741</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2742</v>
      </c>
      <c r="C30" s="193">
        <f>ROUND(IF(E2="工业",C29*M39,C29*M38),0)</f>
        <v>7455</v>
      </c>
      <c r="D30" s="2302"/>
      <c r="E30" s="879">
        <f>ROUND(C30*D30/10000,0)</f>
        <v>0</v>
      </c>
      <c r="F30" s="2303" t="s">
        <v>2743</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2744</v>
      </c>
      <c r="C31" s="2308" t="s">
        <v>2745</v>
      </c>
      <c r="D31" s="2225"/>
      <c r="E31" s="2308"/>
      <c r="F31" s="2308"/>
      <c r="G31" s="2223" t="s">
        <v>2746</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2737</v>
      </c>
      <c r="D32" s="455" t="s">
        <v>2738</v>
      </c>
      <c r="E32" s="455" t="s">
        <v>2739</v>
      </c>
      <c r="F32" s="348" t="s">
        <v>2747</v>
      </c>
      <c r="G32" s="2311" t="s">
        <v>2737</v>
      </c>
      <c r="H32" s="2311" t="s">
        <v>2738</v>
      </c>
      <c r="I32" s="2311" t="s">
        <v>2739</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829"/>
      <c r="B33" s="2312" t="s">
        <v>2748</v>
      </c>
      <c r="C33" s="180">
        <f>ROUND(D5*C19*C20*C24*F33,0)</f>
        <v>26377</v>
      </c>
      <c r="D33" s="2296"/>
      <c r="E33" s="176">
        <f>ROUND(C33*D33/10000,0)</f>
        <v>0</v>
      </c>
      <c r="F33" s="176">
        <f>SUMIF(修正!A45:A56,G2,修正!B45:B56)</f>
        <v>0.8</v>
      </c>
      <c r="G33" s="176">
        <f>ROUND(IF(E2="工业",C33*$M$39,C33*$M$38),0)</f>
        <v>6594</v>
      </c>
      <c r="H33" s="176">
        <f>D33</f>
        <v>0</v>
      </c>
      <c r="I33" s="176">
        <f>ROUND(G33*H33/10000,0)</f>
        <v>0</v>
      </c>
      <c r="J33" s="3834" t="s">
        <v>3050</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830"/>
      <c r="B34" s="2229" t="s">
        <v>2749</v>
      </c>
      <c r="C34" s="180">
        <f>ROUND(D5*C19*C20*C24*F34,0)</f>
        <v>16486</v>
      </c>
      <c r="D34" s="2296"/>
      <c r="E34" s="176">
        <f t="shared" ref="E34:E39" si="6">ROUND(C34*D34/10000,0)</f>
        <v>0</v>
      </c>
      <c r="F34" s="176">
        <f>SUMIF(修正!A45:A56,G2,修正!C45:C56)</f>
        <v>0.5</v>
      </c>
      <c r="G34" s="176">
        <f>ROUND(IF(E2="工业",C34*$M$39,C34*$M$38),0)</f>
        <v>4122</v>
      </c>
      <c r="H34" s="176">
        <f t="shared" ref="H34:H39" si="7">D34</f>
        <v>0</v>
      </c>
      <c r="I34" s="176">
        <f t="shared" ref="I34:I39" si="8">ROUND(G34*H34/10000,0)</f>
        <v>0</v>
      </c>
      <c r="J34" s="3830"/>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830"/>
      <c r="B35" s="2229" t="s">
        <v>2750</v>
      </c>
      <c r="C35" s="180">
        <f>ROUND(D5*C19*C20*C24*F35,0)</f>
        <v>11870</v>
      </c>
      <c r="D35" s="2296"/>
      <c r="E35" s="176">
        <f t="shared" si="6"/>
        <v>0</v>
      </c>
      <c r="F35" s="176">
        <f>SUMIF(修正!A45:A56,G2,修正!D45:D56)</f>
        <v>0.36</v>
      </c>
      <c r="G35" s="176">
        <f>ROUND(IF(E2="工业",C35*$M$39,C35*$M$38),0)</f>
        <v>2968</v>
      </c>
      <c r="H35" s="176">
        <f t="shared" si="7"/>
        <v>0</v>
      </c>
      <c r="I35" s="176">
        <f t="shared" si="8"/>
        <v>0</v>
      </c>
      <c r="J35" s="3830"/>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831"/>
      <c r="B36" s="2229" t="s">
        <v>2751</v>
      </c>
      <c r="C36" s="180">
        <f>ROUND(D5*C19*C20*C24*F36,0)</f>
        <v>9891</v>
      </c>
      <c r="D36" s="2296"/>
      <c r="E36" s="176">
        <f t="shared" si="6"/>
        <v>0</v>
      </c>
      <c r="F36" s="176">
        <f>SUMIF(修正!A45:A56,G2,修正!E45:E56)</f>
        <v>0.3</v>
      </c>
      <c r="G36" s="176">
        <f>ROUND(IF(E2="工业",C36*$M$39,C36*$M$38),0)</f>
        <v>2473</v>
      </c>
      <c r="H36" s="176">
        <f t="shared" si="7"/>
        <v>0</v>
      </c>
      <c r="I36" s="176">
        <f t="shared" si="8"/>
        <v>0</v>
      </c>
      <c r="J36" s="3831"/>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2752</v>
      </c>
      <c r="C37" s="176">
        <f>ROUND(D5*C19*C20*C24*F37,0)</f>
        <v>9891</v>
      </c>
      <c r="D37" s="2296">
        <f>'数据-汇总表'!G25</f>
        <v>9931.119999999999</v>
      </c>
      <c r="E37" s="176">
        <f t="shared" si="6"/>
        <v>9823</v>
      </c>
      <c r="F37" s="180">
        <f>SUMIF(修正!A45:A56,G2,修正!F45:F56)</f>
        <v>0.3</v>
      </c>
      <c r="G37" s="176">
        <f>ROUND(IF(E2="工业",C37*$M$39,C37*$M$38),0)</f>
        <v>2473</v>
      </c>
      <c r="H37" s="176">
        <f t="shared" si="7"/>
        <v>9931.119999999999</v>
      </c>
      <c r="I37" s="176">
        <f t="shared" si="8"/>
        <v>2456</v>
      </c>
      <c r="J37" s="2313"/>
      <c r="K37" s="1280"/>
      <c r="L37" s="2315" t="s">
        <v>2753</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2754</v>
      </c>
      <c r="C38" s="176">
        <f>ROUND(D5*C19*C41*C24*F38,0)</f>
        <v>9891</v>
      </c>
      <c r="D38" s="2296"/>
      <c r="E38" s="176">
        <f t="shared" si="6"/>
        <v>0</v>
      </c>
      <c r="F38" s="180">
        <f>SUMIF(修正!A45:A56,G2,修正!G45:G56)</f>
        <v>0.3</v>
      </c>
      <c r="G38" s="176">
        <f>ROUND(IF(E2="工业",C38*$M$39,C38*$M$38),0)</f>
        <v>2473</v>
      </c>
      <c r="H38" s="176">
        <f t="shared" si="7"/>
        <v>0</v>
      </c>
      <c r="I38" s="176">
        <f t="shared" si="8"/>
        <v>0</v>
      </c>
      <c r="J38" s="2313"/>
      <c r="K38" s="1280"/>
      <c r="L38" s="1605" t="s">
        <v>2755</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2756</v>
      </c>
      <c r="C39" s="193">
        <f>ROUND(D5*C19*C41*C24*F39,0)</f>
        <v>8243</v>
      </c>
      <c r="D39" s="2302">
        <f>'数据-汇总表'!G24</f>
        <v>5444.8200000000006</v>
      </c>
      <c r="E39" s="193">
        <f t="shared" si="6"/>
        <v>4488</v>
      </c>
      <c r="F39" s="871">
        <f>SUMIF(修正!A45:A56,G2,修正!H45:H56)</f>
        <v>0.25</v>
      </c>
      <c r="G39" s="193">
        <f>ROUND(IF(E2="工业",C39*$M$39,C39*$M$38),0)</f>
        <v>2061</v>
      </c>
      <c r="H39" s="193">
        <f t="shared" si="7"/>
        <v>5444.8200000000006</v>
      </c>
      <c r="I39" s="193">
        <f t="shared" si="8"/>
        <v>1122</v>
      </c>
      <c r="J39" s="2319"/>
      <c r="K39" s="1280"/>
      <c r="L39" s="2320" t="s">
        <v>2701</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2860</v>
      </c>
      <c r="C41" s="348">
        <f>ROUND(POWER(1+E41,H41-G41)*(POWER(1+E41,G41)-1)/(POWER(1+E41,H41)-1),4)</f>
        <v>0.90259999999999996</v>
      </c>
      <c r="D41" s="176" t="s">
        <v>2708</v>
      </c>
      <c r="E41" s="2369">
        <f>G20</f>
        <v>5.1999999999999998E-2</v>
      </c>
      <c r="F41" s="176" t="s">
        <v>2717</v>
      </c>
      <c r="G41" s="189">
        <f>项目基本情况!G15</f>
        <v>35.07</v>
      </c>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2757</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c r="A46" s="2325" t="s">
        <v>2758</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c r="A47" s="2329" t="s">
        <v>2759</v>
      </c>
      <c r="B47" s="1535" t="s">
        <v>2760</v>
      </c>
      <c r="C47" s="1535" t="s">
        <v>2761</v>
      </c>
      <c r="D47" s="1535" t="s">
        <v>2762</v>
      </c>
      <c r="E47" s="758" t="s">
        <v>2763</v>
      </c>
      <c r="F47" s="2330" t="s">
        <v>2764</v>
      </c>
      <c r="G47" s="1535" t="s">
        <v>754</v>
      </c>
      <c r="H47" s="2331" t="s">
        <v>2765</v>
      </c>
      <c r="I47" s="1535" t="s">
        <v>2766</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89.25">
      <c r="A48" s="2329" t="s">
        <v>2767</v>
      </c>
      <c r="B48" s="2332" t="str">
        <f>估价对象房地状况!C4</f>
        <v>估价对象位于东四商圈，位于商业类一级地价区，周边有隆福大厦、隆福广场、物美超市，东四大街、朝内大街沿街商业氛围成熟，人流量大，商业繁华度较好。</v>
      </c>
      <c r="C48" s="2234"/>
      <c r="D48" s="1196">
        <f t="shared" ref="D48:D56" si="9">SUMIF($J$47:$N$47,C48,J48:N48)</f>
        <v>0</v>
      </c>
      <c r="E48" s="760">
        <f>ROUND(SUM(D48:D56),4)</f>
        <v>0</v>
      </c>
      <c r="F48" s="2000" t="str">
        <f>IF(E2="商业",SUMIF(L1:L12,G2,N1:N12),"——")</f>
        <v>——</v>
      </c>
      <c r="G48" s="1194"/>
      <c r="H48" s="1198" t="str">
        <f t="shared" ref="H48:H56" si="10">IFERROR(ROUNDDOWN($F$48*I48/2,4),"——")</f>
        <v>——</v>
      </c>
      <c r="I48" s="759">
        <v>0.33</v>
      </c>
      <c r="J48" s="1195">
        <f t="shared" ref="J48:J56" si="11">K48+$G48</f>
        <v>0</v>
      </c>
      <c r="K48" s="1195">
        <f t="shared" ref="K48:K56" si="12">$L48+$G48</f>
        <v>0</v>
      </c>
      <c r="L48" s="1195">
        <v>0</v>
      </c>
      <c r="M48" s="1195">
        <f t="shared" ref="M48:N56" si="13">L48-$G48</f>
        <v>0</v>
      </c>
      <c r="N48" s="1195">
        <f t="shared" si="13"/>
        <v>0</v>
      </c>
      <c r="AA48" s="1281"/>
      <c r="AB48" s="1281"/>
      <c r="AC48" s="1281"/>
      <c r="AD48" s="1281"/>
      <c r="AE48" s="1281"/>
      <c r="AF48" s="1281"/>
      <c r="AG48" s="1281"/>
      <c r="AH48" s="1281"/>
      <c r="AI48" s="1281"/>
      <c r="AJ48" s="1281"/>
      <c r="AK48" s="1281"/>
    </row>
    <row r="49" spans="1:37" s="1280" customFormat="1" ht="127.5">
      <c r="A49" s="2329" t="s">
        <v>2768</v>
      </c>
      <c r="B49" s="2333" t="str">
        <f>估价对象房地状况!C18</f>
        <v>估价对象位于东四路口的东南角，紧临城市主干道-朝阳门内大街，西距东四南大街100米，距离地铁5号线（2007年通车）与6号线（2012年通车）东四站75米，多条公交线路通达，公共交通便利，停车便捷度好，综合评价交通便捷度较好。</v>
      </c>
      <c r="C49" s="2234"/>
      <c r="D49" s="1196">
        <f t="shared" si="9"/>
        <v>0</v>
      </c>
      <c r="E49" s="761"/>
      <c r="F49" s="2000"/>
      <c r="G49" s="1194"/>
      <c r="H49" s="1198" t="str">
        <f t="shared" si="10"/>
        <v>——</v>
      </c>
      <c r="I49" s="759">
        <v>0.25</v>
      </c>
      <c r="J49" s="1195">
        <f t="shared" si="11"/>
        <v>0</v>
      </c>
      <c r="K49" s="1195">
        <f t="shared" si="12"/>
        <v>0</v>
      </c>
      <c r="L49" s="1195">
        <v>0</v>
      </c>
      <c r="M49" s="1195">
        <f t="shared" si="13"/>
        <v>0</v>
      </c>
      <c r="N49" s="1195">
        <f t="shared" si="13"/>
        <v>0</v>
      </c>
      <c r="AA49" s="1281"/>
      <c r="AB49" s="1281"/>
      <c r="AC49" s="1281"/>
      <c r="AD49" s="1281"/>
      <c r="AE49" s="1281"/>
      <c r="AF49" s="1281"/>
      <c r="AG49" s="1281"/>
      <c r="AH49" s="1281"/>
      <c r="AI49" s="1281"/>
      <c r="AJ49" s="1281"/>
      <c r="AK49" s="1281"/>
    </row>
    <row r="50" spans="1:37" s="1280" customFormat="1" ht="24">
      <c r="A50" s="2329" t="s">
        <v>2769</v>
      </c>
      <c r="B50" s="2333">
        <f>估价对象房地状况!C19</f>
        <v>0</v>
      </c>
      <c r="C50" s="2234"/>
      <c r="D50" s="1196">
        <f t="shared" si="9"/>
        <v>0</v>
      </c>
      <c r="E50" s="761"/>
      <c r="F50" s="2000"/>
      <c r="G50" s="1194"/>
      <c r="H50" s="1198" t="str">
        <f t="shared" si="10"/>
        <v>——</v>
      </c>
      <c r="I50" s="759">
        <v>0.05</v>
      </c>
      <c r="J50" s="1195">
        <f t="shared" si="11"/>
        <v>0</v>
      </c>
      <c r="K50" s="1195">
        <f t="shared" si="12"/>
        <v>0</v>
      </c>
      <c r="L50" s="1195">
        <v>0</v>
      </c>
      <c r="M50" s="1195">
        <f t="shared" si="13"/>
        <v>0</v>
      </c>
      <c r="N50" s="1195">
        <f t="shared" si="13"/>
        <v>0</v>
      </c>
      <c r="AA50" s="1281"/>
      <c r="AB50" s="1281"/>
      <c r="AC50" s="1281"/>
      <c r="AD50" s="1281"/>
      <c r="AE50" s="1281"/>
      <c r="AF50" s="1281"/>
      <c r="AG50" s="1281"/>
      <c r="AH50" s="1281"/>
      <c r="AI50" s="1281"/>
      <c r="AJ50" s="1281"/>
      <c r="AK50" s="1281"/>
    </row>
    <row r="51" spans="1:37" s="1280" customFormat="1" ht="36.75">
      <c r="A51" s="2329" t="s">
        <v>2770</v>
      </c>
      <c r="B51" s="2334" t="s">
        <v>2771</v>
      </c>
      <c r="C51" s="2234"/>
      <c r="D51" s="1196">
        <f t="shared" si="9"/>
        <v>0</v>
      </c>
      <c r="E51" s="761"/>
      <c r="F51" s="2000"/>
      <c r="G51" s="1194"/>
      <c r="H51" s="1198" t="str">
        <f t="shared" si="10"/>
        <v>——</v>
      </c>
      <c r="I51" s="759">
        <v>0.05</v>
      </c>
      <c r="J51" s="1195">
        <f t="shared" si="11"/>
        <v>0</v>
      </c>
      <c r="K51" s="1195">
        <f t="shared" si="12"/>
        <v>0</v>
      </c>
      <c r="L51" s="1195">
        <v>0</v>
      </c>
      <c r="M51" s="1195">
        <f t="shared" si="13"/>
        <v>0</v>
      </c>
      <c r="N51" s="1195">
        <f t="shared" si="13"/>
        <v>0</v>
      </c>
      <c r="AA51" s="1281"/>
      <c r="AB51" s="1281"/>
      <c r="AC51" s="1281"/>
      <c r="AD51" s="1281"/>
      <c r="AE51" s="1281"/>
      <c r="AF51" s="1281"/>
      <c r="AG51" s="1281"/>
      <c r="AH51" s="1281"/>
      <c r="AI51" s="1281"/>
      <c r="AJ51" s="1281"/>
      <c r="AK51" s="1281"/>
    </row>
    <row r="52" spans="1:37" s="1280" customFormat="1" ht="24">
      <c r="A52" s="2329" t="s">
        <v>2772</v>
      </c>
      <c r="B52" s="2333" t="str">
        <f>估价对象房地状况!C24</f>
        <v>城市主干道-朝阳门内大街</v>
      </c>
      <c r="C52" s="2234"/>
      <c r="D52" s="1196">
        <f t="shared" si="9"/>
        <v>0</v>
      </c>
      <c r="E52" s="761"/>
      <c r="F52" s="2000"/>
      <c r="G52" s="1194"/>
      <c r="H52" s="1198" t="str">
        <f t="shared" si="10"/>
        <v>——</v>
      </c>
      <c r="I52" s="759">
        <v>0.08</v>
      </c>
      <c r="J52" s="1195">
        <f t="shared" si="11"/>
        <v>0</v>
      </c>
      <c r="K52" s="1195">
        <f t="shared" si="12"/>
        <v>0</v>
      </c>
      <c r="L52" s="1195">
        <v>0</v>
      </c>
      <c r="M52" s="1195">
        <f t="shared" si="13"/>
        <v>0</v>
      </c>
      <c r="N52" s="1195">
        <f t="shared" si="13"/>
        <v>0</v>
      </c>
      <c r="AA52" s="1281"/>
      <c r="AB52" s="1281"/>
      <c r="AC52" s="1281"/>
      <c r="AD52" s="1281"/>
      <c r="AE52" s="1281"/>
      <c r="AF52" s="1281"/>
      <c r="AG52" s="1281"/>
      <c r="AH52" s="1281"/>
      <c r="AI52" s="1281"/>
      <c r="AJ52" s="1281"/>
      <c r="AK52" s="1281"/>
    </row>
    <row r="53" spans="1:37" s="1280" customFormat="1" ht="24">
      <c r="A53" s="2329" t="s">
        <v>2773</v>
      </c>
      <c r="B53" s="2335" t="s">
        <v>2774</v>
      </c>
      <c r="C53" s="2234"/>
      <c r="D53" s="1196">
        <f t="shared" si="9"/>
        <v>0</v>
      </c>
      <c r="E53" s="761"/>
      <c r="F53" s="2000"/>
      <c r="G53" s="1194"/>
      <c r="H53" s="1198" t="str">
        <f t="shared" si="10"/>
        <v>——</v>
      </c>
      <c r="I53" s="759">
        <v>0.03</v>
      </c>
      <c r="J53" s="1195">
        <f t="shared" si="11"/>
        <v>0</v>
      </c>
      <c r="K53" s="1195">
        <f t="shared" si="12"/>
        <v>0</v>
      </c>
      <c r="L53" s="1195">
        <v>0</v>
      </c>
      <c r="M53" s="1195">
        <f t="shared" si="13"/>
        <v>0</v>
      </c>
      <c r="N53" s="1195">
        <f t="shared" si="13"/>
        <v>0</v>
      </c>
      <c r="AA53" s="1281"/>
      <c r="AB53" s="1281"/>
      <c r="AC53" s="1281"/>
      <c r="AD53" s="1281"/>
      <c r="AE53" s="1281"/>
      <c r="AF53" s="1281"/>
      <c r="AG53" s="1281"/>
      <c r="AH53" s="1281"/>
      <c r="AI53" s="1281"/>
      <c r="AJ53" s="1281"/>
      <c r="AK53" s="1281"/>
    </row>
    <row r="54" spans="1:37" s="1280" customFormat="1" ht="165.75">
      <c r="A54" s="2336" t="s">
        <v>2775</v>
      </c>
      <c r="B54" s="1494" t="str">
        <f>估价对象房地状况!C21</f>
        <v>估价对象所在区域有购物场所（隆福广场、物美超市等），教育机构（灯市口小学、北京市第一六六中学），医疗网点（北京市东城区口腔医院、北京市东城区朝阳门社区卫生服务中心），金融网点（中国邮政储蓄银行、中国工商银行、北京农商银行、广发银行），综合分析，公共配套设施齐备程度较好。</v>
      </c>
      <c r="C54" s="2234"/>
      <c r="D54" s="1196">
        <f t="shared" si="9"/>
        <v>0</v>
      </c>
      <c r="E54" s="761"/>
      <c r="F54" s="2000"/>
      <c r="G54" s="1194"/>
      <c r="H54" s="1198" t="str">
        <f t="shared" si="10"/>
        <v>——</v>
      </c>
      <c r="I54" s="759">
        <v>0.05</v>
      </c>
      <c r="J54" s="1195">
        <f t="shared" si="11"/>
        <v>0</v>
      </c>
      <c r="K54" s="1195">
        <f t="shared" si="12"/>
        <v>0</v>
      </c>
      <c r="L54" s="1195">
        <v>0</v>
      </c>
      <c r="M54" s="1195">
        <f t="shared" si="13"/>
        <v>0</v>
      </c>
      <c r="N54" s="1195">
        <f t="shared" si="13"/>
        <v>0</v>
      </c>
      <c r="AA54" s="1281"/>
      <c r="AB54" s="1281"/>
      <c r="AC54" s="1281"/>
      <c r="AD54" s="1281"/>
      <c r="AE54" s="1281"/>
      <c r="AF54" s="1281"/>
      <c r="AG54" s="1281"/>
      <c r="AH54" s="1281"/>
      <c r="AI54" s="1281"/>
      <c r="AJ54" s="1281"/>
      <c r="AK54" s="1281"/>
    </row>
    <row r="55" spans="1:37" s="1280" customFormat="1" ht="25.5">
      <c r="A55" s="2336" t="s">
        <v>2776</v>
      </c>
      <c r="B55" s="2333" t="str">
        <f>估价对象房地状况!C22</f>
        <v>估价对象所在区域基础设施水平-七通</v>
      </c>
      <c r="C55" s="2234"/>
      <c r="D55" s="1196">
        <f t="shared" si="9"/>
        <v>0</v>
      </c>
      <c r="E55" s="761"/>
      <c r="F55" s="2000"/>
      <c r="G55" s="1194"/>
      <c r="H55" s="1198" t="str">
        <f t="shared" si="10"/>
        <v>——</v>
      </c>
      <c r="I55" s="759">
        <v>0.1</v>
      </c>
      <c r="J55" s="1195">
        <f t="shared" si="11"/>
        <v>0</v>
      </c>
      <c r="K55" s="1195">
        <f t="shared" si="12"/>
        <v>0</v>
      </c>
      <c r="L55" s="1195">
        <v>0</v>
      </c>
      <c r="M55" s="1195">
        <f t="shared" si="13"/>
        <v>0</v>
      </c>
      <c r="N55" s="1195">
        <f t="shared" si="13"/>
        <v>0</v>
      </c>
      <c r="AA55" s="1281"/>
      <c r="AB55" s="1281"/>
      <c r="AC55" s="1281"/>
      <c r="AD55" s="1281"/>
      <c r="AE55" s="1281"/>
      <c r="AF55" s="1281"/>
      <c r="AG55" s="1281"/>
      <c r="AH55" s="1281"/>
      <c r="AI55" s="1281"/>
      <c r="AJ55" s="1281"/>
      <c r="AK55" s="1281"/>
    </row>
    <row r="56" spans="1:37" s="1280" customFormat="1" ht="39" thickBot="1">
      <c r="A56" s="2337" t="s">
        <v>2777</v>
      </c>
      <c r="B56" s="2338" t="str">
        <f>估价对象房地状况!C20</f>
        <v>周边有隆福寺广场、东四清真寺等，自然及人文环境较好</v>
      </c>
      <c r="C56" s="2234"/>
      <c r="D56" s="1196">
        <f t="shared" si="9"/>
        <v>0</v>
      </c>
      <c r="E56" s="764"/>
      <c r="F56" s="2000"/>
      <c r="G56" s="1194"/>
      <c r="H56" s="1198" t="str">
        <f t="shared" si="10"/>
        <v>——</v>
      </c>
      <c r="I56" s="763">
        <v>0.06</v>
      </c>
      <c r="J56" s="1195">
        <f t="shared" si="11"/>
        <v>0</v>
      </c>
      <c r="K56" s="1195">
        <f t="shared" si="12"/>
        <v>0</v>
      </c>
      <c r="L56" s="1195">
        <v>0</v>
      </c>
      <c r="M56" s="1195">
        <f t="shared" si="13"/>
        <v>0</v>
      </c>
      <c r="N56" s="1195">
        <f t="shared" si="13"/>
        <v>0</v>
      </c>
      <c r="AA56" s="1281"/>
      <c r="AB56" s="1281"/>
      <c r="AC56" s="1281"/>
      <c r="AD56" s="1281"/>
      <c r="AE56" s="1281"/>
      <c r="AF56" s="1281"/>
      <c r="AG56" s="1281"/>
      <c r="AH56" s="1281"/>
      <c r="AI56" s="1281"/>
      <c r="AJ56" s="1281"/>
      <c r="AK56" s="1281"/>
    </row>
    <row r="57" spans="1:37" s="1280" customFormat="1" ht="15">
      <c r="A57" s="2325" t="s">
        <v>2778</v>
      </c>
      <c r="B57" s="2326">
        <f>1+E59</f>
        <v>1.0533999999999999</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2759</v>
      </c>
      <c r="B58" s="1535"/>
      <c r="C58" s="1535" t="s">
        <v>2761</v>
      </c>
      <c r="D58" s="1535" t="s">
        <v>2762</v>
      </c>
      <c r="E58" s="758" t="s">
        <v>2763</v>
      </c>
      <c r="F58" s="2330" t="s">
        <v>2779</v>
      </c>
      <c r="G58" s="1535" t="s">
        <v>754</v>
      </c>
      <c r="H58" s="2331" t="s">
        <v>2765</v>
      </c>
      <c r="I58" s="1535" t="s">
        <v>2766</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114.75">
      <c r="A59" s="2329" t="s">
        <v>2780</v>
      </c>
      <c r="B59" s="2332" t="str">
        <f>估价对象房地状况!C17</f>
        <v>估价对象位于东四商圈，位于办公类一级地价区，有国家民航总局、国务院发展研究中心机关办公楼、隆福大厦由商场主体改写字楼，周边商业写字楼项目较少，没有形成聚集的写字楼办公区，办公集聚度一般。</v>
      </c>
      <c r="C59" s="2234" t="s">
        <v>3094</v>
      </c>
      <c r="D59" s="1196">
        <f t="shared" ref="D59:D67" si="14">SUMIF($J$58:$N$58,C59,J59:N59)</f>
        <v>1.15E-2</v>
      </c>
      <c r="E59" s="760">
        <f>ROUND(SUM(D59:D67),4)</f>
        <v>5.3400000000000003E-2</v>
      </c>
      <c r="F59" s="2000">
        <f>IF(E2="办公",SUMIF(L1:L12,G2,N1:N12),"——")</f>
        <v>9.6000000000000002E-2</v>
      </c>
      <c r="G59" s="1194">
        <v>1.15E-2</v>
      </c>
      <c r="H59" s="1198">
        <f t="shared" ref="H59:H67" si="15">IFERROR(ROUNDDOWN($F$59*I59/2,4),"——")</f>
        <v>1.15E-2</v>
      </c>
      <c r="I59" s="759">
        <v>0.24</v>
      </c>
      <c r="J59" s="1195">
        <f t="shared" ref="J59:J67" si="16">K59+$G59</f>
        <v>2.3E-2</v>
      </c>
      <c r="K59" s="1195">
        <f t="shared" ref="K59:K67" si="17">$L59+$G59</f>
        <v>1.15E-2</v>
      </c>
      <c r="L59" s="1195">
        <v>0</v>
      </c>
      <c r="M59" s="1195">
        <f t="shared" ref="M59:N67" si="18">L59-$G59</f>
        <v>-1.15E-2</v>
      </c>
      <c r="N59" s="1195">
        <f t="shared" si="18"/>
        <v>-2.3E-2</v>
      </c>
      <c r="AA59" s="1281"/>
      <c r="AB59" s="1281"/>
      <c r="AC59" s="1281"/>
      <c r="AD59" s="1281"/>
      <c r="AE59" s="1281"/>
      <c r="AF59" s="1281"/>
      <c r="AG59" s="1281"/>
      <c r="AH59" s="1281"/>
      <c r="AI59" s="1281"/>
      <c r="AJ59" s="1281"/>
      <c r="AK59" s="1281"/>
    </row>
    <row r="60" spans="1:37" s="1280" customFormat="1" ht="127.5">
      <c r="A60" s="2329" t="s">
        <v>2768</v>
      </c>
      <c r="B60" s="2333" t="str">
        <f>估价对象房地状况!C18</f>
        <v>估价对象位于东四路口的东南角，紧临城市主干道-朝阳门内大街，西距东四南大街100米，距离地铁5号线（2007年通车）与6号线（2012年通车）东四站75米，多条公交线路通达，公共交通便利，停车便捷度好，综合评价交通便捷度较好。</v>
      </c>
      <c r="C60" s="2234" t="s">
        <v>3094</v>
      </c>
      <c r="D60" s="1196">
        <f t="shared" si="14"/>
        <v>1.44E-2</v>
      </c>
      <c r="E60" s="761"/>
      <c r="F60" s="2000"/>
      <c r="G60" s="1194">
        <v>1.44E-2</v>
      </c>
      <c r="H60" s="1198">
        <f t="shared" si="15"/>
        <v>1.44E-2</v>
      </c>
      <c r="I60" s="759">
        <v>0.3</v>
      </c>
      <c r="J60" s="1195">
        <f t="shared" si="16"/>
        <v>2.8799999999999999E-2</v>
      </c>
      <c r="K60" s="1195">
        <f t="shared" si="17"/>
        <v>1.44E-2</v>
      </c>
      <c r="L60" s="1195">
        <v>0</v>
      </c>
      <c r="M60" s="1195">
        <f t="shared" si="18"/>
        <v>-1.44E-2</v>
      </c>
      <c r="N60" s="1195">
        <f t="shared" si="18"/>
        <v>-2.8799999999999999E-2</v>
      </c>
      <c r="AA60" s="1281"/>
      <c r="AB60" s="1281"/>
      <c r="AC60" s="1281"/>
      <c r="AD60" s="1281"/>
      <c r="AE60" s="1281"/>
      <c r="AF60" s="1281"/>
      <c r="AG60" s="1281"/>
      <c r="AH60" s="1281"/>
      <c r="AI60" s="1281"/>
      <c r="AJ60" s="1281"/>
      <c r="AK60" s="1281"/>
    </row>
    <row r="61" spans="1:37" s="1280" customFormat="1" ht="24">
      <c r="A61" s="2329" t="s">
        <v>2769</v>
      </c>
      <c r="B61" s="2333">
        <f>估价对象房地状况!C19</f>
        <v>0</v>
      </c>
      <c r="C61" s="2234" t="s">
        <v>3094</v>
      </c>
      <c r="D61" s="1196">
        <f t="shared" si="14"/>
        <v>3.8E-3</v>
      </c>
      <c r="E61" s="761"/>
      <c r="F61" s="2000"/>
      <c r="G61" s="1194">
        <v>3.8E-3</v>
      </c>
      <c r="H61" s="1198">
        <f t="shared" si="15"/>
        <v>3.8E-3</v>
      </c>
      <c r="I61" s="759">
        <v>0.08</v>
      </c>
      <c r="J61" s="1195">
        <f t="shared" si="16"/>
        <v>7.6E-3</v>
      </c>
      <c r="K61" s="1195">
        <f t="shared" si="17"/>
        <v>3.8E-3</v>
      </c>
      <c r="L61" s="1195">
        <v>0</v>
      </c>
      <c r="M61" s="1195">
        <f t="shared" si="18"/>
        <v>-3.8E-3</v>
      </c>
      <c r="N61" s="1195">
        <f t="shared" si="18"/>
        <v>-7.6E-3</v>
      </c>
      <c r="AA61" s="1281"/>
      <c r="AB61" s="1281"/>
      <c r="AC61" s="1281"/>
      <c r="AD61" s="1281"/>
      <c r="AE61" s="1281"/>
      <c r="AF61" s="1281"/>
      <c r="AG61" s="1281"/>
      <c r="AH61" s="1281"/>
      <c r="AI61" s="1281"/>
      <c r="AJ61" s="1281"/>
      <c r="AK61" s="1281"/>
    </row>
    <row r="62" spans="1:37" s="1280" customFormat="1" ht="36.75">
      <c r="A62" s="2329" t="s">
        <v>2770</v>
      </c>
      <c r="B62" s="2334" t="s">
        <v>2771</v>
      </c>
      <c r="C62" s="2234" t="s">
        <v>3094</v>
      </c>
      <c r="D62" s="1196">
        <f t="shared" si="14"/>
        <v>1.9E-3</v>
      </c>
      <c r="E62" s="761"/>
      <c r="F62" s="2000"/>
      <c r="G62" s="1194">
        <v>1.9E-3</v>
      </c>
      <c r="H62" s="1198">
        <f t="shared" si="15"/>
        <v>1.9E-3</v>
      </c>
      <c r="I62" s="759">
        <v>0.04</v>
      </c>
      <c r="J62" s="1195">
        <f t="shared" si="16"/>
        <v>3.8E-3</v>
      </c>
      <c r="K62" s="1195">
        <f t="shared" si="17"/>
        <v>1.9E-3</v>
      </c>
      <c r="L62" s="1195">
        <v>0</v>
      </c>
      <c r="M62" s="1195">
        <f t="shared" si="18"/>
        <v>-1.9E-3</v>
      </c>
      <c r="N62" s="1195">
        <f t="shared" si="18"/>
        <v>-3.8E-3</v>
      </c>
      <c r="AA62" s="1281"/>
      <c r="AB62" s="1281"/>
      <c r="AC62" s="1281"/>
      <c r="AD62" s="1281"/>
      <c r="AE62" s="1281"/>
      <c r="AF62" s="1281"/>
      <c r="AG62" s="1281"/>
      <c r="AH62" s="1281"/>
      <c r="AI62" s="1281"/>
      <c r="AJ62" s="1281"/>
      <c r="AK62" s="1281"/>
    </row>
    <row r="63" spans="1:37" s="1280" customFormat="1" ht="24">
      <c r="A63" s="2329" t="s">
        <v>2772</v>
      </c>
      <c r="B63" s="2333" t="str">
        <f>估价对象房地状况!C24</f>
        <v>城市主干道-朝阳门内大街</v>
      </c>
      <c r="C63" s="2234" t="s">
        <v>3094</v>
      </c>
      <c r="D63" s="1196">
        <f t="shared" si="14"/>
        <v>2.3999999999999998E-3</v>
      </c>
      <c r="E63" s="761"/>
      <c r="F63" s="2000"/>
      <c r="G63" s="1194">
        <v>2.3999999999999998E-3</v>
      </c>
      <c r="H63" s="1198">
        <f t="shared" si="15"/>
        <v>2.3999999999999998E-3</v>
      </c>
      <c r="I63" s="759">
        <v>0.05</v>
      </c>
      <c r="J63" s="1195">
        <f t="shared" si="16"/>
        <v>4.7999999999999996E-3</v>
      </c>
      <c r="K63" s="1195">
        <f t="shared" si="17"/>
        <v>2.3999999999999998E-3</v>
      </c>
      <c r="L63" s="1195">
        <v>0</v>
      </c>
      <c r="M63" s="1195">
        <f t="shared" si="18"/>
        <v>-2.3999999999999998E-3</v>
      </c>
      <c r="N63" s="1195">
        <f t="shared" si="18"/>
        <v>-4.7999999999999996E-3</v>
      </c>
      <c r="AA63" s="1281"/>
      <c r="AB63" s="1281"/>
      <c r="AC63" s="1281"/>
      <c r="AD63" s="1281"/>
      <c r="AE63" s="1281"/>
      <c r="AF63" s="1281"/>
      <c r="AG63" s="1281"/>
      <c r="AH63" s="1281"/>
      <c r="AI63" s="1281"/>
      <c r="AJ63" s="1281"/>
      <c r="AK63" s="1281"/>
    </row>
    <row r="64" spans="1:37" s="1280" customFormat="1" ht="24">
      <c r="A64" s="2329" t="s">
        <v>2773</v>
      </c>
      <c r="B64" s="2335" t="s">
        <v>2774</v>
      </c>
      <c r="C64" s="2234" t="s">
        <v>3094</v>
      </c>
      <c r="D64" s="1196">
        <f t="shared" si="14"/>
        <v>2.3999999999999998E-3</v>
      </c>
      <c r="E64" s="761"/>
      <c r="F64" s="2000"/>
      <c r="G64" s="1194">
        <v>2.3999999999999998E-3</v>
      </c>
      <c r="H64" s="1198">
        <f t="shared" si="15"/>
        <v>2.3999999999999998E-3</v>
      </c>
      <c r="I64" s="759">
        <v>0.05</v>
      </c>
      <c r="J64" s="1195">
        <f t="shared" si="16"/>
        <v>4.7999999999999996E-3</v>
      </c>
      <c r="K64" s="1195">
        <f t="shared" si="17"/>
        <v>2.3999999999999998E-3</v>
      </c>
      <c r="L64" s="1195">
        <v>0</v>
      </c>
      <c r="M64" s="1195">
        <f t="shared" si="18"/>
        <v>-2.3999999999999998E-3</v>
      </c>
      <c r="N64" s="1195">
        <f t="shared" si="18"/>
        <v>-4.7999999999999996E-3</v>
      </c>
      <c r="AA64" s="1281"/>
      <c r="AB64" s="1281"/>
      <c r="AC64" s="1281"/>
      <c r="AD64" s="1281"/>
      <c r="AE64" s="1281"/>
      <c r="AF64" s="1281"/>
      <c r="AG64" s="1281"/>
      <c r="AH64" s="1281"/>
      <c r="AI64" s="1281"/>
      <c r="AJ64" s="1281"/>
      <c r="AK64" s="1281"/>
    </row>
    <row r="65" spans="1:37" s="1280" customFormat="1" ht="165.75">
      <c r="A65" s="2329" t="s">
        <v>2775</v>
      </c>
      <c r="B65" s="1494" t="str">
        <f>估价对象房地状况!C21</f>
        <v>估价对象所在区域有购物场所（隆福广场、物美超市等），教育机构（灯市口小学、北京市第一六六中学），医疗网点（北京市东城区口腔医院、北京市东城区朝阳门社区卫生服务中心），金融网点（中国邮政储蓄银行、中国工商银行、北京农商银行、广发银行），综合分析，公共配套设施齐备程度较好。</v>
      </c>
      <c r="C65" s="2234" t="s">
        <v>3094</v>
      </c>
      <c r="D65" s="1196">
        <f t="shared" si="14"/>
        <v>2.8E-3</v>
      </c>
      <c r="E65" s="761"/>
      <c r="F65" s="2000"/>
      <c r="G65" s="1194">
        <v>2.8E-3</v>
      </c>
      <c r="H65" s="1198">
        <f t="shared" si="15"/>
        <v>2.8E-3</v>
      </c>
      <c r="I65" s="759">
        <v>0.06</v>
      </c>
      <c r="J65" s="1195">
        <f t="shared" si="16"/>
        <v>5.5999999999999999E-3</v>
      </c>
      <c r="K65" s="1195">
        <f t="shared" si="17"/>
        <v>2.8E-3</v>
      </c>
      <c r="L65" s="1195">
        <v>0</v>
      </c>
      <c r="M65" s="1195">
        <f t="shared" si="18"/>
        <v>-2.8E-3</v>
      </c>
      <c r="N65" s="1195">
        <f t="shared" si="18"/>
        <v>-5.5999999999999999E-3</v>
      </c>
      <c r="AA65" s="1281"/>
      <c r="AB65" s="1281"/>
      <c r="AC65" s="1281"/>
      <c r="AD65" s="1281"/>
      <c r="AE65" s="1281"/>
      <c r="AF65" s="1281"/>
      <c r="AG65" s="1281"/>
      <c r="AH65" s="1281"/>
      <c r="AI65" s="1281"/>
      <c r="AJ65" s="1281"/>
      <c r="AK65" s="1281"/>
    </row>
    <row r="66" spans="1:37" s="1280" customFormat="1" ht="25.5">
      <c r="A66" s="2329" t="s">
        <v>2776</v>
      </c>
      <c r="B66" s="1494" t="str">
        <f>估价对象房地状况!C22</f>
        <v>估价对象所在区域基础设施水平-七通</v>
      </c>
      <c r="C66" s="2234" t="s">
        <v>3095</v>
      </c>
      <c r="D66" s="1196">
        <f t="shared" si="14"/>
        <v>1.14E-2</v>
      </c>
      <c r="E66" s="761"/>
      <c r="F66" s="2000"/>
      <c r="G66" s="1194">
        <v>5.7000000000000002E-3</v>
      </c>
      <c r="H66" s="1198">
        <f t="shared" si="15"/>
        <v>5.7000000000000002E-3</v>
      </c>
      <c r="I66" s="759">
        <v>0.12</v>
      </c>
      <c r="J66" s="1195">
        <f t="shared" si="16"/>
        <v>1.14E-2</v>
      </c>
      <c r="K66" s="1195">
        <f t="shared" si="17"/>
        <v>5.7000000000000002E-3</v>
      </c>
      <c r="L66" s="1195">
        <v>0</v>
      </c>
      <c r="M66" s="1195">
        <f t="shared" si="18"/>
        <v>-5.7000000000000002E-3</v>
      </c>
      <c r="N66" s="1195">
        <f t="shared" si="18"/>
        <v>-1.14E-2</v>
      </c>
      <c r="AA66" s="1281"/>
      <c r="AB66" s="1281"/>
      <c r="AC66" s="1281"/>
      <c r="AD66" s="1281"/>
      <c r="AE66" s="1281"/>
      <c r="AF66" s="1281"/>
      <c r="AG66" s="1281"/>
      <c r="AH66" s="1281"/>
      <c r="AI66" s="1281"/>
      <c r="AJ66" s="1281"/>
      <c r="AK66" s="1281"/>
    </row>
    <row r="67" spans="1:37" s="1280" customFormat="1" ht="39" thickBot="1">
      <c r="A67" s="2337" t="s">
        <v>2777</v>
      </c>
      <c r="B67" s="2339" t="str">
        <f>估价对象房地状况!C20</f>
        <v>周边有隆福寺广场、东四清真寺等，自然及人文环境较好</v>
      </c>
      <c r="C67" s="2234" t="s">
        <v>3094</v>
      </c>
      <c r="D67" s="1196">
        <f t="shared" si="14"/>
        <v>2.8E-3</v>
      </c>
      <c r="E67" s="764"/>
      <c r="F67" s="2000"/>
      <c r="G67" s="1194">
        <v>2.8E-3</v>
      </c>
      <c r="H67" s="1198">
        <f t="shared" si="15"/>
        <v>2.8E-3</v>
      </c>
      <c r="I67" s="763">
        <v>0.06</v>
      </c>
      <c r="J67" s="1195">
        <f t="shared" si="16"/>
        <v>5.5999999999999999E-3</v>
      </c>
      <c r="K67" s="1195">
        <f t="shared" si="17"/>
        <v>2.8E-3</v>
      </c>
      <c r="L67" s="1195">
        <v>0</v>
      </c>
      <c r="M67" s="1195">
        <f t="shared" si="18"/>
        <v>-2.8E-3</v>
      </c>
      <c r="N67" s="1195">
        <f t="shared" si="18"/>
        <v>-5.5999999999999999E-3</v>
      </c>
      <c r="AA67" s="1281"/>
      <c r="AB67" s="1281"/>
      <c r="AC67" s="1281"/>
      <c r="AD67" s="1281"/>
      <c r="AE67" s="1281"/>
      <c r="AF67" s="1281"/>
      <c r="AG67" s="1281"/>
      <c r="AH67" s="1281"/>
      <c r="AI67" s="1281"/>
      <c r="AJ67" s="1281"/>
      <c r="AK67" s="1281"/>
    </row>
    <row r="68" spans="1:37" s="1280" customFormat="1" ht="15">
      <c r="A68" s="2325" t="s">
        <v>2781</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2759</v>
      </c>
      <c r="B69" s="1535"/>
      <c r="C69" s="1535" t="s">
        <v>2761</v>
      </c>
      <c r="D69" s="1535" t="s">
        <v>2762</v>
      </c>
      <c r="E69" s="758" t="s">
        <v>2763</v>
      </c>
      <c r="F69" s="2330" t="s">
        <v>2779</v>
      </c>
      <c r="G69" s="1535" t="s">
        <v>754</v>
      </c>
      <c r="H69" s="2331" t="s">
        <v>2765</v>
      </c>
      <c r="I69" s="1535" t="s">
        <v>2766</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c r="A70" s="2329" t="s">
        <v>2782</v>
      </c>
      <c r="B70" s="2332" t="str">
        <f>估价对象房地状况!C15</f>
        <v>估价对象周边居住用地比例、居住小区规模和社区发展完善程度，综合评价居住社区成熟度一般</v>
      </c>
      <c r="C70" s="2234"/>
      <c r="D70" s="1196">
        <f t="shared" ref="D70:D78" si="19">SUMIF($J$69:$N$69,C70,J70:N70)</f>
        <v>0</v>
      </c>
      <c r="E70" s="760">
        <f>ROUND(SUM(D70:D78),4)</f>
        <v>0</v>
      </c>
      <c r="F70" s="2000" t="str">
        <f>IF(E2="住宅",SUMIF(L1:L12,G2,N1:N12),"——")</f>
        <v>——</v>
      </c>
      <c r="G70" s="1194"/>
      <c r="H70" s="1198" t="str">
        <f t="shared" ref="H70:H78" si="20">IFERROR(ROUNDDOWN($F$70*I70/2,4),"——")</f>
        <v>——</v>
      </c>
      <c r="I70" s="759">
        <v>0.14000000000000001</v>
      </c>
      <c r="J70" s="1195">
        <f t="shared" ref="J70:J78" si="21">K70+$G70</f>
        <v>0</v>
      </c>
      <c r="K70" s="1195">
        <f t="shared" ref="K70:K78" si="22">$L70+$G70</f>
        <v>0</v>
      </c>
      <c r="L70" s="1195">
        <v>0</v>
      </c>
      <c r="M70" s="1195">
        <f t="shared" ref="M70:N78" si="23">L70-$G70</f>
        <v>0</v>
      </c>
      <c r="N70" s="1195">
        <f t="shared" si="23"/>
        <v>0</v>
      </c>
      <c r="AA70" s="1281"/>
      <c r="AB70" s="1281"/>
      <c r="AC70" s="1281"/>
      <c r="AD70" s="1281"/>
      <c r="AE70" s="1281"/>
      <c r="AF70" s="1281"/>
      <c r="AG70" s="1281"/>
      <c r="AH70" s="1281"/>
      <c r="AI70" s="1281"/>
      <c r="AJ70" s="1281"/>
      <c r="AK70" s="1281"/>
    </row>
    <row r="71" spans="1:37" s="1280" customFormat="1" ht="127.5">
      <c r="A71" s="2329" t="s">
        <v>2768</v>
      </c>
      <c r="B71" s="2333" t="str">
        <f>估价对象房地状况!C18</f>
        <v>估价对象位于东四路口的东南角，紧临城市主干道-朝阳门内大街，西距东四南大街100米，距离地铁5号线（2007年通车）与6号线（2012年通车）东四站75米，多条公交线路通达，公共交通便利，停车便捷度好，综合评价交通便捷度较好。</v>
      </c>
      <c r="C71" s="2234"/>
      <c r="D71" s="1196">
        <f t="shared" si="19"/>
        <v>0</v>
      </c>
      <c r="E71" s="765"/>
      <c r="F71" s="2000"/>
      <c r="G71" s="1194"/>
      <c r="H71" s="1198" t="str">
        <f t="shared" si="20"/>
        <v>——</v>
      </c>
      <c r="I71" s="759">
        <v>0.3</v>
      </c>
      <c r="J71" s="1195">
        <f t="shared" si="21"/>
        <v>0</v>
      </c>
      <c r="K71" s="1195">
        <f t="shared" si="22"/>
        <v>0</v>
      </c>
      <c r="L71" s="1195">
        <v>0</v>
      </c>
      <c r="M71" s="1195">
        <f t="shared" si="23"/>
        <v>0</v>
      </c>
      <c r="N71" s="1195">
        <f t="shared" si="23"/>
        <v>0</v>
      </c>
      <c r="AA71" s="1281"/>
      <c r="AB71" s="1281"/>
      <c r="AC71" s="1281"/>
      <c r="AD71" s="1281"/>
      <c r="AE71" s="1281"/>
      <c r="AF71" s="1281"/>
      <c r="AG71" s="1281"/>
      <c r="AH71" s="1281"/>
      <c r="AI71" s="1281"/>
      <c r="AJ71" s="1281"/>
      <c r="AK71" s="1281"/>
    </row>
    <row r="72" spans="1:37" s="1280" customFormat="1" ht="24">
      <c r="A72" s="2329" t="s">
        <v>2769</v>
      </c>
      <c r="B72" s="2333">
        <f>估价对象房地状况!C19</f>
        <v>0</v>
      </c>
      <c r="C72" s="2234"/>
      <c r="D72" s="1196">
        <f t="shared" si="19"/>
        <v>0</v>
      </c>
      <c r="E72" s="765"/>
      <c r="F72" s="2000"/>
      <c r="G72" s="1194"/>
      <c r="H72" s="1198" t="str">
        <f t="shared" si="20"/>
        <v>——</v>
      </c>
      <c r="I72" s="759">
        <v>0.08</v>
      </c>
      <c r="J72" s="1195">
        <f t="shared" si="21"/>
        <v>0</v>
      </c>
      <c r="K72" s="1195">
        <f t="shared" si="22"/>
        <v>0</v>
      </c>
      <c r="L72" s="1195">
        <v>0</v>
      </c>
      <c r="M72" s="1195">
        <f t="shared" si="23"/>
        <v>0</v>
      </c>
      <c r="N72" s="1195">
        <f t="shared" si="23"/>
        <v>0</v>
      </c>
      <c r="AA72" s="1281"/>
      <c r="AB72" s="1281"/>
      <c r="AC72" s="1281"/>
      <c r="AD72" s="1281"/>
      <c r="AE72" s="1281"/>
      <c r="AF72" s="1281"/>
      <c r="AG72" s="1281"/>
      <c r="AH72" s="1281"/>
      <c r="AI72" s="1281"/>
      <c r="AJ72" s="1281"/>
      <c r="AK72" s="1281"/>
    </row>
    <row r="73" spans="1:37" s="1280" customFormat="1" ht="14.25">
      <c r="A73" s="2329" t="s">
        <v>2783</v>
      </c>
      <c r="B73" s="2333" t="str">
        <f>估价对象房地状况!C24</f>
        <v>城市主干道-朝阳门内大街</v>
      </c>
      <c r="C73" s="2234"/>
      <c r="D73" s="1196">
        <f t="shared" si="19"/>
        <v>0</v>
      </c>
      <c r="E73" s="765"/>
      <c r="F73" s="2000"/>
      <c r="G73" s="1194"/>
      <c r="H73" s="1198" t="str">
        <f t="shared" si="20"/>
        <v>——</v>
      </c>
      <c r="I73" s="759">
        <v>0.04</v>
      </c>
      <c r="J73" s="1195">
        <f t="shared" si="21"/>
        <v>0</v>
      </c>
      <c r="K73" s="1195">
        <f t="shared" si="22"/>
        <v>0</v>
      </c>
      <c r="L73" s="1195">
        <v>0</v>
      </c>
      <c r="M73" s="1195">
        <f t="shared" si="23"/>
        <v>0</v>
      </c>
      <c r="N73" s="1195">
        <f t="shared" si="23"/>
        <v>0</v>
      </c>
      <c r="AA73" s="1281"/>
      <c r="AB73" s="1281"/>
      <c r="AC73" s="1281"/>
      <c r="AD73" s="1281"/>
      <c r="AE73" s="1281"/>
      <c r="AF73" s="1281"/>
      <c r="AG73" s="1281"/>
      <c r="AH73" s="1281"/>
      <c r="AI73" s="1281"/>
      <c r="AJ73" s="1281"/>
      <c r="AK73" s="1281"/>
    </row>
    <row r="74" spans="1:37" s="1280" customFormat="1" ht="165.75">
      <c r="A74" s="2329" t="s">
        <v>2775</v>
      </c>
      <c r="B74" s="1494" t="str">
        <f>估价对象房地状况!C21</f>
        <v>估价对象所在区域有购物场所（隆福广场、物美超市等），教育机构（灯市口小学、北京市第一六六中学），医疗网点（北京市东城区口腔医院、北京市东城区朝阳门社区卫生服务中心），金融网点（中国邮政储蓄银行、中国工商银行、北京农商银行、广发银行），综合分析，公共配套设施齐备程度较好。</v>
      </c>
      <c r="C74" s="2234"/>
      <c r="D74" s="1196">
        <f t="shared" si="19"/>
        <v>0</v>
      </c>
      <c r="E74" s="765"/>
      <c r="F74" s="2000"/>
      <c r="G74" s="1194"/>
      <c r="H74" s="1198" t="str">
        <f t="shared" si="20"/>
        <v>——</v>
      </c>
      <c r="I74" s="759">
        <v>0.08</v>
      </c>
      <c r="J74" s="1195">
        <f t="shared" si="21"/>
        <v>0</v>
      </c>
      <c r="K74" s="1195">
        <f t="shared" si="22"/>
        <v>0</v>
      </c>
      <c r="L74" s="1195">
        <v>0</v>
      </c>
      <c r="M74" s="1195">
        <f t="shared" si="23"/>
        <v>0</v>
      </c>
      <c r="N74" s="1195">
        <f t="shared" si="23"/>
        <v>0</v>
      </c>
      <c r="AA74" s="1281"/>
      <c r="AB74" s="1281"/>
      <c r="AC74" s="1281"/>
      <c r="AD74" s="1281"/>
      <c r="AE74" s="1281"/>
      <c r="AF74" s="1281"/>
      <c r="AG74" s="1281"/>
      <c r="AH74" s="1281"/>
      <c r="AI74" s="1281"/>
      <c r="AJ74" s="1281"/>
      <c r="AK74" s="1281"/>
    </row>
    <row r="75" spans="1:37" s="1280" customFormat="1" ht="25.5">
      <c r="A75" s="2329" t="s">
        <v>2776</v>
      </c>
      <c r="B75" s="1494" t="str">
        <f>估价对象房地状况!C22</f>
        <v>估价对象所在区域基础设施水平-七通</v>
      </c>
      <c r="C75" s="2234"/>
      <c r="D75" s="1196">
        <f t="shared" si="19"/>
        <v>0</v>
      </c>
      <c r="E75" s="765"/>
      <c r="F75" s="2000"/>
      <c r="G75" s="1194"/>
      <c r="H75" s="1198" t="str">
        <f t="shared" si="20"/>
        <v>——</v>
      </c>
      <c r="I75" s="759">
        <v>0.12</v>
      </c>
      <c r="J75" s="1195">
        <f t="shared" si="21"/>
        <v>0</v>
      </c>
      <c r="K75" s="1195">
        <f t="shared" si="22"/>
        <v>0</v>
      </c>
      <c r="L75" s="1195">
        <v>0</v>
      </c>
      <c r="M75" s="1195">
        <f t="shared" si="23"/>
        <v>0</v>
      </c>
      <c r="N75" s="1195">
        <f t="shared" si="23"/>
        <v>0</v>
      </c>
      <c r="AA75" s="1281"/>
      <c r="AB75" s="1281"/>
      <c r="AC75" s="1281"/>
      <c r="AD75" s="1281"/>
      <c r="AE75" s="1281"/>
      <c r="AF75" s="1281"/>
      <c r="AG75" s="1281"/>
      <c r="AH75" s="1281"/>
      <c r="AI75" s="1281"/>
      <c r="AJ75" s="1281"/>
      <c r="AK75" s="1281"/>
    </row>
    <row r="76" spans="1:37" s="2183" customFormat="1" ht="24">
      <c r="A76" s="2329" t="s">
        <v>2773</v>
      </c>
      <c r="B76" s="2335" t="s">
        <v>2774</v>
      </c>
      <c r="C76" s="2234"/>
      <c r="D76" s="1196">
        <f t="shared" si="19"/>
        <v>0</v>
      </c>
      <c r="E76" s="765"/>
      <c r="F76" s="2000"/>
      <c r="G76" s="1194"/>
      <c r="H76" s="1198" t="str">
        <f t="shared" si="20"/>
        <v>——</v>
      </c>
      <c r="I76" s="759">
        <v>0.05</v>
      </c>
      <c r="J76" s="1195">
        <f t="shared" si="21"/>
        <v>0</v>
      </c>
      <c r="K76" s="1195">
        <f t="shared" si="22"/>
        <v>0</v>
      </c>
      <c r="L76" s="1195">
        <v>0</v>
      </c>
      <c r="M76" s="1195">
        <f t="shared" si="23"/>
        <v>0</v>
      </c>
      <c r="N76" s="1195">
        <f t="shared" si="23"/>
        <v>0</v>
      </c>
      <c r="AA76" s="2340"/>
      <c r="AB76" s="1281"/>
      <c r="AC76" s="1281"/>
      <c r="AD76" s="1281"/>
      <c r="AE76" s="1281"/>
      <c r="AF76" s="1281"/>
      <c r="AG76" s="1281"/>
      <c r="AH76" s="2340"/>
      <c r="AI76" s="2340"/>
      <c r="AJ76" s="2340"/>
      <c r="AK76" s="2340"/>
    </row>
    <row r="77" spans="1:37" ht="38.25">
      <c r="A77" s="2329" t="s">
        <v>2777</v>
      </c>
      <c r="B77" s="2332" t="str">
        <f>估价对象房地状况!C20</f>
        <v>周边有隆福寺广场、东四清真寺等，自然及人文环境较好</v>
      </c>
      <c r="C77" s="2234"/>
      <c r="D77" s="1196">
        <f t="shared" si="19"/>
        <v>0</v>
      </c>
      <c r="E77" s="765"/>
      <c r="F77" s="2000"/>
      <c r="G77" s="1194"/>
      <c r="H77" s="1198" t="str">
        <f t="shared" si="20"/>
        <v>——</v>
      </c>
      <c r="I77" s="759">
        <v>0.15</v>
      </c>
      <c r="J77" s="1195">
        <f t="shared" si="21"/>
        <v>0</v>
      </c>
      <c r="K77" s="1195">
        <f t="shared" si="22"/>
        <v>0</v>
      </c>
      <c r="L77" s="1195">
        <v>0</v>
      </c>
      <c r="M77" s="1195">
        <f t="shared" si="23"/>
        <v>0</v>
      </c>
      <c r="N77" s="1195">
        <f t="shared" si="23"/>
        <v>0</v>
      </c>
      <c r="Z77" s="2184"/>
      <c r="AA77" s="2250"/>
      <c r="AG77" s="1282"/>
      <c r="AK77" s="2250"/>
    </row>
    <row r="78" spans="1:37" ht="24.75" thickBot="1">
      <c r="A78" s="2337" t="s">
        <v>2784</v>
      </c>
      <c r="B78" s="2341"/>
      <c r="C78" s="2234"/>
      <c r="D78" s="1196">
        <f t="shared" si="19"/>
        <v>0</v>
      </c>
      <c r="E78" s="766"/>
      <c r="F78" s="2000"/>
      <c r="G78" s="1194"/>
      <c r="H78" s="1198" t="str">
        <f t="shared" si="20"/>
        <v>——</v>
      </c>
      <c r="I78" s="763">
        <v>0.04</v>
      </c>
      <c r="J78" s="1195">
        <f t="shared" si="21"/>
        <v>0</v>
      </c>
      <c r="K78" s="1195">
        <f t="shared" si="22"/>
        <v>0</v>
      </c>
      <c r="L78" s="1195">
        <v>0</v>
      </c>
      <c r="M78" s="1195">
        <f t="shared" si="23"/>
        <v>0</v>
      </c>
      <c r="N78" s="1195">
        <f t="shared" si="23"/>
        <v>0</v>
      </c>
      <c r="Z78" s="2184"/>
      <c r="AA78" s="2250"/>
      <c r="AG78" s="1282"/>
      <c r="AK78" s="2250"/>
    </row>
    <row r="79" spans="1:37" ht="15">
      <c r="A79" s="2325" t="s">
        <v>2785</v>
      </c>
      <c r="B79" s="2326">
        <f>1+E81</f>
        <v>1</v>
      </c>
      <c r="C79" s="753"/>
      <c r="D79" s="753"/>
      <c r="E79" s="754"/>
      <c r="F79" s="2328"/>
      <c r="G79" s="6"/>
      <c r="H79" s="6"/>
      <c r="I79" s="6"/>
      <c r="J79" s="7"/>
      <c r="K79" s="7"/>
      <c r="L79" s="7"/>
      <c r="M79" s="7"/>
      <c r="N79" s="7"/>
      <c r="Z79" s="2184"/>
      <c r="AA79" s="2250"/>
      <c r="AG79" s="1282"/>
      <c r="AK79" s="2250"/>
    </row>
    <row r="80" spans="1:37" ht="24.75">
      <c r="A80" s="2329" t="s">
        <v>2759</v>
      </c>
      <c r="B80" s="1535"/>
      <c r="C80" s="1535" t="s">
        <v>2761</v>
      </c>
      <c r="D80" s="1535" t="s">
        <v>2762</v>
      </c>
      <c r="E80" s="758" t="s">
        <v>2763</v>
      </c>
      <c r="F80" s="2330" t="s">
        <v>2779</v>
      </c>
      <c r="G80" s="1535" t="s">
        <v>754</v>
      </c>
      <c r="H80" s="2331" t="s">
        <v>2765</v>
      </c>
      <c r="I80" s="1535" t="s">
        <v>2766</v>
      </c>
      <c r="J80" s="560" t="s">
        <v>2418</v>
      </c>
      <c r="K80" s="560" t="s">
        <v>2419</v>
      </c>
      <c r="L80" s="560" t="s">
        <v>2420</v>
      </c>
      <c r="M80" s="560" t="s">
        <v>2421</v>
      </c>
      <c r="N80" s="560" t="s">
        <v>2422</v>
      </c>
      <c r="Z80" s="2184"/>
      <c r="AA80" s="2250"/>
      <c r="AG80" s="1282"/>
      <c r="AK80" s="2250"/>
    </row>
    <row r="81" spans="1:37" ht="38.25">
      <c r="A81" s="2329" t="s">
        <v>2786</v>
      </c>
      <c r="B81" s="2333" t="str">
        <f>估价对象房地状况!G15</f>
        <v>估价对象位于XX开发区，园区建设成熟度XX，产业集聚程度XX</v>
      </c>
      <c r="C81" s="2234"/>
      <c r="D81" s="1196">
        <f t="shared" ref="D81:D88" si="24">SUMIF($J$80:$N$80,C81,J81:N81)</f>
        <v>0</v>
      </c>
      <c r="E81" s="760">
        <f>ROUND(SUM(D81:D88),4)</f>
        <v>0</v>
      </c>
      <c r="F81" s="2000" t="str">
        <f>IF(E2="工业",SUMIF(L1:L12,G2,N1:N12),"——")</f>
        <v>——</v>
      </c>
      <c r="G81" s="1194"/>
      <c r="H81" s="1198" t="str">
        <f t="shared" ref="H81:H88" si="25">IFERROR(ROUNDDOWN($F$81*I81/2,4),"——")</f>
        <v>——</v>
      </c>
      <c r="I81" s="759">
        <v>0.26</v>
      </c>
      <c r="J81" s="1195">
        <f t="shared" ref="J81:J88" si="26">K81+$G81</f>
        <v>0</v>
      </c>
      <c r="K81" s="1195">
        <f t="shared" ref="K81:K88" si="27">$L81+$G81</f>
        <v>0</v>
      </c>
      <c r="L81" s="1195">
        <v>0</v>
      </c>
      <c r="M81" s="1195">
        <f t="shared" ref="M81:N88" si="28">L81-$G81</f>
        <v>0</v>
      </c>
      <c r="N81" s="1195">
        <f t="shared" si="28"/>
        <v>0</v>
      </c>
      <c r="Z81" s="2184"/>
      <c r="AA81" s="2250"/>
      <c r="AG81" s="1282"/>
      <c r="AK81" s="2250"/>
    </row>
    <row r="82" spans="1:37" ht="51">
      <c r="A82" s="2329" t="s">
        <v>2768</v>
      </c>
      <c r="B82" s="2333" t="str">
        <f>估价对象房地状况!G16</f>
        <v>估价对象周边道路状况、公共交通通达情况、停车便捷程度，综合评价交通便捷度较好</v>
      </c>
      <c r="C82" s="2234"/>
      <c r="D82" s="1196">
        <f t="shared" si="24"/>
        <v>0</v>
      </c>
      <c r="E82" s="765"/>
      <c r="F82" s="2000"/>
      <c r="G82" s="1194"/>
      <c r="H82" s="1198" t="str">
        <f t="shared" si="25"/>
        <v>——</v>
      </c>
      <c r="I82" s="759">
        <v>0.33</v>
      </c>
      <c r="J82" s="1195">
        <f t="shared" si="26"/>
        <v>0</v>
      </c>
      <c r="K82" s="1195">
        <f t="shared" si="27"/>
        <v>0</v>
      </c>
      <c r="L82" s="1195">
        <v>0</v>
      </c>
      <c r="M82" s="1195">
        <f t="shared" si="28"/>
        <v>0</v>
      </c>
      <c r="N82" s="1195">
        <f t="shared" si="28"/>
        <v>0</v>
      </c>
      <c r="Z82" s="2184"/>
      <c r="AA82" s="2250"/>
      <c r="AG82" s="1282"/>
      <c r="AK82" s="2250"/>
    </row>
    <row r="83" spans="1:37" ht="24">
      <c r="A83" s="2329" t="s">
        <v>2769</v>
      </c>
      <c r="B83" s="2333">
        <f>估价对象房地状况!G17</f>
        <v>0</v>
      </c>
      <c r="C83" s="2234"/>
      <c r="D83" s="1196">
        <f t="shared" si="24"/>
        <v>0</v>
      </c>
      <c r="E83" s="765"/>
      <c r="F83" s="2000"/>
      <c r="G83" s="1194"/>
      <c r="H83" s="1198" t="str">
        <f t="shared" si="25"/>
        <v>——</v>
      </c>
      <c r="I83" s="759">
        <v>0.05</v>
      </c>
      <c r="J83" s="1195">
        <f t="shared" si="26"/>
        <v>0</v>
      </c>
      <c r="K83" s="1195">
        <f t="shared" si="27"/>
        <v>0</v>
      </c>
      <c r="L83" s="1195">
        <v>0</v>
      </c>
      <c r="M83" s="1195">
        <f t="shared" si="28"/>
        <v>0</v>
      </c>
      <c r="N83" s="1195">
        <f t="shared" si="28"/>
        <v>0</v>
      </c>
      <c r="Z83" s="2184"/>
      <c r="AA83" s="2250"/>
      <c r="AG83" s="1282"/>
      <c r="AK83" s="2250"/>
    </row>
    <row r="84" spans="1:37" ht="14.25">
      <c r="A84" s="2329" t="s">
        <v>2783</v>
      </c>
      <c r="B84" s="2333">
        <f>估价对象房地状况!G22</f>
        <v>0</v>
      </c>
      <c r="C84" s="2234"/>
      <c r="D84" s="1196">
        <f t="shared" si="24"/>
        <v>0</v>
      </c>
      <c r="E84" s="765"/>
      <c r="F84" s="2000"/>
      <c r="G84" s="1194"/>
      <c r="H84" s="1198" t="str">
        <f t="shared" si="25"/>
        <v>——</v>
      </c>
      <c r="I84" s="759">
        <v>0.04</v>
      </c>
      <c r="J84" s="1195">
        <f t="shared" si="26"/>
        <v>0</v>
      </c>
      <c r="K84" s="1195">
        <f t="shared" si="27"/>
        <v>0</v>
      </c>
      <c r="L84" s="1195">
        <v>0</v>
      </c>
      <c r="M84" s="1195">
        <f t="shared" si="28"/>
        <v>0</v>
      </c>
      <c r="N84" s="1195">
        <f t="shared" si="28"/>
        <v>0</v>
      </c>
      <c r="Z84" s="2184"/>
      <c r="AA84" s="2250"/>
      <c r="AG84" s="1282"/>
      <c r="AK84" s="2250"/>
    </row>
    <row r="85" spans="1:37" ht="25.5">
      <c r="A85" s="2329" t="s">
        <v>2775</v>
      </c>
      <c r="B85" s="1494" t="str">
        <f>估价对象房地状况!G19</f>
        <v>估价对象所在区域公共配套设施齐备情况</v>
      </c>
      <c r="C85" s="2234"/>
      <c r="D85" s="1196">
        <f t="shared" si="24"/>
        <v>0</v>
      </c>
      <c r="E85" s="765"/>
      <c r="F85" s="2000"/>
      <c r="G85" s="1194"/>
      <c r="H85" s="1198" t="str">
        <f t="shared" si="25"/>
        <v>——</v>
      </c>
      <c r="I85" s="759">
        <v>0.06</v>
      </c>
      <c r="J85" s="1195">
        <f t="shared" si="26"/>
        <v>0</v>
      </c>
      <c r="K85" s="1195">
        <f t="shared" si="27"/>
        <v>0</v>
      </c>
      <c r="L85" s="1195">
        <v>0</v>
      </c>
      <c r="M85" s="1195">
        <f t="shared" si="28"/>
        <v>0</v>
      </c>
      <c r="N85" s="1195">
        <f t="shared" si="28"/>
        <v>0</v>
      </c>
      <c r="Z85" s="2184"/>
      <c r="AA85" s="2250"/>
      <c r="AG85" s="1282"/>
      <c r="AK85" s="2250"/>
    </row>
    <row r="86" spans="1:37" ht="25.5">
      <c r="A86" s="2329" t="s">
        <v>2776</v>
      </c>
      <c r="B86" s="1494" t="str">
        <f>估价对象房地状况!G20</f>
        <v>估价对象所在区域基础设施水平</v>
      </c>
      <c r="C86" s="2234"/>
      <c r="D86" s="1196">
        <f t="shared" si="24"/>
        <v>0</v>
      </c>
      <c r="E86" s="765"/>
      <c r="F86" s="2000"/>
      <c r="G86" s="1194"/>
      <c r="H86" s="1198" t="str">
        <f t="shared" si="25"/>
        <v>——</v>
      </c>
      <c r="I86" s="759">
        <v>0.15</v>
      </c>
      <c r="J86" s="1195">
        <f t="shared" si="26"/>
        <v>0</v>
      </c>
      <c r="K86" s="1195">
        <f t="shared" si="27"/>
        <v>0</v>
      </c>
      <c r="L86" s="1195">
        <v>0</v>
      </c>
      <c r="M86" s="1195">
        <f t="shared" si="28"/>
        <v>0</v>
      </c>
      <c r="N86" s="1195">
        <f t="shared" si="28"/>
        <v>0</v>
      </c>
      <c r="Z86" s="2184"/>
      <c r="AA86" s="2250"/>
      <c r="AG86" s="1282"/>
      <c r="AK86" s="2250"/>
    </row>
    <row r="87" spans="1:37" ht="24">
      <c r="A87" s="2329" t="s">
        <v>2773</v>
      </c>
      <c r="B87" s="2335" t="s">
        <v>2787</v>
      </c>
      <c r="C87" s="2234"/>
      <c r="D87" s="1196">
        <f t="shared" si="24"/>
        <v>0</v>
      </c>
      <c r="E87" s="765"/>
      <c r="F87" s="2000"/>
      <c r="G87" s="1194"/>
      <c r="H87" s="1198" t="str">
        <f t="shared" si="25"/>
        <v>——</v>
      </c>
      <c r="I87" s="759">
        <v>0.05</v>
      </c>
      <c r="J87" s="1195">
        <f t="shared" si="26"/>
        <v>0</v>
      </c>
      <c r="K87" s="1195">
        <f t="shared" si="27"/>
        <v>0</v>
      </c>
      <c r="L87" s="1195">
        <v>0</v>
      </c>
      <c r="M87" s="1195">
        <f t="shared" si="28"/>
        <v>0</v>
      </c>
      <c r="N87" s="1195">
        <f t="shared" si="28"/>
        <v>0</v>
      </c>
      <c r="Z87" s="2184"/>
      <c r="AA87" s="2250"/>
      <c r="AG87" s="1282"/>
      <c r="AK87" s="2250"/>
    </row>
    <row r="88" spans="1:37" ht="39" thickBot="1">
      <c r="A88" s="2337" t="s">
        <v>2788</v>
      </c>
      <c r="B88" s="2342" t="str">
        <f>估价对象房地状况!G18</f>
        <v>该园区内是否有污染型企业，绿化情况，卫生条件，整体环境状况判断</v>
      </c>
      <c r="C88" s="2234"/>
      <c r="D88" s="1196">
        <f t="shared" si="24"/>
        <v>0</v>
      </c>
      <c r="E88" s="766"/>
      <c r="F88" s="2000"/>
      <c r="G88" s="1194"/>
      <c r="H88" s="1198" t="str">
        <f t="shared" si="25"/>
        <v>——</v>
      </c>
      <c r="I88" s="763">
        <v>0.06</v>
      </c>
      <c r="J88" s="1195">
        <f t="shared" si="26"/>
        <v>0</v>
      </c>
      <c r="K88" s="1195">
        <f t="shared" si="27"/>
        <v>0</v>
      </c>
      <c r="L88" s="1195">
        <v>0</v>
      </c>
      <c r="M88" s="1195">
        <f t="shared" si="28"/>
        <v>0</v>
      </c>
      <c r="N88" s="1195">
        <f t="shared" si="28"/>
        <v>0</v>
      </c>
      <c r="Z88" s="2184"/>
      <c r="AA88" s="2250"/>
      <c r="AG88" s="1282"/>
      <c r="AK88" s="2250"/>
    </row>
    <row r="90" spans="1:37">
      <c r="A90" s="3821" t="s">
        <v>2789</v>
      </c>
      <c r="B90" s="3821"/>
      <c r="C90" s="3821"/>
      <c r="D90" s="3821"/>
      <c r="E90" s="3821"/>
      <c r="F90" s="3821"/>
      <c r="G90" s="3821"/>
      <c r="H90" s="3821"/>
      <c r="I90" s="3821"/>
      <c r="J90" s="3821"/>
      <c r="K90" s="2343"/>
      <c r="L90" s="2343"/>
      <c r="M90" s="2343"/>
      <c r="N90" s="2343"/>
    </row>
    <row r="91" spans="1:37">
      <c r="A91" s="3823" t="s">
        <v>2790</v>
      </c>
      <c r="B91" s="3823" t="s">
        <v>2791</v>
      </c>
      <c r="C91" s="2297" t="s">
        <v>2792</v>
      </c>
      <c r="D91" s="2298"/>
      <c r="E91" s="2298"/>
      <c r="F91" s="2298"/>
      <c r="G91" s="2298"/>
      <c r="H91" s="2298"/>
      <c r="I91" s="2298"/>
      <c r="J91" s="2344"/>
      <c r="K91" s="2345"/>
      <c r="L91" s="2345"/>
      <c r="M91" s="2345"/>
      <c r="N91" s="2345"/>
    </row>
    <row r="92" spans="1:37">
      <c r="A92" s="3823"/>
      <c r="B92" s="3823"/>
      <c r="C92" s="879" t="s">
        <v>2660</v>
      </c>
      <c r="D92" s="879" t="s">
        <v>2661</v>
      </c>
      <c r="E92" s="879" t="s">
        <v>2662</v>
      </c>
      <c r="F92" s="879" t="s">
        <v>2663</v>
      </c>
      <c r="G92" s="879" t="s">
        <v>2664</v>
      </c>
      <c r="H92" s="879" t="s">
        <v>2665</v>
      </c>
      <c r="I92" s="879" t="s">
        <v>2666</v>
      </c>
      <c r="J92" s="879" t="s">
        <v>2667</v>
      </c>
      <c r="K92" s="879" t="s">
        <v>2668</v>
      </c>
      <c r="L92" s="879" t="s">
        <v>2669</v>
      </c>
      <c r="M92" s="879" t="s">
        <v>2670</v>
      </c>
      <c r="N92" s="879" t="s">
        <v>2671</v>
      </c>
    </row>
    <row r="93" spans="1:37">
      <c r="A93" s="3824" t="s">
        <v>2793</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825"/>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825"/>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825"/>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825"/>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825"/>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825"/>
      <c r="B99" s="2346" t="s">
        <v>2676</v>
      </c>
      <c r="C99" s="2348">
        <f>$I$3</f>
        <v>0</v>
      </c>
      <c r="D99" s="2348">
        <f t="shared" ref="D99:M99" si="29">$I$3</f>
        <v>0</v>
      </c>
      <c r="E99" s="2348">
        <f t="shared" si="29"/>
        <v>0</v>
      </c>
      <c r="F99" s="2348">
        <f t="shared" si="29"/>
        <v>0</v>
      </c>
      <c r="G99" s="2348">
        <f t="shared" si="29"/>
        <v>0</v>
      </c>
      <c r="H99" s="2348">
        <f t="shared" si="29"/>
        <v>0</v>
      </c>
      <c r="I99" s="2348">
        <f t="shared" si="29"/>
        <v>0</v>
      </c>
      <c r="J99" s="2348">
        <f t="shared" si="29"/>
        <v>0</v>
      </c>
      <c r="K99" s="2348">
        <f t="shared" si="29"/>
        <v>0</v>
      </c>
      <c r="L99" s="2348">
        <f t="shared" si="29"/>
        <v>0</v>
      </c>
      <c r="M99" s="2348">
        <f t="shared" si="29"/>
        <v>0</v>
      </c>
      <c r="N99" s="2348">
        <f>$I$3</f>
        <v>0</v>
      </c>
    </row>
    <row r="100" spans="1:14">
      <c r="A100" s="3826"/>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824" t="s">
        <v>2794</v>
      </c>
      <c r="B101" s="2350" t="s">
        <v>2795</v>
      </c>
      <c r="C101" s="2351">
        <f>$G$3</f>
        <v>5.45</v>
      </c>
      <c r="D101" s="2351">
        <f t="shared" ref="D101:N101" si="30">$G$3</f>
        <v>5.45</v>
      </c>
      <c r="E101" s="2351">
        <f t="shared" si="30"/>
        <v>5.45</v>
      </c>
      <c r="F101" s="2351">
        <f t="shared" si="30"/>
        <v>5.45</v>
      </c>
      <c r="G101" s="2351">
        <f t="shared" si="30"/>
        <v>5.45</v>
      </c>
      <c r="H101" s="2351">
        <f t="shared" si="30"/>
        <v>5.45</v>
      </c>
      <c r="I101" s="2351">
        <f t="shared" si="30"/>
        <v>5.45</v>
      </c>
      <c r="J101" s="2351">
        <f t="shared" si="30"/>
        <v>5.45</v>
      </c>
      <c r="K101" s="2351">
        <f t="shared" si="30"/>
        <v>5.45</v>
      </c>
      <c r="L101" s="2351">
        <f t="shared" si="30"/>
        <v>5.45</v>
      </c>
      <c r="M101" s="2351">
        <f t="shared" si="30"/>
        <v>5.45</v>
      </c>
      <c r="N101" s="2351">
        <f t="shared" si="30"/>
        <v>5.45</v>
      </c>
    </row>
    <row r="102" spans="1:14">
      <c r="A102" s="3825"/>
      <c r="B102" s="2346">
        <v>1</v>
      </c>
      <c r="C102" s="2347">
        <f>1.9362/C101</f>
        <v>0.35526605504587155</v>
      </c>
      <c r="D102" s="2347">
        <f>1.9362/D101</f>
        <v>0.35526605504587155</v>
      </c>
      <c r="E102" s="2347">
        <f>1.8629/E101</f>
        <v>0.34181651376146788</v>
      </c>
      <c r="F102" s="2347">
        <f>1.8629/F101</f>
        <v>0.34181651376146788</v>
      </c>
      <c r="G102" s="2347">
        <f>1.8629/G101</f>
        <v>0.34181651376146788</v>
      </c>
      <c r="H102" s="2347">
        <f>1.8629/H101</f>
        <v>0.34181651376146788</v>
      </c>
      <c r="I102" s="2347">
        <f>1.8629/I101</f>
        <v>0.34181651376146788</v>
      </c>
      <c r="J102" s="2347">
        <f>1.942/J101</f>
        <v>0.35633027522935778</v>
      </c>
      <c r="K102" s="2347">
        <f>1.942/K101</f>
        <v>0.35633027522935778</v>
      </c>
      <c r="L102" s="2347">
        <f>1.942/L101</f>
        <v>0.35633027522935778</v>
      </c>
      <c r="M102" s="2347">
        <f>1.942/M101</f>
        <v>0.35633027522935778</v>
      </c>
      <c r="N102" s="2347">
        <f>1.942/N101</f>
        <v>0.35633027522935778</v>
      </c>
    </row>
    <row r="103" spans="1:14">
      <c r="A103" s="3825"/>
      <c r="B103" s="2346">
        <v>2</v>
      </c>
      <c r="C103" s="2347">
        <f>1.4198/C101</f>
        <v>0.2605137614678899</v>
      </c>
      <c r="D103" s="2347">
        <f>1.4198/D101</f>
        <v>0.2605137614678899</v>
      </c>
      <c r="E103" s="2347">
        <f>1.3372/E101</f>
        <v>0.24535779816513759</v>
      </c>
      <c r="F103" s="2347">
        <f>1.3372/F101</f>
        <v>0.24535779816513759</v>
      </c>
      <c r="G103" s="2347">
        <f>1.3372/G101</f>
        <v>0.24535779816513759</v>
      </c>
      <c r="H103" s="2347">
        <f>1.3372/H101</f>
        <v>0.24535779816513759</v>
      </c>
      <c r="I103" s="2347">
        <f>1.3372/I101</f>
        <v>0.24535779816513759</v>
      </c>
      <c r="J103" s="2347">
        <f>1.2799/J101</f>
        <v>0.23484403669724771</v>
      </c>
      <c r="K103" s="2347">
        <f>1.2799/K101</f>
        <v>0.23484403669724771</v>
      </c>
      <c r="L103" s="2347">
        <f>1.2799/L101</f>
        <v>0.23484403669724771</v>
      </c>
      <c r="M103" s="2347">
        <f>1.2799/M101</f>
        <v>0.23484403669724771</v>
      </c>
      <c r="N103" s="2347">
        <f>1.2799/N101</f>
        <v>0.23484403669724771</v>
      </c>
    </row>
    <row r="104" spans="1:14">
      <c r="A104" s="3825"/>
      <c r="B104" s="2346">
        <v>3</v>
      </c>
      <c r="C104" s="2347">
        <f>1.1594/C101</f>
        <v>0.21273394495412842</v>
      </c>
      <c r="D104" s="2347">
        <f>1.1594/D101</f>
        <v>0.21273394495412842</v>
      </c>
      <c r="E104" s="2347">
        <f>1.0788/E101</f>
        <v>0.19794495412844035</v>
      </c>
      <c r="F104" s="2347">
        <f>1.0788/F101</f>
        <v>0.19794495412844035</v>
      </c>
      <c r="G104" s="2347">
        <f>1.0788/G101</f>
        <v>0.19794495412844035</v>
      </c>
      <c r="H104" s="2347">
        <f>1.0788/H101</f>
        <v>0.19794495412844035</v>
      </c>
      <c r="I104" s="2347">
        <f>1.0788/I101</f>
        <v>0.19794495412844035</v>
      </c>
      <c r="J104" s="2347">
        <f>1.0072/J101</f>
        <v>0.18480733944954131</v>
      </c>
      <c r="K104" s="2347">
        <f>1.0072/K101</f>
        <v>0.18480733944954131</v>
      </c>
      <c r="L104" s="2347">
        <f>1.0072/L101</f>
        <v>0.18480733944954131</v>
      </c>
      <c r="M104" s="2347">
        <f>1.0072/M101</f>
        <v>0.18480733944954131</v>
      </c>
      <c r="N104" s="2347">
        <f>1.0072/N101</f>
        <v>0.18480733944954131</v>
      </c>
    </row>
    <row r="105" spans="1:14">
      <c r="A105" s="3825"/>
      <c r="B105" s="2346">
        <v>4</v>
      </c>
      <c r="C105" s="2347">
        <f>0.9622/C101</f>
        <v>0.17655045871559633</v>
      </c>
      <c r="D105" s="2347">
        <f>0.9622/D101</f>
        <v>0.17655045871559633</v>
      </c>
      <c r="E105" s="2347">
        <f>0.8656/E101</f>
        <v>0.15882568807339451</v>
      </c>
      <c r="F105" s="2347">
        <f>0.8656/F101</f>
        <v>0.15882568807339451</v>
      </c>
      <c r="G105" s="2347">
        <f>0.8656/G101</f>
        <v>0.15882568807339451</v>
      </c>
      <c r="H105" s="2347">
        <f>0.8656/H101</f>
        <v>0.15882568807339451</v>
      </c>
      <c r="I105" s="2347">
        <f>0.8656/I101</f>
        <v>0.15882568807339451</v>
      </c>
      <c r="J105" s="2347">
        <f>0.7525/J101</f>
        <v>0.13807339449541284</v>
      </c>
      <c r="K105" s="2347">
        <f>0.7525/K101</f>
        <v>0.13807339449541284</v>
      </c>
      <c r="L105" s="2347">
        <f>0.7525/L101</f>
        <v>0.13807339449541284</v>
      </c>
      <c r="M105" s="2347">
        <f>0.7525/M101</f>
        <v>0.13807339449541284</v>
      </c>
      <c r="N105" s="2347">
        <f>0.7525/N101</f>
        <v>0.13807339449541284</v>
      </c>
    </row>
    <row r="106" spans="1:14">
      <c r="A106" s="3825"/>
      <c r="B106" s="2346">
        <v>5</v>
      </c>
      <c r="C106" s="2347">
        <f>0.8417/C101</f>
        <v>0.15444036697247707</v>
      </c>
      <c r="D106" s="2347">
        <f>0.8417/D101</f>
        <v>0.15444036697247707</v>
      </c>
      <c r="E106" s="2347">
        <f>0.7371/E101</f>
        <v>0.13524770642201833</v>
      </c>
      <c r="F106" s="2347">
        <f>0.7371/F101</f>
        <v>0.13524770642201833</v>
      </c>
      <c r="G106" s="2347">
        <f>0.7371/G101</f>
        <v>0.13524770642201833</v>
      </c>
      <c r="H106" s="2347">
        <f>0.7371/H101</f>
        <v>0.13524770642201833</v>
      </c>
      <c r="I106" s="2347">
        <f>0.7371/I101</f>
        <v>0.13524770642201833</v>
      </c>
      <c r="J106" s="2347">
        <f>0.5659/J101</f>
        <v>0.10383486238532109</v>
      </c>
      <c r="K106" s="2347">
        <f>0.5659/K101</f>
        <v>0.10383486238532109</v>
      </c>
      <c r="L106" s="2347">
        <f>0.5659/L101</f>
        <v>0.10383486238532109</v>
      </c>
      <c r="M106" s="2347">
        <f>0.5659/M101</f>
        <v>0.10383486238532109</v>
      </c>
      <c r="N106" s="2347">
        <f>0.5659/N101</f>
        <v>0.10383486238532109</v>
      </c>
    </row>
    <row r="107" spans="1:14">
      <c r="A107" s="3825"/>
      <c r="B107" s="2346">
        <v>6</v>
      </c>
      <c r="C107" s="2347">
        <f>0.7608/C101</f>
        <v>0.13959633027522936</v>
      </c>
      <c r="D107" s="2347">
        <f>0.7608/D101</f>
        <v>0.13959633027522936</v>
      </c>
      <c r="E107" s="2347">
        <f>0.6482/E101</f>
        <v>0.11893577981651375</v>
      </c>
      <c r="F107" s="2347">
        <f>0.6482/F101</f>
        <v>0.11893577981651375</v>
      </c>
      <c r="G107" s="2347">
        <f>0.6482/G101</f>
        <v>0.11893577981651375</v>
      </c>
      <c r="H107" s="2347">
        <f>0.6482/H101</f>
        <v>0.11893577981651375</v>
      </c>
      <c r="I107" s="2347">
        <f>0.6482/I101</f>
        <v>0.11893577981651375</v>
      </c>
      <c r="J107" s="2347">
        <f>0.4525/J101</f>
        <v>8.3027522935779821E-2</v>
      </c>
      <c r="K107" s="2347">
        <f>0.4525/K101</f>
        <v>8.3027522935779821E-2</v>
      </c>
      <c r="L107" s="2347">
        <f>0.4525/L101</f>
        <v>8.3027522935779821E-2</v>
      </c>
      <c r="M107" s="2347">
        <f>0.4525/M101</f>
        <v>8.3027522935779821E-2</v>
      </c>
      <c r="N107" s="2347">
        <f>0.4525/N101</f>
        <v>8.3027522935779821E-2</v>
      </c>
    </row>
    <row r="108" spans="1:14">
      <c r="A108" s="3825"/>
      <c r="B108" s="3827" t="s">
        <v>2796</v>
      </c>
      <c r="C108" s="2348">
        <f>C99</f>
        <v>0</v>
      </c>
      <c r="D108" s="2348">
        <f t="shared" ref="D108:N108" si="31">D99</f>
        <v>0</v>
      </c>
      <c r="E108" s="2348">
        <f t="shared" si="31"/>
        <v>0</v>
      </c>
      <c r="F108" s="2348">
        <f t="shared" si="31"/>
        <v>0</v>
      </c>
      <c r="G108" s="2348">
        <f t="shared" si="31"/>
        <v>0</v>
      </c>
      <c r="H108" s="2348">
        <f t="shared" si="31"/>
        <v>0</v>
      </c>
      <c r="I108" s="2348">
        <f t="shared" si="31"/>
        <v>0</v>
      </c>
      <c r="J108" s="2348">
        <f t="shared" si="31"/>
        <v>0</v>
      </c>
      <c r="K108" s="2348">
        <f t="shared" si="31"/>
        <v>0</v>
      </c>
      <c r="L108" s="2348">
        <f t="shared" si="31"/>
        <v>0</v>
      </c>
      <c r="M108" s="2348">
        <f t="shared" si="31"/>
        <v>0</v>
      </c>
      <c r="N108" s="2348">
        <f t="shared" si="31"/>
        <v>0</v>
      </c>
    </row>
    <row r="109" spans="1:14">
      <c r="A109" s="3826"/>
      <c r="B109" s="3828"/>
      <c r="C109" s="2349">
        <f>(-0.163*(C108^2)-0.59*C108+7617)*(10^(-4))/C101</f>
        <v>0.13976146788990826</v>
      </c>
      <c r="D109" s="2349">
        <f>(-0.163*(D108^2)-0.59*D108+7617)*(10^(-4))/D101</f>
        <v>0.13976146788990826</v>
      </c>
      <c r="E109" s="2349">
        <f>(-0.161*(E108^2)-7.509*E108+6533)*(10^(-4))/E101</f>
        <v>0.11987155963302752</v>
      </c>
      <c r="F109" s="2349">
        <f>(-0.161*(F108^2)-7.509*F108+6533)*(10^(-4))/F101</f>
        <v>0.11987155963302752</v>
      </c>
      <c r="G109" s="2349">
        <f>(-0.161*(G108^2)-7.509*G108+6533)*(10^(-4))/G101</f>
        <v>0.11987155963302752</v>
      </c>
      <c r="H109" s="2349">
        <f>(-0.161*(H108^2)-7.509*H108+6533)*(10^(-4))/H101</f>
        <v>0.11987155963302752</v>
      </c>
      <c r="I109" s="2349">
        <f>(-0.161*(I108^2)-7.509*I108+6533)*(10^(-4))/I101</f>
        <v>0.11987155963302752</v>
      </c>
      <c r="J109" s="2349">
        <f>(-0.214*(J108^2)-21.991*J108+4665)*(10^(-4))/J101</f>
        <v>8.5596330275229365E-2</v>
      </c>
      <c r="K109" s="2349">
        <f>(-0.214*(K108^2)-21.991*K108+4665)*(10^(-4))/K101</f>
        <v>8.5596330275229365E-2</v>
      </c>
      <c r="L109" s="2349">
        <f>(-0.214*(L108^2)-21.991*L108+4665)*(10^(-4))/L101</f>
        <v>8.5596330275229365E-2</v>
      </c>
      <c r="M109" s="2349">
        <f>(-0.214*(M108^2)-21.991*M108+4665)*(10^(-4))/M101</f>
        <v>8.5596330275229365E-2</v>
      </c>
      <c r="N109" s="2349">
        <f>(-0.214*(N108^2)-21.991*N108+4665)*(10^(-4))/N101</f>
        <v>8.5596330275229365E-2</v>
      </c>
    </row>
    <row r="110" spans="1:14">
      <c r="A110" s="3822" t="s">
        <v>2797</v>
      </c>
      <c r="B110" s="3822"/>
      <c r="C110" s="3822"/>
      <c r="D110" s="3822"/>
      <c r="E110" s="3822"/>
      <c r="F110" s="3822"/>
      <c r="G110" s="3822"/>
      <c r="H110" s="3822"/>
      <c r="I110" s="3822"/>
      <c r="J110" s="3822"/>
      <c r="K110" s="2352"/>
      <c r="L110" s="2352"/>
      <c r="M110" s="2352"/>
      <c r="N110" s="2352"/>
    </row>
    <row r="112" spans="1:14" ht="13.5" thickBot="1"/>
    <row r="113" spans="1:13" ht="25.5" thickBot="1">
      <c r="A113" s="842" t="s">
        <v>2798</v>
      </c>
      <c r="B113" s="1197">
        <f>G3</f>
        <v>5.45</v>
      </c>
      <c r="C113" s="843" t="s">
        <v>2799</v>
      </c>
      <c r="D113" s="844">
        <f>SUMPRODUCT((A115:A118=F113)*(B114:M114=H113)*B115:M118)</f>
        <v>0.88360000000000005</v>
      </c>
      <c r="E113" s="2188" t="s">
        <v>2633</v>
      </c>
      <c r="F113" s="2354" t="str">
        <f>E2</f>
        <v>办公</v>
      </c>
      <c r="G113" s="2188" t="s">
        <v>2634</v>
      </c>
      <c r="H113" s="2354" t="str">
        <f>G2</f>
        <v>一级</v>
      </c>
      <c r="I113" s="2188"/>
      <c r="J113" s="2355"/>
      <c r="K113" s="2355"/>
      <c r="L113" s="2355"/>
      <c r="M113" s="2355"/>
    </row>
    <row r="114" spans="1:13">
      <c r="A114" s="847"/>
      <c r="B114" s="2356" t="s">
        <v>2800</v>
      </c>
      <c r="C114" s="2356" t="s">
        <v>2801</v>
      </c>
      <c r="D114" s="2356" t="s">
        <v>2802</v>
      </c>
      <c r="E114" s="2357" t="s">
        <v>2803</v>
      </c>
      <c r="F114" s="2357" t="s">
        <v>2804</v>
      </c>
      <c r="G114" s="2357" t="s">
        <v>2805</v>
      </c>
      <c r="H114" s="2358" t="s">
        <v>2806</v>
      </c>
      <c r="I114" s="2358" t="s">
        <v>2807</v>
      </c>
      <c r="J114" s="2359" t="s">
        <v>2808</v>
      </c>
      <c r="K114" s="2359" t="s">
        <v>2809</v>
      </c>
      <c r="L114" s="2359" t="s">
        <v>2810</v>
      </c>
      <c r="M114" s="2360" t="s">
        <v>2811</v>
      </c>
    </row>
    <row r="115" spans="1:13">
      <c r="A115" s="848" t="s">
        <v>2698</v>
      </c>
      <c r="B115" s="849">
        <f>ROUND(0.9335-0.0094*B113,4)</f>
        <v>0.88229999999999997</v>
      </c>
      <c r="C115" s="849">
        <f>B115</f>
        <v>0.88229999999999997</v>
      </c>
      <c r="D115" s="849">
        <f>ROUND(0.8331-0.0109*B113,4)</f>
        <v>0.77370000000000005</v>
      </c>
      <c r="E115" s="849">
        <f>D115</f>
        <v>0.77370000000000005</v>
      </c>
      <c r="F115" s="849">
        <f>E115</f>
        <v>0.77370000000000005</v>
      </c>
      <c r="G115" s="849">
        <f>F115</f>
        <v>0.77370000000000005</v>
      </c>
      <c r="H115" s="849">
        <f>G115</f>
        <v>0.77370000000000005</v>
      </c>
      <c r="I115" s="849">
        <f>ROUND(0.689-0.0155*B113,4)</f>
        <v>0.60450000000000004</v>
      </c>
      <c r="J115" s="849">
        <f t="shared" ref="J115:M118" si="32">I115</f>
        <v>0.60450000000000004</v>
      </c>
      <c r="K115" s="849">
        <f t="shared" si="32"/>
        <v>0.60450000000000004</v>
      </c>
      <c r="L115" s="849">
        <f t="shared" si="32"/>
        <v>0.60450000000000004</v>
      </c>
      <c r="M115" s="850">
        <f t="shared" si="32"/>
        <v>0.60450000000000004</v>
      </c>
    </row>
    <row r="116" spans="1:13">
      <c r="A116" s="848" t="s">
        <v>2699</v>
      </c>
      <c r="B116" s="849">
        <f>ROUND(0.949-0.012*B113,4)</f>
        <v>0.88360000000000005</v>
      </c>
      <c r="C116" s="849">
        <f>B116</f>
        <v>0.88360000000000005</v>
      </c>
      <c r="D116" s="849">
        <f>ROUND(0.8567-0.013*B113,4)</f>
        <v>0.78590000000000004</v>
      </c>
      <c r="E116" s="849">
        <f t="shared" ref="E116:H117" si="33">D116</f>
        <v>0.78590000000000004</v>
      </c>
      <c r="F116" s="849">
        <f t="shared" si="33"/>
        <v>0.78590000000000004</v>
      </c>
      <c r="G116" s="849">
        <f t="shared" si="33"/>
        <v>0.78590000000000004</v>
      </c>
      <c r="H116" s="849">
        <f t="shared" si="33"/>
        <v>0.78590000000000004</v>
      </c>
      <c r="I116" s="849">
        <f>ROUND(0.7694-0.014*B113,4)</f>
        <v>0.69310000000000005</v>
      </c>
      <c r="J116" s="849">
        <f t="shared" si="32"/>
        <v>0.69310000000000005</v>
      </c>
      <c r="K116" s="849">
        <f t="shared" si="32"/>
        <v>0.69310000000000005</v>
      </c>
      <c r="L116" s="849">
        <f t="shared" si="32"/>
        <v>0.69310000000000005</v>
      </c>
      <c r="M116" s="850">
        <f t="shared" si="32"/>
        <v>0.69310000000000005</v>
      </c>
    </row>
    <row r="117" spans="1:13">
      <c r="A117" s="848" t="s">
        <v>2700</v>
      </c>
      <c r="B117" s="849">
        <f>ROUND(0.8808-0.006*B113,4)</f>
        <v>0.84809999999999997</v>
      </c>
      <c r="C117" s="849">
        <f>B117</f>
        <v>0.84809999999999997</v>
      </c>
      <c r="D117" s="849">
        <f>ROUND(0.8748-0.008*B113,4)</f>
        <v>0.83120000000000005</v>
      </c>
      <c r="E117" s="849">
        <f t="shared" si="33"/>
        <v>0.83120000000000005</v>
      </c>
      <c r="F117" s="849">
        <f t="shared" si="33"/>
        <v>0.83120000000000005</v>
      </c>
      <c r="G117" s="849">
        <f t="shared" si="33"/>
        <v>0.83120000000000005</v>
      </c>
      <c r="H117" s="849">
        <f t="shared" si="33"/>
        <v>0.83120000000000005</v>
      </c>
      <c r="I117" s="849">
        <f>ROUND(0.7412-0.0095*B113,4)</f>
        <v>0.68940000000000001</v>
      </c>
      <c r="J117" s="849">
        <f t="shared" si="32"/>
        <v>0.68940000000000001</v>
      </c>
      <c r="K117" s="849">
        <f t="shared" si="32"/>
        <v>0.68940000000000001</v>
      </c>
      <c r="L117" s="849">
        <f t="shared" si="32"/>
        <v>0.68940000000000001</v>
      </c>
      <c r="M117" s="850">
        <f t="shared" si="32"/>
        <v>0.68940000000000001</v>
      </c>
    </row>
    <row r="118" spans="1:13" ht="13.5" thickBot="1">
      <c r="A118" s="670" t="s">
        <v>2701</v>
      </c>
      <c r="B118" s="851">
        <f>ROUND(0.7275-0.01*B113,4)</f>
        <v>0.67300000000000004</v>
      </c>
      <c r="C118" s="851">
        <f>B118</f>
        <v>0.67300000000000004</v>
      </c>
      <c r="D118" s="851">
        <f>ROUND(0.7043-0.012*B113,4)</f>
        <v>0.63890000000000002</v>
      </c>
      <c r="E118" s="851">
        <f>D118</f>
        <v>0.63890000000000002</v>
      </c>
      <c r="F118" s="851">
        <f>E118</f>
        <v>0.63890000000000002</v>
      </c>
      <c r="G118" s="851">
        <f>ROUND(0.6299-0.0122*B113,4)</f>
        <v>0.56340000000000001</v>
      </c>
      <c r="H118" s="851">
        <f>G118</f>
        <v>0.56340000000000001</v>
      </c>
      <c r="I118" s="851">
        <f>ROUND(0.5667-0.0136*B113,4)</f>
        <v>0.49259999999999998</v>
      </c>
      <c r="J118" s="851">
        <f t="shared" si="32"/>
        <v>0.49259999999999998</v>
      </c>
      <c r="K118" s="851">
        <f t="shared" si="32"/>
        <v>0.49259999999999998</v>
      </c>
      <c r="L118" s="851">
        <f t="shared" si="32"/>
        <v>0.49259999999999998</v>
      </c>
      <c r="M118" s="852">
        <f t="shared" si="32"/>
        <v>0.49259999999999998</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9" type="noConversion"/>
  <conditionalFormatting sqref="F48">
    <cfRule type="cellIs" dxfId="133" priority="5" stopIfTrue="1" operator="notEqual">
      <formula>"——"</formula>
    </cfRule>
  </conditionalFormatting>
  <conditionalFormatting sqref="F59">
    <cfRule type="cellIs" dxfId="132" priority="4" stopIfTrue="1" operator="notEqual">
      <formula>"——"</formula>
    </cfRule>
  </conditionalFormatting>
  <conditionalFormatting sqref="F70">
    <cfRule type="cellIs" dxfId="131" priority="3" stopIfTrue="1" operator="notEqual">
      <formula>"——"</formula>
    </cfRule>
  </conditionalFormatting>
  <conditionalFormatting sqref="F81">
    <cfRule type="cellIs" dxfId="130" priority="2" stopIfTrue="1" operator="notEqual">
      <formula>"——"</formula>
    </cfRule>
  </conditionalFormatting>
  <conditionalFormatting sqref="H48:H56 H59:H67 H70:H78 H81:H88">
    <cfRule type="cellIs" dxfId="129" priority="1" operator="notEqual">
      <formula>"——"</formula>
    </cfRule>
  </conditionalFormatting>
  <dataValidations count="11">
    <dataValidation type="list" allowBlank="1" showInputMessage="1" showErrorMessage="1" sqref="F14" xr:uid="{00000000-0002-0000-1F00-000000000000}">
      <formula1>"500米范围内,500-1000米,1000米以外"</formula1>
    </dataValidation>
    <dataValidation type="list" allowBlank="1" showInputMessage="1" showErrorMessage="1" sqref="C14:E14" xr:uid="{00000000-0002-0000-1F00-000001000000}">
      <formula1>"有,无"</formula1>
    </dataValidation>
    <dataValidation type="list" allowBlank="1" showInputMessage="1" showErrorMessage="1" sqref="B21" xr:uid="{00000000-0002-0000-1F00-000002000000}">
      <formula1>"容积率修正,楼层修正"</formula1>
    </dataValidation>
    <dataValidation type="list" allowBlank="1" showInputMessage="1" showErrorMessage="1" sqref="F17" xr:uid="{00000000-0002-0000-1F00-000003000000}">
      <formula1>"与级别开发程度一致,与级别开发程度不一致"</formula1>
    </dataValidation>
    <dataValidation type="list" allowBlank="1" showInputMessage="1" showErrorMessage="1" sqref="E2" xr:uid="{00000000-0002-0000-1F00-000004000000}">
      <formula1>"商业,办公,住宅,工业"</formula1>
    </dataValidation>
    <dataValidation type="list" allowBlank="1" showInputMessage="1" showErrorMessage="1" sqref="F3" xr:uid="{00000000-0002-0000-1F00-000005000000}">
      <formula1>"宗地容积率,估价对象容积率,自定义容积率"</formula1>
    </dataValidation>
    <dataValidation type="list" allowBlank="1" showInputMessage="1" showErrorMessage="1" sqref="C8" xr:uid="{00000000-0002-0000-1F00-000006000000}">
      <formula1>商业街名称</formula1>
    </dataValidation>
    <dataValidation type="list" allowBlank="1" showInputMessage="1" showErrorMessage="1" sqref="E3" xr:uid="{00000000-0002-0000-1F00-000007000000}">
      <formula1>二级分类</formula1>
    </dataValidation>
    <dataValidation type="list" allowBlank="1" showInputMessage="1" showErrorMessage="1" sqref="C81:C88 C70:C78 C48:C56 C59:C67" xr:uid="{00000000-0002-0000-1F00-000008000000}">
      <formula1>五等判定</formula1>
    </dataValidation>
    <dataValidation type="list" allowBlank="1" showInputMessage="1" showErrorMessage="1" sqref="H19" xr:uid="{00000000-0002-0000-1F00-000009000000}">
      <formula1>"地价指数,季度增幅（自定义）,按公示增长率计算"</formula1>
    </dataValidation>
    <dataValidation type="list" allowBlank="1" showInputMessage="1" showErrorMessage="1" sqref="H16:O16" xr:uid="{00000000-0002-0000-1F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2862</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SUM(J6:J10,J13)</f>
        <v>155</v>
      </c>
      <c r="K15" s="814">
        <f>SUM(K6:K10,K13)</f>
        <v>155</v>
      </c>
      <c r="L15" s="814">
        <f>SUM(L6:L10,L13)</f>
        <v>155</v>
      </c>
      <c r="M15" s="814">
        <f>SUM(M6:M10,M13)</f>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845" t="s">
        <v>183</v>
      </c>
      <c r="B18" s="821" t="s">
        <v>560</v>
      </c>
      <c r="C18" s="822" t="s">
        <v>561</v>
      </c>
      <c r="D18" s="823"/>
      <c r="E18" s="821">
        <v>1</v>
      </c>
      <c r="F18" s="824" t="s">
        <v>562</v>
      </c>
      <c r="G18" s="825"/>
      <c r="H18" s="817"/>
      <c r="I18" s="817"/>
    </row>
    <row r="19" spans="1:9" s="826" customFormat="1" ht="19.5" customHeight="1">
      <c r="A19" s="3845"/>
      <c r="B19" s="3845" t="s">
        <v>563</v>
      </c>
      <c r="C19" s="822" t="s">
        <v>564</v>
      </c>
      <c r="D19" s="823"/>
      <c r="E19" s="821">
        <v>0.9</v>
      </c>
      <c r="F19" s="824" t="s">
        <v>565</v>
      </c>
      <c r="G19" s="825"/>
      <c r="H19" s="817"/>
      <c r="I19" s="817"/>
    </row>
    <row r="20" spans="1:9" s="826" customFormat="1" ht="19.5" customHeight="1">
      <c r="A20" s="3845"/>
      <c r="B20" s="3845"/>
      <c r="C20" s="822" t="s">
        <v>566</v>
      </c>
      <c r="D20" s="823"/>
      <c r="E20" s="821">
        <v>1.1000000000000001</v>
      </c>
      <c r="F20" s="824" t="s">
        <v>567</v>
      </c>
      <c r="G20" s="825"/>
      <c r="H20" s="817"/>
      <c r="I20" s="817"/>
    </row>
    <row r="21" spans="1:9" s="826" customFormat="1" ht="19.5" customHeight="1">
      <c r="A21" s="3845"/>
      <c r="B21" s="3845"/>
      <c r="C21" s="822" t="s">
        <v>568</v>
      </c>
      <c r="D21" s="823"/>
      <c r="E21" s="821">
        <v>0.8</v>
      </c>
      <c r="F21" s="824" t="s">
        <v>569</v>
      </c>
      <c r="G21" s="825"/>
      <c r="H21" s="817"/>
      <c r="I21" s="817"/>
    </row>
    <row r="22" spans="1:9" s="826" customFormat="1" ht="19.5" customHeight="1">
      <c r="A22" s="3845"/>
      <c r="B22" s="3845"/>
      <c r="C22" s="822" t="s">
        <v>570</v>
      </c>
      <c r="D22" s="823"/>
      <c r="E22" s="821">
        <v>0.5</v>
      </c>
      <c r="F22" s="824"/>
      <c r="G22" s="825"/>
      <c r="H22" s="817"/>
      <c r="I22" s="817"/>
    </row>
    <row r="23" spans="1:9" s="826" customFormat="1" ht="19.5" customHeight="1">
      <c r="A23" s="3845" t="s">
        <v>184</v>
      </c>
      <c r="B23" s="821" t="s">
        <v>560</v>
      </c>
      <c r="C23" s="822" t="s">
        <v>571</v>
      </c>
      <c r="D23" s="823"/>
      <c r="E23" s="821">
        <v>1</v>
      </c>
      <c r="F23" s="824" t="s">
        <v>572</v>
      </c>
      <c r="G23" s="825"/>
      <c r="H23" s="817"/>
      <c r="I23" s="817"/>
    </row>
    <row r="24" spans="1:9" s="826" customFormat="1" ht="19.5" customHeight="1">
      <c r="A24" s="3845"/>
      <c r="B24" s="3845" t="s">
        <v>563</v>
      </c>
      <c r="C24" s="822" t="s">
        <v>573</v>
      </c>
      <c r="D24" s="823"/>
      <c r="E24" s="821">
        <v>0.5</v>
      </c>
      <c r="F24" s="824"/>
      <c r="G24" s="825"/>
      <c r="H24" s="817"/>
      <c r="I24" s="817"/>
    </row>
    <row r="25" spans="1:9" s="826" customFormat="1" ht="19.5" customHeight="1">
      <c r="A25" s="3845"/>
      <c r="B25" s="3845"/>
      <c r="C25" s="822" t="s">
        <v>574</v>
      </c>
      <c r="D25" s="823"/>
      <c r="E25" s="821">
        <v>1.1000000000000001</v>
      </c>
      <c r="F25" s="824"/>
      <c r="G25" s="825"/>
      <c r="H25" s="817"/>
      <c r="I25" s="817"/>
    </row>
    <row r="26" spans="1:9" s="826" customFormat="1" ht="19.5" customHeight="1">
      <c r="A26" s="3845"/>
      <c r="B26" s="3845"/>
      <c r="C26" s="822" t="s">
        <v>575</v>
      </c>
      <c r="D26" s="823"/>
      <c r="E26" s="821">
        <v>1.1000000000000001</v>
      </c>
      <c r="F26" s="824"/>
      <c r="G26" s="825"/>
      <c r="H26" s="817"/>
      <c r="I26" s="817"/>
    </row>
    <row r="27" spans="1:9" s="826" customFormat="1" ht="19.5" customHeight="1">
      <c r="A27" s="3845"/>
      <c r="B27" s="3845"/>
      <c r="C27" s="822" t="s">
        <v>576</v>
      </c>
      <c r="D27" s="823"/>
      <c r="E27" s="821">
        <v>0.9</v>
      </c>
      <c r="F27" s="824" t="s">
        <v>577</v>
      </c>
      <c r="G27" s="825"/>
      <c r="H27" s="817"/>
      <c r="I27" s="817"/>
    </row>
    <row r="28" spans="1:9" s="826" customFormat="1" ht="19.5" customHeight="1">
      <c r="A28" s="3845"/>
      <c r="B28" s="3845"/>
      <c r="C28" s="822" t="s">
        <v>578</v>
      </c>
      <c r="D28" s="823"/>
      <c r="E28" s="821">
        <v>0.9</v>
      </c>
      <c r="F28" s="824" t="s">
        <v>579</v>
      </c>
      <c r="G28" s="825"/>
      <c r="H28" s="817"/>
      <c r="I28" s="817"/>
    </row>
    <row r="29" spans="1:9" s="826" customFormat="1" ht="19.5" customHeight="1">
      <c r="A29" s="3845"/>
      <c r="B29" s="3845"/>
      <c r="C29" s="822" t="s">
        <v>580</v>
      </c>
      <c r="D29" s="823"/>
      <c r="E29" s="821">
        <v>0.9</v>
      </c>
      <c r="F29" s="824" t="s">
        <v>581</v>
      </c>
      <c r="G29" s="825"/>
      <c r="H29" s="817"/>
      <c r="I29" s="817"/>
    </row>
    <row r="30" spans="1:9" s="826" customFormat="1" ht="19.5" customHeight="1">
      <c r="A30" s="3845"/>
      <c r="B30" s="3845"/>
      <c r="C30" s="822" t="s">
        <v>582</v>
      </c>
      <c r="D30" s="823"/>
      <c r="E30" s="821">
        <v>0.9</v>
      </c>
      <c r="F30" s="824" t="s">
        <v>583</v>
      </c>
      <c r="G30" s="825"/>
      <c r="H30" s="817"/>
      <c r="I30" s="817"/>
    </row>
    <row r="31" spans="1:9" s="826" customFormat="1" ht="19.5" customHeight="1">
      <c r="A31" s="3845"/>
      <c r="B31" s="3845"/>
      <c r="C31" s="822" t="s">
        <v>584</v>
      </c>
      <c r="D31" s="823"/>
      <c r="E31" s="821">
        <v>0.8</v>
      </c>
      <c r="F31" s="824" t="s">
        <v>585</v>
      </c>
      <c r="G31" s="825"/>
      <c r="H31" s="817"/>
      <c r="I31" s="817"/>
    </row>
    <row r="32" spans="1:9" s="826" customFormat="1" ht="19.5" customHeight="1">
      <c r="A32" s="3845"/>
      <c r="B32" s="3845"/>
      <c r="C32" s="822" t="s">
        <v>586</v>
      </c>
      <c r="D32" s="823"/>
      <c r="E32" s="821">
        <v>0.8</v>
      </c>
      <c r="F32" s="824" t="s">
        <v>587</v>
      </c>
      <c r="G32" s="825"/>
      <c r="H32" s="817"/>
      <c r="I32" s="817"/>
    </row>
    <row r="33" spans="1:9" s="826" customFormat="1" ht="19.5" customHeight="1">
      <c r="A33" s="3845" t="s">
        <v>185</v>
      </c>
      <c r="B33" s="821" t="s">
        <v>560</v>
      </c>
      <c r="C33" s="822" t="s">
        <v>588</v>
      </c>
      <c r="D33" s="823"/>
      <c r="E33" s="821">
        <v>1</v>
      </c>
      <c r="F33" s="824" t="s">
        <v>589</v>
      </c>
      <c r="G33" s="825"/>
      <c r="H33" s="817"/>
      <c r="I33" s="817"/>
    </row>
    <row r="34" spans="1:9" s="826" customFormat="1" ht="19.5" customHeight="1">
      <c r="A34" s="3845"/>
      <c r="B34" s="821" t="s">
        <v>563</v>
      </c>
      <c r="C34" s="822" t="s">
        <v>590</v>
      </c>
      <c r="D34" s="823"/>
      <c r="E34" s="821">
        <v>1.5</v>
      </c>
      <c r="F34" s="824" t="s">
        <v>591</v>
      </c>
      <c r="G34" s="825"/>
      <c r="H34" s="817"/>
      <c r="I34" s="817"/>
    </row>
    <row r="35" spans="1:9" s="826" customFormat="1" ht="19.5" customHeight="1">
      <c r="A35" s="3845" t="s">
        <v>186</v>
      </c>
      <c r="B35" s="821" t="s">
        <v>560</v>
      </c>
      <c r="C35" s="822" t="s">
        <v>592</v>
      </c>
      <c r="D35" s="823"/>
      <c r="E35" s="821">
        <v>1</v>
      </c>
      <c r="F35" s="824" t="s">
        <v>593</v>
      </c>
      <c r="G35" s="825"/>
      <c r="H35" s="817"/>
      <c r="I35" s="817"/>
    </row>
    <row r="36" spans="1:9" s="826" customFormat="1" ht="19.5" customHeight="1">
      <c r="A36" s="3845"/>
      <c r="B36" s="3845" t="s">
        <v>563</v>
      </c>
      <c r="C36" s="822" t="s">
        <v>594</v>
      </c>
      <c r="D36" s="823"/>
      <c r="E36" s="821">
        <v>1</v>
      </c>
      <c r="F36" s="824" t="s">
        <v>595</v>
      </c>
      <c r="G36" s="825"/>
      <c r="H36" s="817"/>
      <c r="I36" s="817"/>
    </row>
    <row r="37" spans="1:9" s="826" customFormat="1" ht="19.5" customHeight="1">
      <c r="A37" s="3845"/>
      <c r="B37" s="3845"/>
      <c r="C37" s="822" t="s">
        <v>596</v>
      </c>
      <c r="D37" s="823"/>
      <c r="E37" s="821">
        <v>1.5</v>
      </c>
      <c r="F37" s="824" t="s">
        <v>597</v>
      </c>
      <c r="G37" s="825"/>
      <c r="H37" s="817"/>
      <c r="I37" s="817"/>
    </row>
    <row r="38" spans="1:9" s="826" customFormat="1" ht="19.5" customHeight="1">
      <c r="A38" s="3845"/>
      <c r="B38" s="3845"/>
      <c r="C38" s="822" t="s">
        <v>598</v>
      </c>
      <c r="D38" s="823"/>
      <c r="E38" s="821">
        <v>1</v>
      </c>
      <c r="F38" s="824" t="s">
        <v>599</v>
      </c>
      <c r="G38" s="825"/>
      <c r="H38" s="817"/>
      <c r="I38" s="817"/>
    </row>
    <row r="39" spans="1:9" s="826" customFormat="1" ht="19.5" customHeight="1">
      <c r="A39" s="3845"/>
      <c r="B39" s="3845"/>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845" t="s">
        <v>614</v>
      </c>
      <c r="C61" s="757" t="s">
        <v>615</v>
      </c>
      <c r="D61" s="757" t="s">
        <v>616</v>
      </c>
      <c r="E61" s="834">
        <v>0.5</v>
      </c>
      <c r="F61" s="821">
        <v>80</v>
      </c>
    </row>
    <row r="62" spans="1:8" s="817" customFormat="1" ht="24">
      <c r="A62" s="821">
        <v>2</v>
      </c>
      <c r="B62" s="3845"/>
      <c r="C62" s="757" t="s">
        <v>617</v>
      </c>
      <c r="D62" s="757" t="s">
        <v>618</v>
      </c>
      <c r="E62" s="834">
        <v>0.5</v>
      </c>
      <c r="F62" s="821">
        <v>80</v>
      </c>
    </row>
    <row r="63" spans="1:8" s="817" customFormat="1" ht="36">
      <c r="A63" s="821">
        <v>3</v>
      </c>
      <c r="B63" s="3845"/>
      <c r="C63" s="757" t="s">
        <v>619</v>
      </c>
      <c r="D63" s="757" t="s">
        <v>620</v>
      </c>
      <c r="E63" s="834">
        <v>0.5</v>
      </c>
      <c r="F63" s="821">
        <v>80</v>
      </c>
    </row>
    <row r="64" spans="1:8" s="817" customFormat="1" ht="36">
      <c r="A64" s="821">
        <v>4</v>
      </c>
      <c r="B64" s="3845"/>
      <c r="C64" s="757" t="s">
        <v>621</v>
      </c>
      <c r="D64" s="757" t="s">
        <v>622</v>
      </c>
      <c r="E64" s="834">
        <v>0.4</v>
      </c>
      <c r="F64" s="821">
        <v>60</v>
      </c>
    </row>
    <row r="65" spans="1:6" s="817" customFormat="1" ht="36">
      <c r="A65" s="821">
        <v>5</v>
      </c>
      <c r="B65" s="3845"/>
      <c r="C65" s="757" t="s">
        <v>623</v>
      </c>
      <c r="D65" s="757" t="s">
        <v>624</v>
      </c>
      <c r="E65" s="834">
        <v>0.2</v>
      </c>
      <c r="F65" s="821">
        <v>30</v>
      </c>
    </row>
    <row r="66" spans="1:6" s="817" customFormat="1" ht="36">
      <c r="A66" s="821">
        <v>6</v>
      </c>
      <c r="B66" s="3845"/>
      <c r="C66" s="757" t="s">
        <v>625</v>
      </c>
      <c r="D66" s="757" t="s">
        <v>626</v>
      </c>
      <c r="E66" s="834">
        <v>0.3</v>
      </c>
      <c r="F66" s="821">
        <v>50</v>
      </c>
    </row>
    <row r="67" spans="1:6" s="817" customFormat="1" ht="36">
      <c r="A67" s="821">
        <v>7</v>
      </c>
      <c r="B67" s="3845"/>
      <c r="C67" s="757" t="s">
        <v>627</v>
      </c>
      <c r="D67" s="757" t="s">
        <v>628</v>
      </c>
      <c r="E67" s="834">
        <v>0.2</v>
      </c>
      <c r="F67" s="821">
        <v>30</v>
      </c>
    </row>
    <row r="68" spans="1:6" s="817" customFormat="1" ht="36">
      <c r="A68" s="821">
        <v>8</v>
      </c>
      <c r="B68" s="3845"/>
      <c r="C68" s="757" t="s">
        <v>629</v>
      </c>
      <c r="D68" s="757" t="s">
        <v>630</v>
      </c>
      <c r="E68" s="834">
        <v>0.2</v>
      </c>
      <c r="F68" s="821">
        <v>30</v>
      </c>
    </row>
    <row r="69" spans="1:6" s="817" customFormat="1" ht="36">
      <c r="A69" s="821">
        <v>9</v>
      </c>
      <c r="B69" s="3845"/>
      <c r="C69" s="757" t="s">
        <v>631</v>
      </c>
      <c r="D69" s="757" t="s">
        <v>632</v>
      </c>
      <c r="E69" s="834">
        <v>0.2</v>
      </c>
      <c r="F69" s="821">
        <v>30</v>
      </c>
    </row>
    <row r="70" spans="1:6" s="817" customFormat="1" ht="48">
      <c r="A70" s="821">
        <v>10</v>
      </c>
      <c r="B70" s="3845"/>
      <c r="C70" s="757" t="s">
        <v>633</v>
      </c>
      <c r="D70" s="757" t="s">
        <v>634</v>
      </c>
      <c r="E70" s="834">
        <v>0.2</v>
      </c>
      <c r="F70" s="821">
        <v>30</v>
      </c>
    </row>
    <row r="71" spans="1:6" s="817" customFormat="1" ht="48">
      <c r="A71" s="821">
        <v>11</v>
      </c>
      <c r="B71" s="3845"/>
      <c r="C71" s="757" t="s">
        <v>635</v>
      </c>
      <c r="D71" s="757" t="s">
        <v>636</v>
      </c>
      <c r="E71" s="834">
        <v>0.2</v>
      </c>
      <c r="F71" s="821">
        <v>30</v>
      </c>
    </row>
    <row r="72" spans="1:6" s="817" customFormat="1" ht="36">
      <c r="A72" s="821">
        <v>12</v>
      </c>
      <c r="B72" s="3845"/>
      <c r="C72" s="757" t="s">
        <v>637</v>
      </c>
      <c r="D72" s="757" t="s">
        <v>638</v>
      </c>
      <c r="E72" s="834">
        <v>0.5</v>
      </c>
      <c r="F72" s="821">
        <v>80</v>
      </c>
    </row>
    <row r="73" spans="1:6" s="817" customFormat="1" ht="24">
      <c r="A73" s="821">
        <v>13</v>
      </c>
      <c r="B73" s="3845"/>
      <c r="C73" s="757" t="s">
        <v>639</v>
      </c>
      <c r="D73" s="757" t="s">
        <v>640</v>
      </c>
      <c r="E73" s="834">
        <v>0.4</v>
      </c>
      <c r="F73" s="821">
        <v>60</v>
      </c>
    </row>
    <row r="74" spans="1:6" s="817" customFormat="1" ht="24">
      <c r="A74" s="821">
        <v>14</v>
      </c>
      <c r="B74" s="3845"/>
      <c r="C74" s="757" t="s">
        <v>641</v>
      </c>
      <c r="D74" s="757" t="s">
        <v>642</v>
      </c>
      <c r="E74" s="834">
        <v>0.2</v>
      </c>
      <c r="F74" s="821">
        <v>30</v>
      </c>
    </row>
    <row r="75" spans="1:6" s="817" customFormat="1" ht="24">
      <c r="A75" s="821">
        <v>15</v>
      </c>
      <c r="B75" s="3845"/>
      <c r="C75" s="757" t="s">
        <v>643</v>
      </c>
      <c r="D75" s="757" t="s">
        <v>644</v>
      </c>
      <c r="E75" s="834">
        <v>0.2</v>
      </c>
      <c r="F75" s="821">
        <v>30</v>
      </c>
    </row>
    <row r="76" spans="1:6" s="817" customFormat="1" ht="24">
      <c r="A76" s="821">
        <v>16</v>
      </c>
      <c r="B76" s="3845" t="s">
        <v>645</v>
      </c>
      <c r="C76" s="757" t="s">
        <v>646</v>
      </c>
      <c r="D76" s="757" t="s">
        <v>647</v>
      </c>
      <c r="E76" s="834">
        <v>0.5</v>
      </c>
      <c r="F76" s="821">
        <v>80</v>
      </c>
    </row>
    <row r="77" spans="1:6" s="817" customFormat="1" ht="24">
      <c r="A77" s="821">
        <v>17</v>
      </c>
      <c r="B77" s="3845"/>
      <c r="C77" s="757" t="s">
        <v>648</v>
      </c>
      <c r="D77" s="757" t="s">
        <v>649</v>
      </c>
      <c r="E77" s="834">
        <v>0.5</v>
      </c>
      <c r="F77" s="821">
        <v>80</v>
      </c>
    </row>
    <row r="78" spans="1:6" s="817" customFormat="1" ht="24">
      <c r="A78" s="821">
        <v>18</v>
      </c>
      <c r="B78" s="3845"/>
      <c r="C78" s="757" t="s">
        <v>650</v>
      </c>
      <c r="D78" s="757" t="s">
        <v>651</v>
      </c>
      <c r="E78" s="834">
        <v>0.2</v>
      </c>
      <c r="F78" s="821">
        <v>30</v>
      </c>
    </row>
    <row r="79" spans="1:6" s="817" customFormat="1" ht="24">
      <c r="A79" s="821">
        <v>19</v>
      </c>
      <c r="B79" s="3845"/>
      <c r="C79" s="757" t="s">
        <v>652</v>
      </c>
      <c r="D79" s="757" t="s">
        <v>653</v>
      </c>
      <c r="E79" s="834">
        <v>0.5</v>
      </c>
      <c r="F79" s="821">
        <v>80</v>
      </c>
    </row>
    <row r="80" spans="1:6" s="817" customFormat="1" ht="36">
      <c r="A80" s="821">
        <v>20</v>
      </c>
      <c r="B80" s="3845"/>
      <c r="C80" s="757" t="s">
        <v>654</v>
      </c>
      <c r="D80" s="757" t="s">
        <v>655</v>
      </c>
      <c r="E80" s="834">
        <v>0.2</v>
      </c>
      <c r="F80" s="821">
        <v>30</v>
      </c>
    </row>
    <row r="81" spans="1:6" s="817" customFormat="1" ht="36">
      <c r="A81" s="821">
        <v>21</v>
      </c>
      <c r="B81" s="3845"/>
      <c r="C81" s="757" t="s">
        <v>656</v>
      </c>
      <c r="D81" s="757" t="s">
        <v>657</v>
      </c>
      <c r="E81" s="834">
        <v>0.2</v>
      </c>
      <c r="F81" s="821">
        <v>30</v>
      </c>
    </row>
    <row r="82" spans="1:6" s="817" customFormat="1" ht="48">
      <c r="A82" s="821">
        <v>22</v>
      </c>
      <c r="B82" s="3845"/>
      <c r="C82" s="757" t="s">
        <v>658</v>
      </c>
      <c r="D82" s="757" t="s">
        <v>659</v>
      </c>
      <c r="E82" s="834">
        <v>0.2</v>
      </c>
      <c r="F82" s="821">
        <v>30</v>
      </c>
    </row>
    <row r="83" spans="1:6" s="817" customFormat="1" ht="48">
      <c r="A83" s="821">
        <v>23</v>
      </c>
      <c r="B83" s="3845"/>
      <c r="C83" s="757" t="s">
        <v>660</v>
      </c>
      <c r="D83" s="757" t="s">
        <v>661</v>
      </c>
      <c r="E83" s="834">
        <v>0.2</v>
      </c>
      <c r="F83" s="821">
        <v>30</v>
      </c>
    </row>
    <row r="84" spans="1:6" s="817" customFormat="1" ht="36">
      <c r="A84" s="821">
        <v>24</v>
      </c>
      <c r="B84" s="3845"/>
      <c r="C84" s="757" t="s">
        <v>662</v>
      </c>
      <c r="D84" s="757" t="s">
        <v>663</v>
      </c>
      <c r="E84" s="834">
        <v>0.2</v>
      </c>
      <c r="F84" s="821">
        <v>30</v>
      </c>
    </row>
    <row r="85" spans="1:6" s="817" customFormat="1" ht="36">
      <c r="A85" s="821">
        <v>25</v>
      </c>
      <c r="B85" s="3845"/>
      <c r="C85" s="757" t="s">
        <v>664</v>
      </c>
      <c r="D85" s="757" t="s">
        <v>665</v>
      </c>
      <c r="E85" s="834">
        <v>0.5</v>
      </c>
      <c r="F85" s="821">
        <v>80</v>
      </c>
    </row>
    <row r="86" spans="1:6" s="817" customFormat="1" ht="36">
      <c r="A86" s="821">
        <v>26</v>
      </c>
      <c r="B86" s="3845"/>
      <c r="C86" s="757" t="s">
        <v>666</v>
      </c>
      <c r="D86" s="757" t="s">
        <v>667</v>
      </c>
      <c r="E86" s="834">
        <v>0.2</v>
      </c>
      <c r="F86" s="821">
        <v>30</v>
      </c>
    </row>
    <row r="87" spans="1:6" s="817" customFormat="1" ht="36">
      <c r="A87" s="821">
        <v>27</v>
      </c>
      <c r="B87" s="3845"/>
      <c r="C87" s="757" t="s">
        <v>668</v>
      </c>
      <c r="D87" s="757" t="s">
        <v>669</v>
      </c>
      <c r="E87" s="834">
        <v>0.2</v>
      </c>
      <c r="F87" s="821">
        <v>30</v>
      </c>
    </row>
    <row r="88" spans="1:6" s="817" customFormat="1" ht="36">
      <c r="A88" s="821">
        <v>28</v>
      </c>
      <c r="B88" s="3845"/>
      <c r="C88" s="757" t="s">
        <v>670</v>
      </c>
      <c r="D88" s="757" t="s">
        <v>671</v>
      </c>
      <c r="E88" s="834">
        <v>0.2</v>
      </c>
      <c r="F88" s="821">
        <v>30</v>
      </c>
    </row>
    <row r="89" spans="1:6" s="817" customFormat="1" ht="24">
      <c r="A89" s="821">
        <v>29</v>
      </c>
      <c r="B89" s="3845"/>
      <c r="C89" s="757" t="s">
        <v>672</v>
      </c>
      <c r="D89" s="757" t="s">
        <v>673</v>
      </c>
      <c r="E89" s="834">
        <v>0.2</v>
      </c>
      <c r="F89" s="821">
        <v>30</v>
      </c>
    </row>
    <row r="90" spans="1:6" s="817" customFormat="1" ht="24">
      <c r="A90" s="821">
        <v>30</v>
      </c>
      <c r="B90" s="3845"/>
      <c r="C90" s="757" t="s">
        <v>674</v>
      </c>
      <c r="D90" s="757" t="s">
        <v>675</v>
      </c>
      <c r="E90" s="834">
        <v>0.2</v>
      </c>
      <c r="F90" s="821">
        <v>30</v>
      </c>
    </row>
    <row r="91" spans="1:6" s="817" customFormat="1" ht="36">
      <c r="A91" s="821">
        <v>31</v>
      </c>
      <c r="B91" s="3845"/>
      <c r="C91" s="757" t="s">
        <v>676</v>
      </c>
      <c r="D91" s="757" t="s">
        <v>677</v>
      </c>
      <c r="E91" s="834">
        <v>0.2</v>
      </c>
      <c r="F91" s="821">
        <v>30</v>
      </c>
    </row>
    <row r="92" spans="1:6" s="817" customFormat="1" ht="24">
      <c r="A92" s="821">
        <v>32</v>
      </c>
      <c r="B92" s="3845" t="s">
        <v>678</v>
      </c>
      <c r="C92" s="821" t="s">
        <v>679</v>
      </c>
      <c r="D92" s="757" t="s">
        <v>680</v>
      </c>
      <c r="E92" s="834">
        <v>0.2</v>
      </c>
      <c r="F92" s="821">
        <v>30</v>
      </c>
    </row>
    <row r="93" spans="1:6" s="817" customFormat="1" ht="36">
      <c r="A93" s="821">
        <v>33</v>
      </c>
      <c r="B93" s="3845"/>
      <c r="C93" s="821" t="s">
        <v>681</v>
      </c>
      <c r="D93" s="757" t="s">
        <v>682</v>
      </c>
      <c r="E93" s="834">
        <v>0.2</v>
      </c>
      <c r="F93" s="821">
        <v>30</v>
      </c>
    </row>
    <row r="94" spans="1:6" s="817" customFormat="1" ht="48">
      <c r="A94" s="821">
        <v>34</v>
      </c>
      <c r="B94" s="3845"/>
      <c r="C94" s="821" t="s">
        <v>683</v>
      </c>
      <c r="D94" s="757" t="s">
        <v>684</v>
      </c>
      <c r="E94" s="834">
        <v>0.2</v>
      </c>
      <c r="F94" s="821">
        <v>30</v>
      </c>
    </row>
    <row r="95" spans="1:6" s="817" customFormat="1" ht="36">
      <c r="A95" s="821">
        <v>35</v>
      </c>
      <c r="B95" s="3845"/>
      <c r="C95" s="821" t="s">
        <v>685</v>
      </c>
      <c r="D95" s="757" t="s">
        <v>686</v>
      </c>
      <c r="E95" s="834">
        <v>0.2</v>
      </c>
      <c r="F95" s="821">
        <v>30</v>
      </c>
    </row>
    <row r="96" spans="1:6" s="817" customFormat="1" ht="48">
      <c r="A96" s="821">
        <v>36</v>
      </c>
      <c r="B96" s="3845"/>
      <c r="C96" s="757" t="s">
        <v>687</v>
      </c>
      <c r="D96" s="757" t="s">
        <v>688</v>
      </c>
      <c r="E96" s="834">
        <v>0.2</v>
      </c>
      <c r="F96" s="821">
        <v>30</v>
      </c>
    </row>
    <row r="97" spans="1:6" s="817" customFormat="1" ht="36">
      <c r="A97" s="821">
        <v>37</v>
      </c>
      <c r="B97" s="3845"/>
      <c r="C97" s="821" t="s">
        <v>689</v>
      </c>
      <c r="D97" s="757" t="s">
        <v>690</v>
      </c>
      <c r="E97" s="834">
        <v>0.2</v>
      </c>
      <c r="F97" s="821">
        <v>30</v>
      </c>
    </row>
    <row r="98" spans="1:6" s="817" customFormat="1" ht="36">
      <c r="A98" s="821">
        <v>38</v>
      </c>
      <c r="B98" s="3845"/>
      <c r="C98" s="821" t="s">
        <v>691</v>
      </c>
      <c r="D98" s="757" t="s">
        <v>692</v>
      </c>
      <c r="E98" s="834">
        <v>0.2</v>
      </c>
      <c r="F98" s="821">
        <v>30</v>
      </c>
    </row>
    <row r="99" spans="1:6" s="817" customFormat="1" ht="36">
      <c r="A99" s="821">
        <v>39</v>
      </c>
      <c r="B99" s="3845" t="s">
        <v>693</v>
      </c>
      <c r="C99" s="821" t="s">
        <v>694</v>
      </c>
      <c r="D99" s="757" t="s">
        <v>695</v>
      </c>
      <c r="E99" s="834">
        <v>0.3</v>
      </c>
      <c r="F99" s="821">
        <v>50</v>
      </c>
    </row>
    <row r="100" spans="1:6" s="817" customFormat="1" ht="24">
      <c r="A100" s="821">
        <v>40</v>
      </c>
      <c r="B100" s="3845"/>
      <c r="C100" s="821" t="s">
        <v>696</v>
      </c>
      <c r="D100" s="757" t="s">
        <v>697</v>
      </c>
      <c r="E100" s="834">
        <v>0.2</v>
      </c>
      <c r="F100" s="821">
        <v>30</v>
      </c>
    </row>
    <row r="101" spans="1:6" s="817" customFormat="1" ht="36">
      <c r="A101" s="821">
        <v>41</v>
      </c>
      <c r="B101" s="3845"/>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845" t="s">
        <v>708</v>
      </c>
      <c r="C105" s="821" t="s">
        <v>709</v>
      </c>
      <c r="D105" s="757" t="s">
        <v>710</v>
      </c>
      <c r="E105" s="834">
        <v>0.2</v>
      </c>
      <c r="F105" s="821">
        <v>30</v>
      </c>
    </row>
    <row r="106" spans="1:6" s="817" customFormat="1" ht="36">
      <c r="A106" s="821">
        <v>46</v>
      </c>
      <c r="B106" s="3845"/>
      <c r="C106" s="821" t="s">
        <v>711</v>
      </c>
      <c r="D106" s="757" t="s">
        <v>712</v>
      </c>
      <c r="E106" s="834">
        <v>0.2</v>
      </c>
      <c r="F106" s="821">
        <v>30</v>
      </c>
    </row>
    <row r="107" spans="1:6" s="817" customFormat="1" ht="36">
      <c r="A107" s="821">
        <v>47</v>
      </c>
      <c r="B107" s="3845" t="s">
        <v>713</v>
      </c>
      <c r="C107" s="821" t="s">
        <v>714</v>
      </c>
      <c r="D107" s="757" t="s">
        <v>715</v>
      </c>
      <c r="E107" s="834">
        <v>0.3</v>
      </c>
      <c r="F107" s="821">
        <v>50</v>
      </c>
    </row>
    <row r="108" spans="1:6" s="817" customFormat="1" ht="36">
      <c r="A108" s="821">
        <v>48</v>
      </c>
      <c r="B108" s="3845"/>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845" t="s">
        <v>724</v>
      </c>
      <c r="C111" s="821" t="s">
        <v>725</v>
      </c>
      <c r="D111" s="757" t="s">
        <v>726</v>
      </c>
      <c r="E111" s="834">
        <v>0.2</v>
      </c>
      <c r="F111" s="821">
        <v>30</v>
      </c>
    </row>
    <row r="112" spans="1:6" s="817" customFormat="1" ht="24">
      <c r="A112" s="821">
        <v>52</v>
      </c>
      <c r="B112" s="3845"/>
      <c r="C112" s="821" t="s">
        <v>727</v>
      </c>
      <c r="D112" s="757" t="s">
        <v>728</v>
      </c>
      <c r="E112" s="834">
        <v>0.2</v>
      </c>
      <c r="F112" s="821">
        <v>30</v>
      </c>
    </row>
    <row r="113" spans="1:6" s="817" customFormat="1" ht="24">
      <c r="A113" s="821">
        <v>53</v>
      </c>
      <c r="B113" s="3845"/>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845" t="s">
        <v>737</v>
      </c>
      <c r="C116" s="821" t="s">
        <v>738</v>
      </c>
      <c r="D116" s="757" t="s">
        <v>739</v>
      </c>
      <c r="E116" s="834">
        <v>0.2</v>
      </c>
      <c r="F116" s="821">
        <v>30</v>
      </c>
    </row>
    <row r="117" spans="1:6" ht="36">
      <c r="A117" s="821">
        <v>57</v>
      </c>
      <c r="B117" s="3845"/>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SUMPRODUCT((A105:A204=ROUNDDOWN('基准地价修正-办公'!G3,1))*(B104:M104='基准地价修正-办公'!G2)*(B105:M204))</f>
        <v>0.90580000000000005</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9"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118"/>
  <sheetViews>
    <sheetView view="pageBreakPreview" zoomScaleNormal="80" zoomScaleSheetLayoutView="100" workbookViewId="0">
      <selection activeCell="E8" sqref="E8"/>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2623</v>
      </c>
      <c r="B1" s="203"/>
      <c r="C1" s="207" t="s">
        <v>2624</v>
      </c>
      <c r="D1" s="348">
        <f>SUM(D29:D30,D33:D39)</f>
        <v>0</v>
      </c>
      <c r="E1" s="2181"/>
      <c r="F1" s="2181"/>
      <c r="G1" s="2181"/>
      <c r="H1" s="2181"/>
      <c r="I1" s="2181"/>
      <c r="J1" s="2181"/>
      <c r="K1" s="1280"/>
      <c r="L1" s="2182" t="s">
        <v>2625</v>
      </c>
      <c r="M1" s="994">
        <f>SUMPRODUCT((区片价!B5:B9=I2)*(区片价!C3:F3=E2)*(区片价!C5:F9))</f>
        <v>29350</v>
      </c>
      <c r="N1" s="997">
        <f>SUMPRODUCT((因素修正幅度!B5:B9=I2)*(因素修正幅度!C3:F3=E2)*(因素修正幅度!C5:F9))</f>
        <v>8.5999999999999993E-2</v>
      </c>
      <c r="O1" s="2183"/>
      <c r="P1" s="2183"/>
      <c r="Q1" s="1280"/>
      <c r="R1" s="1374" t="s">
        <v>2626</v>
      </c>
      <c r="S1" s="1374" t="s">
        <v>2627</v>
      </c>
      <c r="T1" s="1374" t="s">
        <v>2628</v>
      </c>
      <c r="U1" s="1374" t="s">
        <v>2629</v>
      </c>
      <c r="V1" s="1374" t="s">
        <v>2630</v>
      </c>
      <c r="W1" s="1378"/>
      <c r="X1" s="1378"/>
      <c r="Y1" s="1378"/>
      <c r="Z1" s="1378"/>
      <c r="AA1" s="1378"/>
      <c r="AB1" s="1378"/>
      <c r="AC1" s="1379"/>
      <c r="AD1" s="1380"/>
      <c r="AE1" s="1380"/>
      <c r="AF1" s="1380"/>
      <c r="AG1" s="1380"/>
      <c r="AH1" s="1380"/>
      <c r="AI1" s="1380"/>
      <c r="AJ1" s="1381"/>
    </row>
    <row r="2" spans="1:36" ht="15.75">
      <c r="A2" s="207" t="s">
        <v>2631</v>
      </c>
      <c r="B2" s="210">
        <f>C26</f>
        <v>41066</v>
      </c>
      <c r="C2" s="2185" t="s">
        <v>2632</v>
      </c>
      <c r="D2" s="2186" t="s">
        <v>2633</v>
      </c>
      <c r="E2" s="2187" t="s">
        <v>1343</v>
      </c>
      <c r="F2" s="2186" t="s">
        <v>2634</v>
      </c>
      <c r="G2" s="2188" t="str">
        <f>IF(E2="商业",项目基本情况!B37,IF(E2="办公",项目基本情况!C37,IF(E2="住宅",项目基本情况!D37,项目基本情况!E37)))</f>
        <v>一级</v>
      </c>
      <c r="H2" s="2186" t="s">
        <v>2635</v>
      </c>
      <c r="I2" s="2188" t="str">
        <f>IF(E2="商业",项目基本情况!B38,IF(E2="办公",项目基本情况!C38,IF(E2="住宅",项目基本情况!D38,项目基本情况!E38)))</f>
        <v>Ⅰ—03</v>
      </c>
      <c r="J2" s="2189"/>
      <c r="K2" s="1280"/>
      <c r="L2" s="2190" t="s">
        <v>2636</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1.9361999999999999</v>
      </c>
      <c r="T2" s="1374">
        <f>ROUND($C$5*$C$18*$C$19*$C$20*S2*$C$24,0)</f>
        <v>58557</v>
      </c>
      <c r="U2" s="1375">
        <f>'数据-汇总表'!F20</f>
        <v>111.06</v>
      </c>
      <c r="V2" s="1374">
        <f>ROUND(T2*U2/10000,0)</f>
        <v>650</v>
      </c>
      <c r="W2" s="1378"/>
      <c r="X2" s="1378"/>
      <c r="Y2" s="1378"/>
      <c r="Z2" s="1378"/>
      <c r="AA2" s="1378"/>
      <c r="AB2" s="1378"/>
      <c r="AC2" s="1379"/>
      <c r="AD2" s="1380"/>
      <c r="AE2" s="1380"/>
      <c r="AF2" s="1380"/>
      <c r="AG2" s="1380"/>
      <c r="AH2" s="1380"/>
      <c r="AI2" s="1380"/>
      <c r="AJ2" s="1381"/>
    </row>
    <row r="3" spans="1:36" ht="15.75">
      <c r="A3" s="209" t="s">
        <v>2637</v>
      </c>
      <c r="B3" s="210" t="e">
        <f>ROUND(B2*10000/D1,0)</f>
        <v>#DIV/0!</v>
      </c>
      <c r="C3" s="2185" t="s">
        <v>2638</v>
      </c>
      <c r="D3" s="2186" t="s">
        <v>2639</v>
      </c>
      <c r="E3" s="2191" t="s">
        <v>3097</v>
      </c>
      <c r="F3" s="2192" t="s">
        <v>2640</v>
      </c>
      <c r="G3" s="855">
        <f>IF(F3="宗地容积率",'数据-汇总表'!I4,IF(F3="估价对象容积率",'数据-汇总表'!I6,'数据-汇总表'!I7))</f>
        <v>5.45</v>
      </c>
      <c r="H3" s="175" t="s">
        <v>2641</v>
      </c>
      <c r="I3" s="881"/>
      <c r="J3" s="2189" t="s">
        <v>2642</v>
      </c>
      <c r="K3" s="1280"/>
      <c r="L3" s="2190" t="s">
        <v>2643</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1.4198</v>
      </c>
      <c r="T3" s="1374">
        <f t="shared" ref="T3:T16" si="0">ROUND($C$5*$C$18*$C$19*$C$20*S3*$C$24,0)</f>
        <v>42939</v>
      </c>
      <c r="U3" s="1375">
        <f>'数据-汇总表'!F21</f>
        <v>2101.7399999999998</v>
      </c>
      <c r="V3" s="1374">
        <f t="shared" ref="V3:V16" si="1">ROUND(T3*U3/10000,0)</f>
        <v>9025</v>
      </c>
      <c r="W3" s="1378"/>
      <c r="X3" s="1378"/>
      <c r="Y3" s="1378"/>
      <c r="Z3" s="1378"/>
      <c r="AA3" s="1378"/>
      <c r="AB3" s="1378"/>
      <c r="AC3" s="1379"/>
      <c r="AD3" s="1380"/>
      <c r="AE3" s="1380"/>
      <c r="AF3" s="1380"/>
      <c r="AG3" s="1380"/>
      <c r="AH3" s="1380"/>
      <c r="AI3" s="1380"/>
      <c r="AJ3" s="1381"/>
    </row>
    <row r="4" spans="1:36" ht="15.75">
      <c r="A4" s="3838"/>
      <c r="B4" s="3839"/>
      <c r="C4" s="3839"/>
      <c r="D4" s="3840"/>
      <c r="E4" s="3840"/>
      <c r="F4" s="3840"/>
      <c r="G4" s="3840"/>
      <c r="H4" s="3840"/>
      <c r="I4" s="3840"/>
      <c r="J4" s="3841"/>
      <c r="K4" s="1280"/>
      <c r="L4" s="2190" t="s">
        <v>2644</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1.1594</v>
      </c>
      <c r="T4" s="1374">
        <f t="shared" si="0"/>
        <v>35064</v>
      </c>
      <c r="U4" s="1375">
        <f>'数据-汇总表'!F22/2</f>
        <v>3684.9</v>
      </c>
      <c r="V4" s="1374">
        <f t="shared" si="1"/>
        <v>12921</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2645</v>
      </c>
      <c r="C5" s="856">
        <f>ROUND(IF(E2="商业",C6*C7+C16,(IF(E2="住宅",C6*C12+C16,C6+C16))),0)</f>
        <v>29702</v>
      </c>
      <c r="D5" s="1523">
        <f>ROUND(C6+C16,0)</f>
        <v>29350</v>
      </c>
      <c r="E5" s="1523"/>
      <c r="F5" s="2195"/>
      <c r="G5" s="2196"/>
      <c r="H5" s="2196"/>
      <c r="I5" s="2196"/>
      <c r="J5" s="2197"/>
      <c r="K5" s="2198"/>
      <c r="L5" s="2190" t="s">
        <v>2646</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0.96220000000000006</v>
      </c>
      <c r="T5" s="1374">
        <f t="shared" si="0"/>
        <v>29100</v>
      </c>
      <c r="U5" s="1375">
        <f>'数据-汇总表'!F22-'基准地价修正-商业'!U4</f>
        <v>3684.9</v>
      </c>
      <c r="V5" s="1374">
        <f t="shared" si="1"/>
        <v>10723</v>
      </c>
      <c r="W5" s="1378"/>
      <c r="X5" s="1378"/>
      <c r="Y5" s="1378"/>
      <c r="Z5" s="1378"/>
      <c r="AA5" s="1378"/>
      <c r="AB5" s="1378"/>
      <c r="AC5" s="2199"/>
      <c r="AD5" s="2200"/>
      <c r="AE5" s="2200"/>
      <c r="AF5" s="2200"/>
      <c r="AG5" s="2200"/>
      <c r="AH5" s="2200"/>
      <c r="AI5" s="2200"/>
      <c r="AJ5" s="2201"/>
    </row>
    <row r="6" spans="1:36" ht="15.75" thickBot="1">
      <c r="A6" s="2203" t="s">
        <v>2647</v>
      </c>
      <c r="B6" s="2204" t="s">
        <v>2648</v>
      </c>
      <c r="C6" s="857">
        <f>SUMIF(L1:L12,G2,M1:M12)</f>
        <v>29350</v>
      </c>
      <c r="D6" s="2205" t="s">
        <v>2649</v>
      </c>
      <c r="E6" s="2206"/>
      <c r="F6" s="2206"/>
      <c r="G6" s="2207"/>
      <c r="H6" s="2207"/>
      <c r="I6" s="2207"/>
      <c r="J6" s="2208"/>
      <c r="K6" s="1568"/>
      <c r="L6" s="2190" t="s">
        <v>2650</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0.8417</v>
      </c>
      <c r="T6" s="1374">
        <f t="shared" si="0"/>
        <v>25456</v>
      </c>
      <c r="U6" s="1375">
        <f>'数据-汇总表'!F23</f>
        <v>3043.19</v>
      </c>
      <c r="V6" s="1374">
        <f t="shared" si="1"/>
        <v>7747</v>
      </c>
      <c r="W6" s="1378"/>
      <c r="X6" s="1378"/>
      <c r="Y6" s="1378"/>
      <c r="Z6" s="1378"/>
      <c r="AA6" s="1378"/>
      <c r="AB6" s="1378"/>
      <c r="AC6" s="2199"/>
      <c r="AD6" s="2200"/>
      <c r="AE6" s="2200"/>
      <c r="AF6" s="2200"/>
      <c r="AG6" s="2200"/>
      <c r="AH6" s="2200"/>
      <c r="AI6" s="2200"/>
      <c r="AJ6" s="2201"/>
    </row>
    <row r="7" spans="1:36" ht="24">
      <c r="A7" s="3819">
        <f>IF(E2="商业",IF(C8="不临58条商业街","",2),"")</f>
        <v>2</v>
      </c>
      <c r="B7" s="3061" t="s">
        <v>2651</v>
      </c>
      <c r="C7" s="858">
        <f>IF(C8="不临58条商业街",1,ROUND(1+(1.6*E8+1.2*E9+0.8*E10+0.4*E11)*C9,4))</f>
        <v>1.012</v>
      </c>
      <c r="D7" s="2210" t="s">
        <v>2652</v>
      </c>
      <c r="E7" s="882">
        <v>500</v>
      </c>
      <c r="F7" s="2211"/>
      <c r="G7" s="2212"/>
      <c r="H7" s="2212"/>
      <c r="I7" s="2212"/>
      <c r="J7" s="2213"/>
      <c r="K7" s="1568"/>
      <c r="L7" s="2190" t="s">
        <v>2653</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0.76080000000000003</v>
      </c>
      <c r="T7" s="1374">
        <f t="shared" si="0"/>
        <v>23009</v>
      </c>
      <c r="U7" s="1375"/>
      <c r="V7" s="1374">
        <f t="shared" si="1"/>
        <v>0</v>
      </c>
      <c r="W7" s="3069" t="s">
        <v>2654</v>
      </c>
      <c r="X7" s="1376" t="str">
        <f>G2</f>
        <v>一级</v>
      </c>
      <c r="Y7" s="1376" t="s">
        <v>2655</v>
      </c>
      <c r="Z7" s="1377">
        <f>G3</f>
        <v>5.45</v>
      </c>
      <c r="AA7" s="1378"/>
      <c r="AB7" s="1378"/>
      <c r="AC7" s="1379"/>
      <c r="AD7" s="1380"/>
      <c r="AE7" s="1380"/>
      <c r="AF7" s="1380"/>
      <c r="AG7" s="1380"/>
      <c r="AH7" s="1380"/>
      <c r="AI7" s="1380"/>
      <c r="AJ7" s="1381"/>
    </row>
    <row r="8" spans="1:36" ht="15">
      <c r="A8" s="3842"/>
      <c r="B8" s="175" t="s">
        <v>2656</v>
      </c>
      <c r="C8" s="2214" t="s">
        <v>3098</v>
      </c>
      <c r="D8" s="859" t="s">
        <v>139</v>
      </c>
      <c r="E8" s="860">
        <f>ROUND(C11/E7,4)</f>
        <v>1.4999999999999999E-2</v>
      </c>
      <c r="F8" s="2215" t="s">
        <v>2657</v>
      </c>
      <c r="G8" s="2216"/>
      <c r="H8" s="2216"/>
      <c r="I8" s="2216"/>
      <c r="J8" s="2217"/>
      <c r="K8" s="1280"/>
      <c r="L8" s="2190" t="s">
        <v>2658</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si="0"/>
        <v>0</v>
      </c>
      <c r="U8" s="1375"/>
      <c r="V8" s="1374">
        <f t="shared" si="1"/>
        <v>0</v>
      </c>
      <c r="W8" s="3835" t="s">
        <v>2659</v>
      </c>
      <c r="X8" s="3836"/>
      <c r="Y8" s="1382" t="s">
        <v>2660</v>
      </c>
      <c r="Z8" s="1382" t="s">
        <v>2661</v>
      </c>
      <c r="AA8" s="1382" t="s">
        <v>2662</v>
      </c>
      <c r="AB8" s="1382" t="s">
        <v>2663</v>
      </c>
      <c r="AC8" s="1382" t="s">
        <v>2664</v>
      </c>
      <c r="AD8" s="1382" t="s">
        <v>2665</v>
      </c>
      <c r="AE8" s="1382" t="s">
        <v>2666</v>
      </c>
      <c r="AF8" s="1382" t="s">
        <v>2667</v>
      </c>
      <c r="AG8" s="1382" t="s">
        <v>2668</v>
      </c>
      <c r="AH8" s="1382" t="s">
        <v>2669</v>
      </c>
      <c r="AI8" s="1382" t="s">
        <v>2670</v>
      </c>
      <c r="AJ8" s="1382" t="s">
        <v>2671</v>
      </c>
    </row>
    <row r="9" spans="1:36" ht="15">
      <c r="A9" s="3842"/>
      <c r="B9" s="175" t="s">
        <v>2672</v>
      </c>
      <c r="C9" s="861">
        <f>SUMIF(修正!C59:C119,C8,修正!E59:E119)</f>
        <v>0.2</v>
      </c>
      <c r="D9" s="176" t="s">
        <v>140</v>
      </c>
      <c r="E9" s="176">
        <f>ROUND(C11/E7,4)</f>
        <v>1.4999999999999999E-2</v>
      </c>
      <c r="F9" s="2215" t="s">
        <v>2673</v>
      </c>
      <c r="G9" s="2216"/>
      <c r="H9" s="2216"/>
      <c r="I9" s="2216"/>
      <c r="J9" s="2217"/>
      <c r="K9" s="1280"/>
      <c r="L9" s="2190" t="s">
        <v>2674</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si="0"/>
        <v>0</v>
      </c>
      <c r="U9" s="1375"/>
      <c r="V9" s="1374">
        <f t="shared" si="1"/>
        <v>0</v>
      </c>
      <c r="W9" s="3837" t="s">
        <v>2675</v>
      </c>
      <c r="X9" s="1383" t="s">
        <v>2676</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842"/>
      <c r="B10" s="175" t="s">
        <v>2677</v>
      </c>
      <c r="C10" s="176">
        <f>SUMIF(修正!C59:C119,C8,修正!F59:F119)</f>
        <v>30</v>
      </c>
      <c r="D10" s="176" t="s">
        <v>141</v>
      </c>
      <c r="E10" s="176">
        <f>ROUND(C11/E7,4)</f>
        <v>1.4999999999999999E-2</v>
      </c>
      <c r="F10" s="2215" t="s">
        <v>2678</v>
      </c>
      <c r="G10" s="2216"/>
      <c r="H10" s="2216"/>
      <c r="I10" s="2216"/>
      <c r="J10" s="2217"/>
      <c r="K10" s="1280"/>
      <c r="L10" s="2190" t="s">
        <v>2679</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si="0"/>
        <v>0</v>
      </c>
      <c r="U10" s="1375"/>
      <c r="V10" s="1374">
        <f t="shared" si="1"/>
        <v>0</v>
      </c>
      <c r="W10" s="3837"/>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842"/>
      <c r="B11" s="2218" t="s">
        <v>2680</v>
      </c>
      <c r="C11" s="862">
        <f>C10/4</f>
        <v>7.5</v>
      </c>
      <c r="D11" s="862" t="s">
        <v>142</v>
      </c>
      <c r="E11" s="862">
        <f>ROUND(C11/E7,4)</f>
        <v>1.4999999999999999E-2</v>
      </c>
      <c r="F11" s="2219" t="s">
        <v>2681</v>
      </c>
      <c r="G11" s="2220"/>
      <c r="H11" s="2220"/>
      <c r="I11" s="2220"/>
      <c r="J11" s="2221"/>
      <c r="K11" s="1280"/>
      <c r="L11" s="2190" t="s">
        <v>2682</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si="0"/>
        <v>0</v>
      </c>
      <c r="U11" s="1375"/>
      <c r="V11" s="1374">
        <f t="shared" si="1"/>
        <v>0</v>
      </c>
      <c r="W11" s="3837" t="s">
        <v>2683</v>
      </c>
      <c r="X11" s="1386" t="s">
        <v>2684</v>
      </c>
      <c r="Y11" s="1387">
        <f>$G$3</f>
        <v>5.45</v>
      </c>
      <c r="Z11" s="1387">
        <f t="shared" ref="Z11:AJ11" si="3">$G$3</f>
        <v>5.45</v>
      </c>
      <c r="AA11" s="1387">
        <f t="shared" si="3"/>
        <v>5.45</v>
      </c>
      <c r="AB11" s="1387">
        <f t="shared" si="3"/>
        <v>5.45</v>
      </c>
      <c r="AC11" s="1387">
        <f t="shared" si="3"/>
        <v>5.45</v>
      </c>
      <c r="AD11" s="1387">
        <f t="shared" si="3"/>
        <v>5.45</v>
      </c>
      <c r="AE11" s="1387">
        <f t="shared" si="3"/>
        <v>5.45</v>
      </c>
      <c r="AF11" s="1387">
        <f t="shared" si="3"/>
        <v>5.45</v>
      </c>
      <c r="AG11" s="1387">
        <f t="shared" si="3"/>
        <v>5.45</v>
      </c>
      <c r="AH11" s="1387">
        <f t="shared" si="3"/>
        <v>5.45</v>
      </c>
      <c r="AI11" s="1387">
        <f t="shared" si="3"/>
        <v>5.45</v>
      </c>
      <c r="AJ11" s="1387">
        <f t="shared" si="3"/>
        <v>5.45</v>
      </c>
    </row>
    <row r="12" spans="1:36" ht="25.5" thickBot="1">
      <c r="A12" s="3819" t="s">
        <v>2685</v>
      </c>
      <c r="B12" s="2222" t="s">
        <v>2686</v>
      </c>
      <c r="C12" s="858">
        <f>ROUND(C15*D15*E15*F15*G15*H15*I15*J15,4)</f>
        <v>1</v>
      </c>
      <c r="D12" s="2223" t="s">
        <v>2687</v>
      </c>
      <c r="E12" s="2224"/>
      <c r="F12" s="2224"/>
      <c r="G12" s="2225"/>
      <c r="H12" s="2225"/>
      <c r="I12" s="2225"/>
      <c r="J12" s="2226"/>
      <c r="K12" s="1280"/>
      <c r="L12" s="2227" t="s">
        <v>2688</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si="0"/>
        <v>0</v>
      </c>
      <c r="U12" s="1375"/>
      <c r="V12" s="1374">
        <f t="shared" si="1"/>
        <v>0</v>
      </c>
      <c r="W12" s="3837"/>
      <c r="X12" s="1388" t="s">
        <v>2689</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843"/>
      <c r="B13" s="3059" t="s">
        <v>2690</v>
      </c>
      <c r="C13" s="2229" t="s">
        <v>2691</v>
      </c>
      <c r="D13" s="3067" t="s">
        <v>2692</v>
      </c>
      <c r="E13" s="3067" t="s">
        <v>2693</v>
      </c>
      <c r="F13" s="30" t="s">
        <v>2694</v>
      </c>
      <c r="G13" s="2230" t="s">
        <v>2695</v>
      </c>
      <c r="H13" s="2230" t="s">
        <v>2695</v>
      </c>
      <c r="I13" s="2230" t="s">
        <v>2695</v>
      </c>
      <c r="J13" s="2231" t="s">
        <v>2695</v>
      </c>
      <c r="K13" s="1280"/>
      <c r="L13" s="1280"/>
      <c r="M13" s="1280"/>
      <c r="N13" s="1280"/>
      <c r="O13" s="1280"/>
      <c r="P13" s="1280"/>
      <c r="Q13" s="1280"/>
      <c r="R13" s="1374">
        <v>12</v>
      </c>
      <c r="S13" s="1375"/>
      <c r="T13" s="1374">
        <f t="shared" si="0"/>
        <v>0</v>
      </c>
      <c r="U13" s="1375"/>
      <c r="V13" s="1374">
        <f t="shared" si="1"/>
        <v>0</v>
      </c>
      <c r="W13" s="3837"/>
      <c r="X13" s="1388"/>
      <c r="Y13" s="1385">
        <f>(-0.163*(Y12^2)-0.59*Y12+7617)*(10^(-4))/Y11</f>
        <v>0.13976146788990826</v>
      </c>
      <c r="Z13" s="1385">
        <f t="shared" ref="Z13:AJ13" si="5">(-0.163*(Z12^2)-0.59*Z12+7617)*(10^(-4))/Z11</f>
        <v>0.13976146788990826</v>
      </c>
      <c r="AA13" s="1385">
        <f t="shared" si="5"/>
        <v>0.13976146788990826</v>
      </c>
      <c r="AB13" s="1385">
        <f t="shared" si="5"/>
        <v>0.13976146788990826</v>
      </c>
      <c r="AC13" s="1385">
        <f t="shared" si="5"/>
        <v>0.13976146788990826</v>
      </c>
      <c r="AD13" s="1385">
        <f t="shared" si="5"/>
        <v>0.13976146788990826</v>
      </c>
      <c r="AE13" s="1385">
        <f t="shared" si="5"/>
        <v>0.13976146788990826</v>
      </c>
      <c r="AF13" s="1385">
        <f t="shared" si="5"/>
        <v>0.13976146788990826</v>
      </c>
      <c r="AG13" s="1385">
        <f t="shared" si="5"/>
        <v>0.13976146788990826</v>
      </c>
      <c r="AH13" s="1385">
        <f t="shared" si="5"/>
        <v>0.13976146788990826</v>
      </c>
      <c r="AI13" s="1385">
        <f t="shared" si="5"/>
        <v>0.13976146788990826</v>
      </c>
      <c r="AJ13" s="1385">
        <f t="shared" si="5"/>
        <v>0.13976146788990826</v>
      </c>
    </row>
    <row r="14" spans="1:36" ht="15">
      <c r="A14" s="3843"/>
      <c r="B14" s="3060"/>
      <c r="C14" s="2233"/>
      <c r="D14" s="2234"/>
      <c r="E14" s="2234"/>
      <c r="F14" s="2235"/>
      <c r="G14" s="2236" t="s">
        <v>2696</v>
      </c>
      <c r="H14" s="2237"/>
      <c r="I14" s="2238"/>
      <c r="J14" s="2239"/>
      <c r="K14" s="1280"/>
      <c r="L14" s="1280"/>
      <c r="M14" s="1280"/>
      <c r="N14" s="1280"/>
      <c r="O14" s="1280"/>
      <c r="P14" s="1280"/>
      <c r="Q14" s="1280"/>
      <c r="R14" s="1374">
        <v>13</v>
      </c>
      <c r="S14" s="1375"/>
      <c r="T14" s="1374">
        <f t="shared" si="0"/>
        <v>0</v>
      </c>
      <c r="U14" s="1375"/>
      <c r="V14" s="1374">
        <f t="shared" si="1"/>
        <v>0</v>
      </c>
      <c r="W14" s="1378"/>
      <c r="X14" s="1378"/>
      <c r="Y14" s="1378"/>
      <c r="Z14" s="1378"/>
      <c r="AA14" s="1378"/>
      <c r="AB14" s="1378"/>
      <c r="AC14" s="1379"/>
      <c r="AD14" s="3018"/>
      <c r="AE14" s="3018"/>
      <c r="AF14" s="3018"/>
      <c r="AG14" s="3018"/>
      <c r="AH14" s="3018"/>
      <c r="AI14" s="3018"/>
      <c r="AJ14" s="3019"/>
    </row>
    <row r="15" spans="1:36" ht="15.75" thickBot="1">
      <c r="A15" s="3844"/>
      <c r="B15" s="2240" t="s">
        <v>2697</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f t="shared" si="0"/>
        <v>0</v>
      </c>
      <c r="U15" s="1375"/>
      <c r="V15" s="1374">
        <f t="shared" si="1"/>
        <v>0</v>
      </c>
      <c r="W15" s="1378"/>
      <c r="X15" s="1378"/>
      <c r="Y15" s="1378"/>
      <c r="Z15" s="1378"/>
      <c r="AA15" s="1378"/>
      <c r="AB15" s="1378"/>
      <c r="AC15" s="1379"/>
      <c r="AD15" s="3018"/>
      <c r="AE15" s="3018"/>
      <c r="AF15" s="3018"/>
      <c r="AG15" s="3018"/>
      <c r="AH15" s="3018"/>
      <c r="AI15" s="3018"/>
      <c r="AJ15" s="3019"/>
    </row>
    <row r="16" spans="1:36" ht="24.6" customHeight="1">
      <c r="A16" s="3819" t="s">
        <v>2702</v>
      </c>
      <c r="B16" s="3061" t="s">
        <v>2703</v>
      </c>
      <c r="C16" s="2371">
        <f>ROUND(IF(F17="与级别开发程度一致",0,(G17-E17)/C17),0)</f>
        <v>0</v>
      </c>
      <c r="D16" s="3832" t="s">
        <v>2707</v>
      </c>
      <c r="E16" s="3833"/>
      <c r="F16" s="3832" t="s">
        <v>2704</v>
      </c>
      <c r="G16" s="3833"/>
      <c r="H16" s="2241"/>
      <c r="I16" s="2241"/>
      <c r="J16" s="2375"/>
      <c r="K16" s="2241"/>
      <c r="L16" s="2241"/>
      <c r="M16" s="2241"/>
      <c r="N16" s="2241"/>
      <c r="O16" s="2242"/>
      <c r="P16" s="2183"/>
      <c r="Q16" s="1280"/>
      <c r="R16" s="1374">
        <v>15</v>
      </c>
      <c r="S16" s="1375"/>
      <c r="T16" s="1374">
        <f t="shared" si="0"/>
        <v>0</v>
      </c>
      <c r="U16" s="1375"/>
      <c r="V16" s="1374">
        <f t="shared" si="1"/>
        <v>0</v>
      </c>
      <c r="W16" s="1378"/>
      <c r="X16" s="1378"/>
      <c r="Y16" s="1378"/>
      <c r="Z16" s="1378"/>
      <c r="AA16" s="1378"/>
      <c r="AB16" s="1378"/>
      <c r="AC16" s="1379"/>
      <c r="AD16" s="3018"/>
      <c r="AE16" s="3018"/>
      <c r="AF16" s="3018"/>
      <c r="AG16" s="3018"/>
      <c r="AH16" s="3018"/>
      <c r="AI16" s="3018"/>
      <c r="AJ16" s="3019"/>
    </row>
    <row r="17" spans="1:37" ht="26.25" thickBot="1">
      <c r="A17" s="3820"/>
      <c r="B17" s="2382" t="s">
        <v>2706</v>
      </c>
      <c r="C17" s="2383">
        <f>SUMPRODUCT((修正!A2:A5=E2)*(修正!B1:M1=G2)*(修正!B2:M5))</f>
        <v>3.5</v>
      </c>
      <c r="D17" s="193" t="str">
        <f>IF(OR(G2="八级",G2="九级",G2="十级",G2="十一级",G2="十二级"),"五通一平","七通一平")</f>
        <v>七通一平</v>
      </c>
      <c r="E17" s="2372">
        <f>SUMPRODUCT((修正!B1:M1=G2)*(修正!B15:M15))</f>
        <v>375</v>
      </c>
      <c r="F17" s="2373" t="s">
        <v>3092</v>
      </c>
      <c r="G17" s="2374">
        <f>SUM(H17:O17)</f>
        <v>0</v>
      </c>
      <c r="H17" s="2383">
        <f>SUMPRODUCT((七通一平=H16)*(修正!B1:M1=G2)*(修正!B6:M14))</f>
        <v>0</v>
      </c>
      <c r="I17" s="2383">
        <f>SUMPRODUCT((七通一平=I16)*(修正!B1:M1=G2)*(修正!B6:M14))</f>
        <v>0</v>
      </c>
      <c r="J17" s="2384">
        <f>SUMPRODUCT((七通一平=J16)*(修正!B1:M1=G2)*(修正!B6:M14))</f>
        <v>0</v>
      </c>
      <c r="K17" s="2383">
        <f>SUMPRODUCT((七通一平=K16)*(修正!B1:M1=G2)*(修正!B6:M14))</f>
        <v>0</v>
      </c>
      <c r="L17" s="2383">
        <f>SUMPRODUCT((七通一平=L16)*(修正!B1:M1=G2)*(修正!B6:M14))</f>
        <v>0</v>
      </c>
      <c r="M17" s="2383">
        <f>SUMPRODUCT((七通一平=M16)*(修正!B1:M1=G2)*(修正!B6:M14))</f>
        <v>0</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2709</v>
      </c>
      <c r="C18" s="2378">
        <f>SUMIF(修正!C18:C39,E3,修正!E18:E39)</f>
        <v>1</v>
      </c>
      <c r="D18" s="2379"/>
      <c r="E18" s="2380"/>
      <c r="F18" s="2380"/>
      <c r="G18" s="2380"/>
      <c r="H18" s="2380"/>
      <c r="I18" s="2380"/>
      <c r="J18" s="2381"/>
      <c r="K18" s="1287"/>
      <c r="L18" s="3017"/>
      <c r="M18" s="3017"/>
      <c r="N18" s="3017"/>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7"/>
    </row>
    <row r="19" spans="1:37" s="2202" customFormat="1" ht="29.25" thickBot="1">
      <c r="A19" s="2246" t="s">
        <v>809</v>
      </c>
      <c r="B19" s="2247" t="s">
        <v>2710</v>
      </c>
      <c r="C19" s="863">
        <f>ROUND(IF(H19="按公示增长率计算",SUMPRODUCT((地价!A3:A35=YEAR(G19)&amp;"-"&amp;ROUNDUP(MONTH(G19)/3,0))*(地价!X2:AB2=E2)*(地价!X3:AB35)),IF(H19="地价指数",M20/M19,(1+I19)^O19)),4)</f>
        <v>1.2205999999999999</v>
      </c>
      <c r="D19" s="2251" t="s">
        <v>2711</v>
      </c>
      <c r="E19" s="864">
        <v>41640</v>
      </c>
      <c r="F19" s="2251" t="s">
        <v>2712</v>
      </c>
      <c r="G19" s="865">
        <f>'数据-取费表'!B2</f>
        <v>42914</v>
      </c>
      <c r="H19" s="2252" t="s">
        <v>3093</v>
      </c>
      <c r="I19" s="866" t="str">
        <f>IF(H19="季度增幅（自定义）",SUMIF(N21:N24,E2,O21:O24),"")</f>
        <v/>
      </c>
      <c r="J19" s="2249"/>
      <c r="K19" s="1287"/>
      <c r="L19" s="2253" t="s">
        <v>2713</v>
      </c>
      <c r="M19" s="1496">
        <f>ROUND(SUMIF(地价!B2:F2,E2,地价!B35:F35),0)</f>
        <v>258</v>
      </c>
      <c r="N19" s="2254" t="s">
        <v>2714</v>
      </c>
      <c r="O19" s="867">
        <f>ROUNDDOWN(DATEDIF(E19,G19,"M")/3,0)</f>
        <v>13</v>
      </c>
      <c r="P19" s="1284"/>
      <c r="Q19" s="1286"/>
      <c r="R19" s="1286"/>
      <c r="S19" s="1286"/>
      <c r="T19" s="1281"/>
      <c r="U19" s="1281"/>
      <c r="V19" s="1281"/>
      <c r="W19" s="1280"/>
      <c r="X19" s="1280"/>
      <c r="Y19" s="1280"/>
      <c r="Z19" s="1287"/>
      <c r="AA19" s="1287"/>
      <c r="AB19" s="1287"/>
      <c r="AC19" s="1287"/>
      <c r="AD19" s="1287"/>
      <c r="AE19" s="1287"/>
      <c r="AF19" s="1286"/>
      <c r="AG19" s="3020"/>
      <c r="AH19" s="2340"/>
      <c r="AI19" s="3021"/>
      <c r="AJ19" s="3021"/>
      <c r="AK19" s="2255"/>
    </row>
    <row r="20" spans="1:37" s="2202" customFormat="1" ht="27.75" thickBot="1">
      <c r="A20" s="2256" t="s">
        <v>810</v>
      </c>
      <c r="B20" s="2257" t="s">
        <v>2715</v>
      </c>
      <c r="C20" s="868">
        <f>ROUND(POWER(1+G20,J20-I20)*(POWER(1+G20,I20)-1)/(POWER(1+G20,J20)-1),4)</f>
        <v>0.83420000000000005</v>
      </c>
      <c r="D20" s="2258" t="s">
        <v>2716</v>
      </c>
      <c r="E20" s="1505">
        <f>存贷款利率!E18/100</f>
        <v>4.3499999999999997E-2</v>
      </c>
      <c r="F20" s="2258" t="s">
        <v>2708</v>
      </c>
      <c r="G20" s="873">
        <f>SUMIF(M26:P26,E2,M28:P28)</f>
        <v>5.3999999999999999E-2</v>
      </c>
      <c r="H20" s="2258" t="s">
        <v>2717</v>
      </c>
      <c r="I20" s="3068">
        <f>SUMIF('数据-取费表'!C6:C15,E2,'数据-取费表'!F6:F15)/COUNTIF('数据-取费表'!C6:C15,E2)</f>
        <v>25.07</v>
      </c>
      <c r="J20" s="875">
        <f>IF(E2="住宅",70,IF(E2="商业",40,50))</f>
        <v>40</v>
      </c>
      <c r="K20" s="1287"/>
      <c r="L20" s="2259" t="s">
        <v>2718</v>
      </c>
      <c r="M20" s="1497">
        <f>ROUND(SUMPRODUCT((地价!A4:A35=YEAR(G19)&amp;"-"&amp;ROUNDUP(MONTH(G19)/3,0))*(地价!B2:F2=E2)*(地价!B4:F35)),0)</f>
        <v>314</v>
      </c>
      <c r="N20" s="2260" t="s">
        <v>2719</v>
      </c>
      <c r="O20" s="2261" t="s">
        <v>2720</v>
      </c>
      <c r="P20" s="2262" t="s">
        <v>2721</v>
      </c>
      <c r="Q20" s="3017"/>
      <c r="R20" s="1286"/>
      <c r="S20" s="1286"/>
      <c r="T20" s="1281"/>
      <c r="U20" s="1281"/>
      <c r="V20" s="1281"/>
      <c r="W20" s="1280"/>
      <c r="X20" s="1280"/>
      <c r="Y20" s="1280"/>
      <c r="Z20" s="1287"/>
      <c r="AA20" s="1287"/>
      <c r="AB20" s="1287"/>
      <c r="AC20" s="1287"/>
      <c r="AD20" s="1287"/>
      <c r="AE20" s="1287"/>
      <c r="AF20" s="1287"/>
      <c r="AG20" s="3017"/>
      <c r="AH20" s="3017"/>
      <c r="AI20" s="3017"/>
      <c r="AJ20" s="3017"/>
    </row>
    <row r="21" spans="1:37" s="2202" customFormat="1" ht="15">
      <c r="A21" s="2263" t="s">
        <v>811</v>
      </c>
      <c r="B21" s="2264" t="s">
        <v>3099</v>
      </c>
      <c r="C21" s="3063">
        <f>IF(B21="容积率修正",IF(G3&lt;=10,D22,J22),C23)</f>
        <v>0</v>
      </c>
      <c r="D21" s="2265"/>
      <c r="E21" s="2265"/>
      <c r="F21" s="2265"/>
      <c r="G21" s="2265"/>
      <c r="H21" s="2265"/>
      <c r="I21" s="2265"/>
      <c r="J21" s="2266"/>
      <c r="K21" s="1287"/>
      <c r="L21" s="3017"/>
      <c r="M21" s="3017"/>
      <c r="N21" s="2267" t="s">
        <v>2722</v>
      </c>
      <c r="O21" s="1335"/>
      <c r="P21" s="1336">
        <f>SUMPRODUCT((地价!A3:A35=YEAR(G19)&amp;"-"&amp;ROUNDUP(MONTH(G19)/3,0))*(地价!AD2:AH2=N21)*(地价!AD3:AH35))</f>
        <v>1.6E-2</v>
      </c>
      <c r="Q21" s="3017"/>
      <c r="R21" s="1286"/>
      <c r="S21" s="1286"/>
      <c r="T21" s="1281"/>
      <c r="U21" s="1281"/>
      <c r="V21" s="1281"/>
      <c r="W21" s="1280"/>
      <c r="X21" s="1280"/>
      <c r="Y21" s="1280"/>
      <c r="Z21" s="1287"/>
      <c r="AA21" s="1287"/>
      <c r="AB21" s="1287"/>
      <c r="AC21" s="1287"/>
      <c r="AD21" s="1287"/>
      <c r="AE21" s="1287"/>
      <c r="AF21" s="1287"/>
      <c r="AG21" s="3017"/>
      <c r="AH21" s="3017"/>
      <c r="AI21" s="3017"/>
      <c r="AJ21" s="3017"/>
    </row>
    <row r="22" spans="1:37" s="2202" customFormat="1" ht="14.25">
      <c r="A22" s="2141" t="s">
        <v>2723</v>
      </c>
      <c r="B22" s="2268" t="s">
        <v>2724</v>
      </c>
      <c r="C22" s="3062" t="s">
        <v>2725</v>
      </c>
      <c r="D22" s="3062">
        <f>IF(E22=G22,F22,IF(G3&lt;=10,ROUND(F22+(H22-F22)*(G3-E22)/(G22-E22),4),"——"))</f>
        <v>0.91349999999999998</v>
      </c>
      <c r="E22" s="855">
        <f>ROUNDDOWN(G3,1)</f>
        <v>5.4</v>
      </c>
      <c r="F22" s="306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0.91490000000000005</v>
      </c>
      <c r="G22" s="855">
        <f>ROUNDUP(G3,1)</f>
        <v>5.5</v>
      </c>
      <c r="H22" s="306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0.91200000000000003</v>
      </c>
      <c r="I22" s="3062" t="s">
        <v>155</v>
      </c>
      <c r="J22" s="877" t="str">
        <f>IF(G3&gt;10,D113,"——")</f>
        <v>——</v>
      </c>
      <c r="K22" s="1287"/>
      <c r="L22" s="3017"/>
      <c r="M22" s="3017"/>
      <c r="N22" s="2267" t="s">
        <v>2726</v>
      </c>
      <c r="O22" s="1335"/>
      <c r="P22" s="1336">
        <f>SUMPRODUCT((地价!A3:A35=YEAR(G19)&amp;"-"&amp;ROUNDUP(MONTH(G19)/3,0))*(地价!AD2:AH2=N22)*(地价!AD3:AH35))</f>
        <v>1.6E-2</v>
      </c>
      <c r="Q22" s="3017"/>
      <c r="R22" s="1286"/>
      <c r="S22" s="1286"/>
      <c r="T22" s="1281"/>
      <c r="U22" s="1281"/>
      <c r="V22" s="1281"/>
      <c r="W22" s="1280"/>
      <c r="X22" s="1280"/>
      <c r="Y22" s="1280"/>
      <c r="Z22" s="1287"/>
      <c r="AA22" s="1287"/>
      <c r="AB22" s="1287"/>
      <c r="AC22" s="1287"/>
      <c r="AD22" s="1287"/>
      <c r="AE22" s="1287"/>
      <c r="AF22" s="1287"/>
      <c r="AG22" s="3017"/>
      <c r="AH22" s="3017"/>
      <c r="AI22" s="3017"/>
      <c r="AJ22" s="3017"/>
    </row>
    <row r="23" spans="1:37" ht="27.75" thickBot="1">
      <c r="A23" s="2141" t="s">
        <v>2727</v>
      </c>
      <c r="B23" s="2269" t="s">
        <v>2728</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2729</v>
      </c>
      <c r="O23" s="1335"/>
      <c r="P23" s="1336">
        <f>SUMPRODUCT((地价!A3:A35=YEAR(G19)&amp;"-"&amp;ROUNDUP(MONTH(G19)/3,0))*(地价!AD2:AH2=N23)*(地价!AD3:AH35))</f>
        <v>2.75E-2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2730</v>
      </c>
      <c r="C24" s="863">
        <f>SUMIF(A45:A88,E2,B45:B88)</f>
        <v>1</v>
      </c>
      <c r="D24" s="2248"/>
      <c r="E24" s="2275"/>
      <c r="F24" s="2275"/>
      <c r="G24" s="2275"/>
      <c r="H24" s="2275"/>
      <c r="I24" s="2275"/>
      <c r="J24" s="2276"/>
      <c r="K24" s="1287"/>
      <c r="L24" s="3017"/>
      <c r="M24" s="3017"/>
      <c r="N24" s="2277" t="s">
        <v>2731</v>
      </c>
      <c r="O24" s="1337"/>
      <c r="P24" s="1338">
        <f>SUMPRODUCT((地价!A3:A35=YEAR(G19)&amp;"-"&amp;ROUNDUP(MONTH(G19)/3,0))*(地价!AD2:AH2=N24)*(地价!AD3:AH35))</f>
        <v>1.37E-2</v>
      </c>
      <c r="Q24" s="3017"/>
      <c r="R24" s="1286"/>
      <c r="S24" s="1286"/>
      <c r="T24" s="1281"/>
      <c r="U24" s="1281"/>
      <c r="V24" s="1281"/>
      <c r="W24" s="1280"/>
      <c r="X24" s="1280"/>
      <c r="Y24" s="1280"/>
      <c r="Z24" s="1287"/>
      <c r="AA24" s="1287"/>
      <c r="AB24" s="1287"/>
      <c r="AC24" s="1287"/>
      <c r="AD24" s="1287"/>
      <c r="AE24" s="1287"/>
      <c r="AF24" s="1287"/>
      <c r="AG24" s="3017"/>
      <c r="AH24" s="3017"/>
      <c r="AI24" s="3017"/>
      <c r="AJ24" s="3017"/>
    </row>
    <row r="25" spans="1:37" ht="15.75" thickBot="1">
      <c r="A25" s="2256" t="s">
        <v>813</v>
      </c>
      <c r="B25" s="2278" t="s">
        <v>2732</v>
      </c>
      <c r="C25" s="869"/>
      <c r="D25" s="2212"/>
      <c r="E25" s="2212"/>
      <c r="F25" s="2279"/>
      <c r="G25" s="2212"/>
      <c r="H25" s="2212"/>
      <c r="I25" s="2212"/>
      <c r="J25" s="2213"/>
      <c r="K25" s="1280"/>
      <c r="L25" s="2183"/>
      <c r="M25" s="2183"/>
      <c r="N25" s="3012" t="s">
        <v>2733</v>
      </c>
      <c r="O25" s="3013"/>
      <c r="P25" s="3014">
        <f>SUMPRODUCT((地价!A3:A35=YEAR(G19)&amp;"-"&amp;ROUNDUP(MONTH(G19)/3,0))*(地价!AD2:AH2=N25)*(地价!AD3:AH35))</f>
        <v>2.46E-2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2734</v>
      </c>
      <c r="C26" s="2542">
        <f>IF(B21="容积率修正",E29+SUM(E33:E39),SUM(V2:V16)+SUM(E33:E39))</f>
        <v>41066</v>
      </c>
      <c r="D26" s="2281"/>
      <c r="E26" s="2237"/>
      <c r="F26" s="2282"/>
      <c r="G26" s="2237"/>
      <c r="H26" s="2237"/>
      <c r="I26" s="2237"/>
      <c r="J26" s="2283"/>
      <c r="K26" s="1280"/>
      <c r="L26" s="3015" t="s">
        <v>2633</v>
      </c>
      <c r="M26" s="2210" t="s">
        <v>2698</v>
      </c>
      <c r="N26" s="2210" t="s">
        <v>2699</v>
      </c>
      <c r="O26" s="2210" t="s">
        <v>2700</v>
      </c>
      <c r="P26" s="3016" t="s">
        <v>2701</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2735</v>
      </c>
      <c r="C27" s="870">
        <f>E30+SUM(I33:I39)</f>
        <v>0</v>
      </c>
      <c r="D27" s="2285"/>
      <c r="E27" s="2286"/>
      <c r="F27" s="2287"/>
      <c r="G27" s="2286"/>
      <c r="H27" s="2286"/>
      <c r="I27" s="2286"/>
      <c r="J27" s="2288"/>
      <c r="K27" s="1280"/>
      <c r="L27" s="2243" t="s">
        <v>2705</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2736</v>
      </c>
      <c r="C28" s="2291" t="s">
        <v>2737</v>
      </c>
      <c r="D28" s="2291" t="s">
        <v>2738</v>
      </c>
      <c r="E28" s="2292" t="s">
        <v>2739</v>
      </c>
      <c r="F28" s="2293"/>
      <c r="G28" s="2225"/>
      <c r="H28" s="2225"/>
      <c r="I28" s="2225"/>
      <c r="J28" s="2226"/>
      <c r="K28" s="1280"/>
      <c r="L28" s="2244" t="s">
        <v>2708</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2740</v>
      </c>
      <c r="C29" s="180">
        <f>ROUND(C5*C18*C19*C20*C21*C24,0)</f>
        <v>0</v>
      </c>
      <c r="D29" s="2296"/>
      <c r="E29" s="3066">
        <f>ROUND(C29*D29/10000,0)</f>
        <v>0</v>
      </c>
      <c r="F29" s="2297" t="s">
        <v>2741</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2742</v>
      </c>
      <c r="C30" s="193">
        <f>ROUND(IF(E2="工业",C29*M39,C29*M38),0)</f>
        <v>0</v>
      </c>
      <c r="D30" s="2302"/>
      <c r="E30" s="3066">
        <f>ROUND(C30*D30/10000,0)</f>
        <v>0</v>
      </c>
      <c r="F30" s="2303" t="s">
        <v>2743</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2744</v>
      </c>
      <c r="C31" s="2308" t="s">
        <v>2745</v>
      </c>
      <c r="D31" s="2225"/>
      <c r="E31" s="2308"/>
      <c r="F31" s="2308"/>
      <c r="G31" s="2223" t="s">
        <v>2746</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2737</v>
      </c>
      <c r="D32" s="455" t="s">
        <v>2738</v>
      </c>
      <c r="E32" s="455" t="s">
        <v>2739</v>
      </c>
      <c r="F32" s="348" t="s">
        <v>2747</v>
      </c>
      <c r="G32" s="2311" t="s">
        <v>2737</v>
      </c>
      <c r="H32" s="2311" t="s">
        <v>2738</v>
      </c>
      <c r="I32" s="2311" t="s">
        <v>2739</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829"/>
      <c r="B33" s="2312" t="s">
        <v>2748</v>
      </c>
      <c r="C33" s="180">
        <f>ROUND(D5*C19*C20*C24*F33,0)</f>
        <v>23908</v>
      </c>
      <c r="D33" s="2296"/>
      <c r="E33" s="176">
        <f>ROUND(C33*D33/10000,0)</f>
        <v>0</v>
      </c>
      <c r="F33" s="176">
        <f>SUMIF(修正!A45:A56,G2,修正!B45:B56)</f>
        <v>0.8</v>
      </c>
      <c r="G33" s="176">
        <f>ROUND(IF(E2="工业",C33*$M$39,C33*$M$38),0)</f>
        <v>5977</v>
      </c>
      <c r="H33" s="176">
        <f>D33</f>
        <v>0</v>
      </c>
      <c r="I33" s="176">
        <f>ROUND(G33*H33/10000,0)</f>
        <v>0</v>
      </c>
      <c r="J33" s="3834" t="s">
        <v>3050</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830"/>
      <c r="B34" s="2229" t="s">
        <v>2749</v>
      </c>
      <c r="C34" s="180">
        <f>ROUND(D5*C19*C20*C24*F34,0)</f>
        <v>14942</v>
      </c>
      <c r="D34" s="2296"/>
      <c r="E34" s="176">
        <f t="shared" ref="E34:E39" si="6">ROUND(C34*D34/10000,0)</f>
        <v>0</v>
      </c>
      <c r="F34" s="176">
        <f>SUMIF(修正!A45:A56,G2,修正!C45:C56)</f>
        <v>0.5</v>
      </c>
      <c r="G34" s="176">
        <f>ROUND(IF(E2="工业",C34*$M$39,C34*$M$38),0)</f>
        <v>3736</v>
      </c>
      <c r="H34" s="176">
        <f t="shared" ref="H34:H39" si="7">D34</f>
        <v>0</v>
      </c>
      <c r="I34" s="176">
        <f t="shared" ref="I34:I39" si="8">ROUND(G34*H34/10000,0)</f>
        <v>0</v>
      </c>
      <c r="J34" s="3830"/>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830"/>
      <c r="B35" s="2229" t="s">
        <v>2750</v>
      </c>
      <c r="C35" s="180">
        <f>ROUND(D5*C19*C20*C24*F35,0)</f>
        <v>10759</v>
      </c>
      <c r="D35" s="2296"/>
      <c r="E35" s="176">
        <f t="shared" si="6"/>
        <v>0</v>
      </c>
      <c r="F35" s="176">
        <f>SUMIF(修正!A45:A56,G2,修正!D45:D56)</f>
        <v>0.36</v>
      </c>
      <c r="G35" s="176">
        <f>ROUND(IF(E2="工业",C35*$M$39,C35*$M$38),0)</f>
        <v>2690</v>
      </c>
      <c r="H35" s="176">
        <f t="shared" si="7"/>
        <v>0</v>
      </c>
      <c r="I35" s="176">
        <f t="shared" si="8"/>
        <v>0</v>
      </c>
      <c r="J35" s="3830"/>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831"/>
      <c r="B36" s="2229" t="s">
        <v>2751</v>
      </c>
      <c r="C36" s="180">
        <f>ROUND(D5*C19*C20*C24*F36,0)</f>
        <v>8965</v>
      </c>
      <c r="D36" s="2296"/>
      <c r="E36" s="176">
        <f t="shared" si="6"/>
        <v>0</v>
      </c>
      <c r="F36" s="176">
        <f>SUMIF(修正!A45:A56,G2,修正!E45:E56)</f>
        <v>0.3</v>
      </c>
      <c r="G36" s="176">
        <f>ROUND(IF(E2="工业",C36*$M$39,C36*$M$38),0)</f>
        <v>2241</v>
      </c>
      <c r="H36" s="176">
        <f t="shared" si="7"/>
        <v>0</v>
      </c>
      <c r="I36" s="176">
        <f t="shared" si="8"/>
        <v>0</v>
      </c>
      <c r="J36" s="3831"/>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2752</v>
      </c>
      <c r="C37" s="176">
        <f>ROUND(D5*C19*C20*C24*F37,0)</f>
        <v>8965</v>
      </c>
      <c r="D37" s="2296"/>
      <c r="E37" s="176">
        <f t="shared" si="6"/>
        <v>0</v>
      </c>
      <c r="F37" s="180">
        <f>SUMIF(修正!A45:A56,G2,修正!F45:F56)</f>
        <v>0.3</v>
      </c>
      <c r="G37" s="176">
        <f>ROUND(IF(E2="工业",C37*$M$39,C37*$M$38),0)</f>
        <v>2241</v>
      </c>
      <c r="H37" s="176">
        <f t="shared" si="7"/>
        <v>0</v>
      </c>
      <c r="I37" s="176">
        <f t="shared" si="8"/>
        <v>0</v>
      </c>
      <c r="J37" s="2313"/>
      <c r="K37" s="1280"/>
      <c r="L37" s="2315" t="s">
        <v>2753</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2754</v>
      </c>
      <c r="C38" s="176">
        <f>ROUND(D5*C19*C41*C24*F38,0)</f>
        <v>0</v>
      </c>
      <c r="D38" s="2296"/>
      <c r="E38" s="176">
        <f t="shared" si="6"/>
        <v>0</v>
      </c>
      <c r="F38" s="180">
        <f>SUMIF(修正!A45:A56,G2,修正!G45:G56)</f>
        <v>0.3</v>
      </c>
      <c r="G38" s="176">
        <f>ROUND(IF(E2="工业",C38*$M$39,C38*$M$38),0)</f>
        <v>0</v>
      </c>
      <c r="H38" s="176">
        <f t="shared" si="7"/>
        <v>0</v>
      </c>
      <c r="I38" s="176">
        <f t="shared" si="8"/>
        <v>0</v>
      </c>
      <c r="J38" s="2313"/>
      <c r="K38" s="1280"/>
      <c r="L38" s="1605" t="s">
        <v>2755</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2756</v>
      </c>
      <c r="C39" s="193">
        <f>ROUND(D5*C19*C41*C24*F39,0)</f>
        <v>0</v>
      </c>
      <c r="D39" s="2302"/>
      <c r="E39" s="193">
        <f t="shared" si="6"/>
        <v>0</v>
      </c>
      <c r="F39" s="871">
        <f>SUMIF(修正!A45:A56,G2,修正!H45:H56)</f>
        <v>0.25</v>
      </c>
      <c r="G39" s="193">
        <f>ROUND(IF(E2="工业",C39*$M$39,C39*$M$38),0)</f>
        <v>0</v>
      </c>
      <c r="H39" s="193">
        <f t="shared" si="7"/>
        <v>0</v>
      </c>
      <c r="I39" s="193">
        <f t="shared" si="8"/>
        <v>0</v>
      </c>
      <c r="J39" s="2319"/>
      <c r="K39" s="1280"/>
      <c r="L39" s="2320" t="s">
        <v>2701</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2860</v>
      </c>
      <c r="C41" s="348">
        <f>ROUND(POWER(1+E41,H41-G41)*(POWER(1+E41,G41)-1)/(POWER(1+E41,H41)-1),4)</f>
        <v>0</v>
      </c>
      <c r="D41" s="176" t="s">
        <v>2708</v>
      </c>
      <c r="E41" s="2369">
        <f>G20</f>
        <v>5.3999999999999999E-2</v>
      </c>
      <c r="F41" s="176" t="s">
        <v>2717</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2757</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c r="A46" s="2325" t="s">
        <v>2758</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c r="A47" s="2329" t="s">
        <v>2759</v>
      </c>
      <c r="B47" s="1535" t="s">
        <v>2760</v>
      </c>
      <c r="C47" s="1535" t="s">
        <v>2761</v>
      </c>
      <c r="D47" s="1535" t="s">
        <v>2762</v>
      </c>
      <c r="E47" s="758" t="s">
        <v>2763</v>
      </c>
      <c r="F47" s="2330" t="s">
        <v>2764</v>
      </c>
      <c r="G47" s="1535" t="s">
        <v>754</v>
      </c>
      <c r="H47" s="2331" t="s">
        <v>2765</v>
      </c>
      <c r="I47" s="1535" t="s">
        <v>2766</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89.25">
      <c r="A48" s="2329" t="s">
        <v>2767</v>
      </c>
      <c r="B48" s="2332" t="str">
        <f>估价对象房地状况!C4</f>
        <v>估价对象位于东四商圈，位于商业类一级地价区，周边有隆福大厦、隆福广场、物美超市，东四大街、朝内大街沿街商业氛围成熟，人流量大，商业繁华度较好。</v>
      </c>
      <c r="C48" s="2234"/>
      <c r="D48" s="1196">
        <f t="shared" ref="D48:D56" si="9">SUMIF($J$47:$N$47,C48,J48:N48)</f>
        <v>0</v>
      </c>
      <c r="E48" s="760">
        <f>ROUND(SUM(D48:D56),4)</f>
        <v>0</v>
      </c>
      <c r="F48" s="2000">
        <f>IF(E2="商业",SUMIF(L1:L12,G2,N1:N12),"——")</f>
        <v>8.5999999999999993E-2</v>
      </c>
      <c r="G48" s="1194"/>
      <c r="H48" s="1198">
        <f t="shared" ref="H48:H56" si="10">IFERROR(ROUNDDOWN($F$48*I48/2,4),"——")</f>
        <v>1.41E-2</v>
      </c>
      <c r="I48" s="759">
        <v>0.33</v>
      </c>
      <c r="J48" s="1195">
        <f t="shared" ref="J48:J56" si="11">K48+$G48</f>
        <v>0</v>
      </c>
      <c r="K48" s="1195">
        <f t="shared" ref="K48:K56" si="12">$L48+$G48</f>
        <v>0</v>
      </c>
      <c r="L48" s="1195">
        <v>0</v>
      </c>
      <c r="M48" s="1195">
        <f t="shared" ref="M48:N56" si="13">L48-$G48</f>
        <v>0</v>
      </c>
      <c r="N48" s="1195">
        <f t="shared" si="13"/>
        <v>0</v>
      </c>
      <c r="AA48" s="1281"/>
      <c r="AB48" s="1281"/>
      <c r="AC48" s="1281"/>
      <c r="AD48" s="1281"/>
      <c r="AE48" s="1281"/>
      <c r="AF48" s="1281"/>
      <c r="AG48" s="1281"/>
      <c r="AH48" s="1281"/>
      <c r="AI48" s="1281"/>
      <c r="AJ48" s="1281"/>
      <c r="AK48" s="1281"/>
    </row>
    <row r="49" spans="1:37" s="1280" customFormat="1" ht="127.5">
      <c r="A49" s="2329" t="s">
        <v>2768</v>
      </c>
      <c r="B49" s="2333" t="str">
        <f>估价对象房地状况!C18</f>
        <v>估价对象位于东四路口的东南角，紧临城市主干道-朝阳门内大街，西距东四南大街100米，距离地铁5号线（2007年通车）与6号线（2012年通车）东四站75米，多条公交线路通达，公共交通便利，停车便捷度好，综合评价交通便捷度较好。</v>
      </c>
      <c r="C49" s="2234"/>
      <c r="D49" s="1196">
        <f t="shared" si="9"/>
        <v>0</v>
      </c>
      <c r="E49" s="761"/>
      <c r="F49" s="2000"/>
      <c r="G49" s="1194"/>
      <c r="H49" s="1198">
        <f t="shared" si="10"/>
        <v>1.0699999999999999E-2</v>
      </c>
      <c r="I49" s="759">
        <v>0.25</v>
      </c>
      <c r="J49" s="1195">
        <f t="shared" si="11"/>
        <v>0</v>
      </c>
      <c r="K49" s="1195">
        <f t="shared" si="12"/>
        <v>0</v>
      </c>
      <c r="L49" s="1195">
        <v>0</v>
      </c>
      <c r="M49" s="1195">
        <f t="shared" si="13"/>
        <v>0</v>
      </c>
      <c r="N49" s="1195">
        <f t="shared" si="13"/>
        <v>0</v>
      </c>
      <c r="AA49" s="1281"/>
      <c r="AB49" s="1281"/>
      <c r="AC49" s="1281"/>
      <c r="AD49" s="1281"/>
      <c r="AE49" s="1281"/>
      <c r="AF49" s="1281"/>
      <c r="AG49" s="1281"/>
      <c r="AH49" s="1281"/>
      <c r="AI49" s="1281"/>
      <c r="AJ49" s="1281"/>
      <c r="AK49" s="1281"/>
    </row>
    <row r="50" spans="1:37" s="1280" customFormat="1" ht="24">
      <c r="A50" s="2329" t="s">
        <v>2769</v>
      </c>
      <c r="B50" s="2333">
        <f>估价对象房地状况!C19</f>
        <v>0</v>
      </c>
      <c r="C50" s="2234"/>
      <c r="D50" s="1196">
        <f t="shared" si="9"/>
        <v>0</v>
      </c>
      <c r="E50" s="761"/>
      <c r="F50" s="2000"/>
      <c r="G50" s="1194"/>
      <c r="H50" s="1198">
        <f t="shared" si="10"/>
        <v>2.0999999999999999E-3</v>
      </c>
      <c r="I50" s="759">
        <v>0.05</v>
      </c>
      <c r="J50" s="1195">
        <f t="shared" si="11"/>
        <v>0</v>
      </c>
      <c r="K50" s="1195">
        <f t="shared" si="12"/>
        <v>0</v>
      </c>
      <c r="L50" s="1195">
        <v>0</v>
      </c>
      <c r="M50" s="1195">
        <f t="shared" si="13"/>
        <v>0</v>
      </c>
      <c r="N50" s="1195">
        <f t="shared" si="13"/>
        <v>0</v>
      </c>
      <c r="AA50" s="1281"/>
      <c r="AB50" s="1281"/>
      <c r="AC50" s="1281"/>
      <c r="AD50" s="1281"/>
      <c r="AE50" s="1281"/>
      <c r="AF50" s="1281"/>
      <c r="AG50" s="1281"/>
      <c r="AH50" s="1281"/>
      <c r="AI50" s="1281"/>
      <c r="AJ50" s="1281"/>
      <c r="AK50" s="1281"/>
    </row>
    <row r="51" spans="1:37" s="1280" customFormat="1" ht="36.75">
      <c r="A51" s="2329" t="s">
        <v>2770</v>
      </c>
      <c r="B51" s="2334" t="s">
        <v>2771</v>
      </c>
      <c r="C51" s="2234"/>
      <c r="D51" s="1196">
        <f t="shared" si="9"/>
        <v>0</v>
      </c>
      <c r="E51" s="761"/>
      <c r="F51" s="2000"/>
      <c r="G51" s="1194"/>
      <c r="H51" s="1198">
        <f t="shared" si="10"/>
        <v>2.0999999999999999E-3</v>
      </c>
      <c r="I51" s="759">
        <v>0.05</v>
      </c>
      <c r="J51" s="1195">
        <f t="shared" si="11"/>
        <v>0</v>
      </c>
      <c r="K51" s="1195">
        <f t="shared" si="12"/>
        <v>0</v>
      </c>
      <c r="L51" s="1195">
        <v>0</v>
      </c>
      <c r="M51" s="1195">
        <f t="shared" si="13"/>
        <v>0</v>
      </c>
      <c r="N51" s="1195">
        <f t="shared" si="13"/>
        <v>0</v>
      </c>
      <c r="AA51" s="1281"/>
      <c r="AB51" s="1281"/>
      <c r="AC51" s="1281"/>
      <c r="AD51" s="1281"/>
      <c r="AE51" s="1281"/>
      <c r="AF51" s="1281"/>
      <c r="AG51" s="1281"/>
      <c r="AH51" s="1281"/>
      <c r="AI51" s="1281"/>
      <c r="AJ51" s="1281"/>
      <c r="AK51" s="1281"/>
    </row>
    <row r="52" spans="1:37" s="1280" customFormat="1" ht="24">
      <c r="A52" s="2329" t="s">
        <v>2772</v>
      </c>
      <c r="B52" s="2333" t="str">
        <f>估价对象房地状况!C24</f>
        <v>城市主干道-朝阳门内大街</v>
      </c>
      <c r="C52" s="2234"/>
      <c r="D52" s="1196">
        <f t="shared" si="9"/>
        <v>0</v>
      </c>
      <c r="E52" s="761"/>
      <c r="F52" s="2000"/>
      <c r="G52" s="1194"/>
      <c r="H52" s="1198">
        <f t="shared" si="10"/>
        <v>3.3999999999999998E-3</v>
      </c>
      <c r="I52" s="759">
        <v>0.08</v>
      </c>
      <c r="J52" s="1195">
        <f t="shared" si="11"/>
        <v>0</v>
      </c>
      <c r="K52" s="1195">
        <f t="shared" si="12"/>
        <v>0</v>
      </c>
      <c r="L52" s="1195">
        <v>0</v>
      </c>
      <c r="M52" s="1195">
        <f t="shared" si="13"/>
        <v>0</v>
      </c>
      <c r="N52" s="1195">
        <f t="shared" si="13"/>
        <v>0</v>
      </c>
      <c r="AA52" s="1281"/>
      <c r="AB52" s="1281"/>
      <c r="AC52" s="1281"/>
      <c r="AD52" s="1281"/>
      <c r="AE52" s="1281"/>
      <c r="AF52" s="1281"/>
      <c r="AG52" s="1281"/>
      <c r="AH52" s="1281"/>
      <c r="AI52" s="1281"/>
      <c r="AJ52" s="1281"/>
      <c r="AK52" s="1281"/>
    </row>
    <row r="53" spans="1:37" s="1280" customFormat="1" ht="24">
      <c r="A53" s="2329" t="s">
        <v>2773</v>
      </c>
      <c r="B53" s="2335" t="s">
        <v>2774</v>
      </c>
      <c r="C53" s="2234"/>
      <c r="D53" s="1196">
        <f t="shared" si="9"/>
        <v>0</v>
      </c>
      <c r="E53" s="761"/>
      <c r="F53" s="2000"/>
      <c r="G53" s="1194"/>
      <c r="H53" s="1198">
        <f t="shared" si="10"/>
        <v>1.1999999999999999E-3</v>
      </c>
      <c r="I53" s="759">
        <v>0.03</v>
      </c>
      <c r="J53" s="1195">
        <f t="shared" si="11"/>
        <v>0</v>
      </c>
      <c r="K53" s="1195">
        <f t="shared" si="12"/>
        <v>0</v>
      </c>
      <c r="L53" s="1195">
        <v>0</v>
      </c>
      <c r="M53" s="1195">
        <f t="shared" si="13"/>
        <v>0</v>
      </c>
      <c r="N53" s="1195">
        <f t="shared" si="13"/>
        <v>0</v>
      </c>
      <c r="AA53" s="1281"/>
      <c r="AB53" s="1281"/>
      <c r="AC53" s="1281"/>
      <c r="AD53" s="1281"/>
      <c r="AE53" s="1281"/>
      <c r="AF53" s="1281"/>
      <c r="AG53" s="1281"/>
      <c r="AH53" s="1281"/>
      <c r="AI53" s="1281"/>
      <c r="AJ53" s="1281"/>
      <c r="AK53" s="1281"/>
    </row>
    <row r="54" spans="1:37" s="1280" customFormat="1" ht="165.75">
      <c r="A54" s="2336" t="s">
        <v>2775</v>
      </c>
      <c r="B54" s="1494" t="str">
        <f>估价对象房地状况!C21</f>
        <v>估价对象所在区域有购物场所（隆福广场、物美超市等），教育机构（灯市口小学、北京市第一六六中学），医疗网点（北京市东城区口腔医院、北京市东城区朝阳门社区卫生服务中心），金融网点（中国邮政储蓄银行、中国工商银行、北京农商银行、广发银行），综合分析，公共配套设施齐备程度较好。</v>
      </c>
      <c r="C54" s="2234"/>
      <c r="D54" s="1196">
        <f t="shared" si="9"/>
        <v>0</v>
      </c>
      <c r="E54" s="761"/>
      <c r="F54" s="2000"/>
      <c r="G54" s="1194"/>
      <c r="H54" s="1198">
        <f t="shared" si="10"/>
        <v>2.0999999999999999E-3</v>
      </c>
      <c r="I54" s="759">
        <v>0.05</v>
      </c>
      <c r="J54" s="1195">
        <f t="shared" si="11"/>
        <v>0</v>
      </c>
      <c r="K54" s="1195">
        <f t="shared" si="12"/>
        <v>0</v>
      </c>
      <c r="L54" s="1195">
        <v>0</v>
      </c>
      <c r="M54" s="1195">
        <f t="shared" si="13"/>
        <v>0</v>
      </c>
      <c r="N54" s="1195">
        <f t="shared" si="13"/>
        <v>0</v>
      </c>
      <c r="AA54" s="1281"/>
      <c r="AB54" s="1281"/>
      <c r="AC54" s="1281"/>
      <c r="AD54" s="1281"/>
      <c r="AE54" s="1281"/>
      <c r="AF54" s="1281"/>
      <c r="AG54" s="1281"/>
      <c r="AH54" s="1281"/>
      <c r="AI54" s="1281"/>
      <c r="AJ54" s="1281"/>
      <c r="AK54" s="1281"/>
    </row>
    <row r="55" spans="1:37" s="1280" customFormat="1" ht="25.5">
      <c r="A55" s="2336" t="s">
        <v>2776</v>
      </c>
      <c r="B55" s="2333" t="str">
        <f>估价对象房地状况!C22</f>
        <v>估价对象所在区域基础设施水平-七通</v>
      </c>
      <c r="C55" s="2234"/>
      <c r="D55" s="1196">
        <f t="shared" si="9"/>
        <v>0</v>
      </c>
      <c r="E55" s="761"/>
      <c r="F55" s="2000"/>
      <c r="G55" s="1194"/>
      <c r="H55" s="1198">
        <f t="shared" si="10"/>
        <v>4.3E-3</v>
      </c>
      <c r="I55" s="759">
        <v>0.1</v>
      </c>
      <c r="J55" s="1195">
        <f t="shared" si="11"/>
        <v>0</v>
      </c>
      <c r="K55" s="1195">
        <f t="shared" si="12"/>
        <v>0</v>
      </c>
      <c r="L55" s="1195">
        <v>0</v>
      </c>
      <c r="M55" s="1195">
        <f t="shared" si="13"/>
        <v>0</v>
      </c>
      <c r="N55" s="1195">
        <f t="shared" si="13"/>
        <v>0</v>
      </c>
      <c r="AA55" s="1281"/>
      <c r="AB55" s="1281"/>
      <c r="AC55" s="1281"/>
      <c r="AD55" s="1281"/>
      <c r="AE55" s="1281"/>
      <c r="AF55" s="1281"/>
      <c r="AG55" s="1281"/>
      <c r="AH55" s="1281"/>
      <c r="AI55" s="1281"/>
      <c r="AJ55" s="1281"/>
      <c r="AK55" s="1281"/>
    </row>
    <row r="56" spans="1:37" s="1280" customFormat="1" ht="39" thickBot="1">
      <c r="A56" s="2337" t="s">
        <v>2777</v>
      </c>
      <c r="B56" s="2338" t="str">
        <f>估价对象房地状况!C20</f>
        <v>周边有隆福寺广场、东四清真寺等，自然及人文环境较好</v>
      </c>
      <c r="C56" s="2234"/>
      <c r="D56" s="1196">
        <f t="shared" si="9"/>
        <v>0</v>
      </c>
      <c r="E56" s="764"/>
      <c r="F56" s="2000"/>
      <c r="G56" s="1194"/>
      <c r="H56" s="1198">
        <f t="shared" si="10"/>
        <v>2.5000000000000001E-3</v>
      </c>
      <c r="I56" s="763">
        <v>0.06</v>
      </c>
      <c r="J56" s="1195">
        <f t="shared" si="11"/>
        <v>0</v>
      </c>
      <c r="K56" s="1195">
        <f t="shared" si="12"/>
        <v>0</v>
      </c>
      <c r="L56" s="1195">
        <v>0</v>
      </c>
      <c r="M56" s="1195">
        <f t="shared" si="13"/>
        <v>0</v>
      </c>
      <c r="N56" s="1195">
        <f t="shared" si="13"/>
        <v>0</v>
      </c>
      <c r="AA56" s="1281"/>
      <c r="AB56" s="1281"/>
      <c r="AC56" s="1281"/>
      <c r="AD56" s="1281"/>
      <c r="AE56" s="1281"/>
      <c r="AF56" s="1281"/>
      <c r="AG56" s="1281"/>
      <c r="AH56" s="1281"/>
      <c r="AI56" s="1281"/>
      <c r="AJ56" s="1281"/>
      <c r="AK56" s="1281"/>
    </row>
    <row r="57" spans="1:37" s="1280" customFormat="1" ht="15">
      <c r="A57" s="2325" t="s">
        <v>2778</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2759</v>
      </c>
      <c r="B58" s="1535"/>
      <c r="C58" s="1535" t="s">
        <v>2761</v>
      </c>
      <c r="D58" s="1535" t="s">
        <v>2762</v>
      </c>
      <c r="E58" s="758" t="s">
        <v>2763</v>
      </c>
      <c r="F58" s="2330" t="s">
        <v>2779</v>
      </c>
      <c r="G58" s="1535" t="s">
        <v>754</v>
      </c>
      <c r="H58" s="2331" t="s">
        <v>2765</v>
      </c>
      <c r="I58" s="1535" t="s">
        <v>2766</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114.75">
      <c r="A59" s="2329" t="s">
        <v>2780</v>
      </c>
      <c r="B59" s="2332" t="str">
        <f>估价对象房地状况!C17</f>
        <v>估价对象位于东四商圈，位于办公类一级地价区，有国家民航总局、国务院发展研究中心机关办公楼、隆福大厦由商场主体改写字楼，周边商业写字楼项目较少，没有形成聚集的写字楼办公区，办公集聚度一般。</v>
      </c>
      <c r="C59" s="2234"/>
      <c r="D59" s="1196">
        <f t="shared" ref="D59:D67" si="14">SUMIF($J$58:$N$58,C59,J59:N59)</f>
        <v>0</v>
      </c>
      <c r="E59" s="760">
        <f>ROUND(SUM(D59:D67),4)</f>
        <v>0</v>
      </c>
      <c r="F59" s="2000" t="str">
        <f>IF(E2="办公",SUMIF(L1:L12,G2,N1:N12),"——")</f>
        <v>——</v>
      </c>
      <c r="G59" s="1194"/>
      <c r="H59" s="1198" t="str">
        <f t="shared" ref="H59:H67" si="15">IFERROR(ROUNDDOWN($F$59*I59/2,4),"——")</f>
        <v>——</v>
      </c>
      <c r="I59" s="759">
        <v>0.24</v>
      </c>
      <c r="J59" s="1195">
        <f t="shared" ref="J59:J67" si="16">K59+$G59</f>
        <v>0</v>
      </c>
      <c r="K59" s="1195">
        <f t="shared" ref="K59:K67" si="17">$L59+$G59</f>
        <v>0</v>
      </c>
      <c r="L59" s="1195">
        <v>0</v>
      </c>
      <c r="M59" s="1195">
        <f t="shared" ref="M59:N67" si="18">L59-$G59</f>
        <v>0</v>
      </c>
      <c r="N59" s="1195">
        <f t="shared" si="18"/>
        <v>0</v>
      </c>
      <c r="AA59" s="1281"/>
      <c r="AB59" s="1281"/>
      <c r="AC59" s="1281"/>
      <c r="AD59" s="1281"/>
      <c r="AE59" s="1281"/>
      <c r="AF59" s="1281"/>
      <c r="AG59" s="1281"/>
      <c r="AH59" s="1281"/>
      <c r="AI59" s="1281"/>
      <c r="AJ59" s="1281"/>
      <c r="AK59" s="1281"/>
    </row>
    <row r="60" spans="1:37" s="1280" customFormat="1" ht="127.5">
      <c r="A60" s="2329" t="s">
        <v>2768</v>
      </c>
      <c r="B60" s="2333" t="str">
        <f>估价对象房地状况!C18</f>
        <v>估价对象位于东四路口的东南角，紧临城市主干道-朝阳门内大街，西距东四南大街100米，距离地铁5号线（2007年通车）与6号线（2012年通车）东四站75米，多条公交线路通达，公共交通便利，停车便捷度好，综合评价交通便捷度较好。</v>
      </c>
      <c r="C60" s="2234"/>
      <c r="D60" s="1196">
        <f t="shared" si="14"/>
        <v>0</v>
      </c>
      <c r="E60" s="761"/>
      <c r="F60" s="2000"/>
      <c r="G60" s="1194"/>
      <c r="H60" s="1198" t="str">
        <f t="shared" si="15"/>
        <v>——</v>
      </c>
      <c r="I60" s="759">
        <v>0.3</v>
      </c>
      <c r="J60" s="1195">
        <f t="shared" si="16"/>
        <v>0</v>
      </c>
      <c r="K60" s="1195">
        <f t="shared" si="17"/>
        <v>0</v>
      </c>
      <c r="L60" s="1195">
        <v>0</v>
      </c>
      <c r="M60" s="1195">
        <f t="shared" si="18"/>
        <v>0</v>
      </c>
      <c r="N60" s="1195">
        <f t="shared" si="18"/>
        <v>0</v>
      </c>
      <c r="AA60" s="1281"/>
      <c r="AB60" s="1281"/>
      <c r="AC60" s="1281"/>
      <c r="AD60" s="1281"/>
      <c r="AE60" s="1281"/>
      <c r="AF60" s="1281"/>
      <c r="AG60" s="1281"/>
      <c r="AH60" s="1281"/>
      <c r="AI60" s="1281"/>
      <c r="AJ60" s="1281"/>
      <c r="AK60" s="1281"/>
    </row>
    <row r="61" spans="1:37" s="1280" customFormat="1" ht="24">
      <c r="A61" s="2329" t="s">
        <v>2769</v>
      </c>
      <c r="B61" s="2333">
        <f>估价对象房地状况!C19</f>
        <v>0</v>
      </c>
      <c r="C61" s="2234"/>
      <c r="D61" s="1196">
        <f t="shared" si="14"/>
        <v>0</v>
      </c>
      <c r="E61" s="761"/>
      <c r="F61" s="2000"/>
      <c r="G61" s="1194"/>
      <c r="H61" s="1198" t="str">
        <f t="shared" si="15"/>
        <v>——</v>
      </c>
      <c r="I61" s="759">
        <v>0.08</v>
      </c>
      <c r="J61" s="1195">
        <f t="shared" si="16"/>
        <v>0</v>
      </c>
      <c r="K61" s="1195">
        <f t="shared" si="17"/>
        <v>0</v>
      </c>
      <c r="L61" s="1195">
        <v>0</v>
      </c>
      <c r="M61" s="1195">
        <f t="shared" si="18"/>
        <v>0</v>
      </c>
      <c r="N61" s="1195">
        <f t="shared" si="18"/>
        <v>0</v>
      </c>
      <c r="AA61" s="1281"/>
      <c r="AB61" s="1281"/>
      <c r="AC61" s="1281"/>
      <c r="AD61" s="1281"/>
      <c r="AE61" s="1281"/>
      <c r="AF61" s="1281"/>
      <c r="AG61" s="1281"/>
      <c r="AH61" s="1281"/>
      <c r="AI61" s="1281"/>
      <c r="AJ61" s="1281"/>
      <c r="AK61" s="1281"/>
    </row>
    <row r="62" spans="1:37" s="1280" customFormat="1" ht="36.75">
      <c r="A62" s="2329" t="s">
        <v>2770</v>
      </c>
      <c r="B62" s="2334" t="s">
        <v>2771</v>
      </c>
      <c r="C62" s="2234"/>
      <c r="D62" s="1196">
        <f t="shared" si="14"/>
        <v>0</v>
      </c>
      <c r="E62" s="761"/>
      <c r="F62" s="2000"/>
      <c r="G62" s="1194"/>
      <c r="H62" s="1198" t="str">
        <f t="shared" si="15"/>
        <v>——</v>
      </c>
      <c r="I62" s="759">
        <v>0.04</v>
      </c>
      <c r="J62" s="1195">
        <f t="shared" si="16"/>
        <v>0</v>
      </c>
      <c r="K62" s="1195">
        <f t="shared" si="17"/>
        <v>0</v>
      </c>
      <c r="L62" s="1195">
        <v>0</v>
      </c>
      <c r="M62" s="1195">
        <f t="shared" si="18"/>
        <v>0</v>
      </c>
      <c r="N62" s="1195">
        <f t="shared" si="18"/>
        <v>0</v>
      </c>
      <c r="AA62" s="1281"/>
      <c r="AB62" s="1281"/>
      <c r="AC62" s="1281"/>
      <c r="AD62" s="1281"/>
      <c r="AE62" s="1281"/>
      <c r="AF62" s="1281"/>
      <c r="AG62" s="1281"/>
      <c r="AH62" s="1281"/>
      <c r="AI62" s="1281"/>
      <c r="AJ62" s="1281"/>
      <c r="AK62" s="1281"/>
    </row>
    <row r="63" spans="1:37" s="1280" customFormat="1" ht="24">
      <c r="A63" s="2329" t="s">
        <v>2772</v>
      </c>
      <c r="B63" s="2333" t="str">
        <f>估价对象房地状况!C24</f>
        <v>城市主干道-朝阳门内大街</v>
      </c>
      <c r="C63" s="2234"/>
      <c r="D63" s="1196">
        <f t="shared" si="14"/>
        <v>0</v>
      </c>
      <c r="E63" s="761"/>
      <c r="F63" s="2000"/>
      <c r="G63" s="1194"/>
      <c r="H63" s="1198" t="str">
        <f t="shared" si="15"/>
        <v>——</v>
      </c>
      <c r="I63" s="759">
        <v>0.05</v>
      </c>
      <c r="J63" s="1195">
        <f t="shared" si="16"/>
        <v>0</v>
      </c>
      <c r="K63" s="1195">
        <f t="shared" si="17"/>
        <v>0</v>
      </c>
      <c r="L63" s="1195">
        <v>0</v>
      </c>
      <c r="M63" s="1195">
        <f t="shared" si="18"/>
        <v>0</v>
      </c>
      <c r="N63" s="1195">
        <f t="shared" si="18"/>
        <v>0</v>
      </c>
      <c r="AA63" s="1281"/>
      <c r="AB63" s="1281"/>
      <c r="AC63" s="1281"/>
      <c r="AD63" s="1281"/>
      <c r="AE63" s="1281"/>
      <c r="AF63" s="1281"/>
      <c r="AG63" s="1281"/>
      <c r="AH63" s="1281"/>
      <c r="AI63" s="1281"/>
      <c r="AJ63" s="1281"/>
      <c r="AK63" s="1281"/>
    </row>
    <row r="64" spans="1:37" s="1280" customFormat="1" ht="24">
      <c r="A64" s="2329" t="s">
        <v>2773</v>
      </c>
      <c r="B64" s="2335" t="s">
        <v>2774</v>
      </c>
      <c r="C64" s="2234"/>
      <c r="D64" s="1196">
        <f t="shared" si="14"/>
        <v>0</v>
      </c>
      <c r="E64" s="761"/>
      <c r="F64" s="2000"/>
      <c r="G64" s="1194"/>
      <c r="H64" s="1198" t="str">
        <f t="shared" si="15"/>
        <v>——</v>
      </c>
      <c r="I64" s="759">
        <v>0.05</v>
      </c>
      <c r="J64" s="1195">
        <f t="shared" si="16"/>
        <v>0</v>
      </c>
      <c r="K64" s="1195">
        <f t="shared" si="17"/>
        <v>0</v>
      </c>
      <c r="L64" s="1195">
        <v>0</v>
      </c>
      <c r="M64" s="1195">
        <f t="shared" si="18"/>
        <v>0</v>
      </c>
      <c r="N64" s="1195">
        <f t="shared" si="18"/>
        <v>0</v>
      </c>
      <c r="AA64" s="1281"/>
      <c r="AB64" s="1281"/>
      <c r="AC64" s="1281"/>
      <c r="AD64" s="1281"/>
      <c r="AE64" s="1281"/>
      <c r="AF64" s="1281"/>
      <c r="AG64" s="1281"/>
      <c r="AH64" s="1281"/>
      <c r="AI64" s="1281"/>
      <c r="AJ64" s="1281"/>
      <c r="AK64" s="1281"/>
    </row>
    <row r="65" spans="1:37" s="1280" customFormat="1" ht="165.75">
      <c r="A65" s="2329" t="s">
        <v>2775</v>
      </c>
      <c r="B65" s="1494" t="str">
        <f>估价对象房地状况!C21</f>
        <v>估价对象所在区域有购物场所（隆福广场、物美超市等），教育机构（灯市口小学、北京市第一六六中学），医疗网点（北京市东城区口腔医院、北京市东城区朝阳门社区卫生服务中心），金融网点（中国邮政储蓄银行、中国工商银行、北京农商银行、广发银行），综合分析，公共配套设施齐备程度较好。</v>
      </c>
      <c r="C65" s="2234"/>
      <c r="D65" s="1196">
        <f t="shared" si="14"/>
        <v>0</v>
      </c>
      <c r="E65" s="761"/>
      <c r="F65" s="2000"/>
      <c r="G65" s="1194"/>
      <c r="H65" s="1198" t="str">
        <f t="shared" si="15"/>
        <v>——</v>
      </c>
      <c r="I65" s="759">
        <v>0.06</v>
      </c>
      <c r="J65" s="1195">
        <f t="shared" si="16"/>
        <v>0</v>
      </c>
      <c r="K65" s="1195">
        <f t="shared" si="17"/>
        <v>0</v>
      </c>
      <c r="L65" s="1195">
        <v>0</v>
      </c>
      <c r="M65" s="1195">
        <f t="shared" si="18"/>
        <v>0</v>
      </c>
      <c r="N65" s="1195">
        <f t="shared" si="18"/>
        <v>0</v>
      </c>
      <c r="AA65" s="1281"/>
      <c r="AB65" s="1281"/>
      <c r="AC65" s="1281"/>
      <c r="AD65" s="1281"/>
      <c r="AE65" s="1281"/>
      <c r="AF65" s="1281"/>
      <c r="AG65" s="1281"/>
      <c r="AH65" s="1281"/>
      <c r="AI65" s="1281"/>
      <c r="AJ65" s="1281"/>
      <c r="AK65" s="1281"/>
    </row>
    <row r="66" spans="1:37" s="1280" customFormat="1" ht="25.5">
      <c r="A66" s="2329" t="s">
        <v>2776</v>
      </c>
      <c r="B66" s="1494" t="str">
        <f>估价对象房地状况!C22</f>
        <v>估价对象所在区域基础设施水平-七通</v>
      </c>
      <c r="C66" s="2234"/>
      <c r="D66" s="1196">
        <f t="shared" si="14"/>
        <v>0</v>
      </c>
      <c r="E66" s="761"/>
      <c r="F66" s="2000"/>
      <c r="G66" s="1194"/>
      <c r="H66" s="1198" t="str">
        <f t="shared" si="15"/>
        <v>——</v>
      </c>
      <c r="I66" s="759">
        <v>0.12</v>
      </c>
      <c r="J66" s="1195">
        <f t="shared" si="16"/>
        <v>0</v>
      </c>
      <c r="K66" s="1195">
        <f t="shared" si="17"/>
        <v>0</v>
      </c>
      <c r="L66" s="1195">
        <v>0</v>
      </c>
      <c r="M66" s="1195">
        <f t="shared" si="18"/>
        <v>0</v>
      </c>
      <c r="N66" s="1195">
        <f t="shared" si="18"/>
        <v>0</v>
      </c>
      <c r="AA66" s="1281"/>
      <c r="AB66" s="1281"/>
      <c r="AC66" s="1281"/>
      <c r="AD66" s="1281"/>
      <c r="AE66" s="1281"/>
      <c r="AF66" s="1281"/>
      <c r="AG66" s="1281"/>
      <c r="AH66" s="1281"/>
      <c r="AI66" s="1281"/>
      <c r="AJ66" s="1281"/>
      <c r="AK66" s="1281"/>
    </row>
    <row r="67" spans="1:37" s="1280" customFormat="1" ht="39" thickBot="1">
      <c r="A67" s="2337" t="s">
        <v>2777</v>
      </c>
      <c r="B67" s="2339" t="str">
        <f>估价对象房地状况!C20</f>
        <v>周边有隆福寺广场、东四清真寺等，自然及人文环境较好</v>
      </c>
      <c r="C67" s="2234"/>
      <c r="D67" s="1196">
        <f t="shared" si="14"/>
        <v>0</v>
      </c>
      <c r="E67" s="764"/>
      <c r="F67" s="2000"/>
      <c r="G67" s="1194"/>
      <c r="H67" s="1198" t="str">
        <f t="shared" si="15"/>
        <v>——</v>
      </c>
      <c r="I67" s="763">
        <v>0.06</v>
      </c>
      <c r="J67" s="1195">
        <f t="shared" si="16"/>
        <v>0</v>
      </c>
      <c r="K67" s="1195">
        <f t="shared" si="17"/>
        <v>0</v>
      </c>
      <c r="L67" s="1195">
        <v>0</v>
      </c>
      <c r="M67" s="1195">
        <f t="shared" si="18"/>
        <v>0</v>
      </c>
      <c r="N67" s="1195">
        <f t="shared" si="18"/>
        <v>0</v>
      </c>
      <c r="AA67" s="1281"/>
      <c r="AB67" s="1281"/>
      <c r="AC67" s="1281"/>
      <c r="AD67" s="1281"/>
      <c r="AE67" s="1281"/>
      <c r="AF67" s="1281"/>
      <c r="AG67" s="1281"/>
      <c r="AH67" s="1281"/>
      <c r="AI67" s="1281"/>
      <c r="AJ67" s="1281"/>
      <c r="AK67" s="1281"/>
    </row>
    <row r="68" spans="1:37" s="1280" customFormat="1" ht="15">
      <c r="A68" s="2325" t="s">
        <v>2781</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2759</v>
      </c>
      <c r="B69" s="1535"/>
      <c r="C69" s="1535" t="s">
        <v>2761</v>
      </c>
      <c r="D69" s="1535" t="s">
        <v>2762</v>
      </c>
      <c r="E69" s="758" t="s">
        <v>2763</v>
      </c>
      <c r="F69" s="2330" t="s">
        <v>2779</v>
      </c>
      <c r="G69" s="1535" t="s">
        <v>754</v>
      </c>
      <c r="H69" s="2331" t="s">
        <v>2765</v>
      </c>
      <c r="I69" s="1535" t="s">
        <v>2766</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c r="A70" s="2329" t="s">
        <v>2782</v>
      </c>
      <c r="B70" s="2332" t="str">
        <f>估价对象房地状况!C15</f>
        <v>估价对象周边居住用地比例、居住小区规模和社区发展完善程度，综合评价居住社区成熟度一般</v>
      </c>
      <c r="C70" s="2234"/>
      <c r="D70" s="1196">
        <f t="shared" ref="D70:D78" si="19">SUMIF($J$69:$N$69,C70,J70:N70)</f>
        <v>0</v>
      </c>
      <c r="E70" s="760">
        <f>ROUND(SUM(D70:D78),4)</f>
        <v>0</v>
      </c>
      <c r="F70" s="2000" t="str">
        <f>IF(E2="住宅",SUMIF(L1:L12,G2,N1:N12),"——")</f>
        <v>——</v>
      </c>
      <c r="G70" s="1194"/>
      <c r="H70" s="1198" t="str">
        <f t="shared" ref="H70:H78" si="20">IFERROR(ROUNDDOWN($F$70*I70/2,4),"——")</f>
        <v>——</v>
      </c>
      <c r="I70" s="759">
        <v>0.14000000000000001</v>
      </c>
      <c r="J70" s="1195">
        <f t="shared" ref="J70:J78" si="21">K70+$G70</f>
        <v>0</v>
      </c>
      <c r="K70" s="1195">
        <f t="shared" ref="K70:K78" si="22">$L70+$G70</f>
        <v>0</v>
      </c>
      <c r="L70" s="1195">
        <v>0</v>
      </c>
      <c r="M70" s="1195">
        <f t="shared" ref="M70:N78" si="23">L70-$G70</f>
        <v>0</v>
      </c>
      <c r="N70" s="1195">
        <f t="shared" si="23"/>
        <v>0</v>
      </c>
      <c r="AA70" s="1281"/>
      <c r="AB70" s="1281"/>
      <c r="AC70" s="1281"/>
      <c r="AD70" s="1281"/>
      <c r="AE70" s="1281"/>
      <c r="AF70" s="1281"/>
      <c r="AG70" s="1281"/>
      <c r="AH70" s="1281"/>
      <c r="AI70" s="1281"/>
      <c r="AJ70" s="1281"/>
      <c r="AK70" s="1281"/>
    </row>
    <row r="71" spans="1:37" s="1280" customFormat="1" ht="127.5">
      <c r="A71" s="2329" t="s">
        <v>2768</v>
      </c>
      <c r="B71" s="2333" t="str">
        <f>估价对象房地状况!C18</f>
        <v>估价对象位于东四路口的东南角，紧临城市主干道-朝阳门内大街，西距东四南大街100米，距离地铁5号线（2007年通车）与6号线（2012年通车）东四站75米，多条公交线路通达，公共交通便利，停车便捷度好，综合评价交通便捷度较好。</v>
      </c>
      <c r="C71" s="2234"/>
      <c r="D71" s="1196">
        <f t="shared" si="19"/>
        <v>0</v>
      </c>
      <c r="E71" s="765"/>
      <c r="F71" s="2000"/>
      <c r="G71" s="1194"/>
      <c r="H71" s="1198" t="str">
        <f t="shared" si="20"/>
        <v>——</v>
      </c>
      <c r="I71" s="759">
        <v>0.3</v>
      </c>
      <c r="J71" s="1195">
        <f t="shared" si="21"/>
        <v>0</v>
      </c>
      <c r="K71" s="1195">
        <f t="shared" si="22"/>
        <v>0</v>
      </c>
      <c r="L71" s="1195">
        <v>0</v>
      </c>
      <c r="M71" s="1195">
        <f t="shared" si="23"/>
        <v>0</v>
      </c>
      <c r="N71" s="1195">
        <f t="shared" si="23"/>
        <v>0</v>
      </c>
      <c r="AA71" s="1281"/>
      <c r="AB71" s="1281"/>
      <c r="AC71" s="1281"/>
      <c r="AD71" s="1281"/>
      <c r="AE71" s="1281"/>
      <c r="AF71" s="1281"/>
      <c r="AG71" s="1281"/>
      <c r="AH71" s="1281"/>
      <c r="AI71" s="1281"/>
      <c r="AJ71" s="1281"/>
      <c r="AK71" s="1281"/>
    </row>
    <row r="72" spans="1:37" s="1280" customFormat="1" ht="24">
      <c r="A72" s="2329" t="s">
        <v>2769</v>
      </c>
      <c r="B72" s="2333">
        <f>估价对象房地状况!C19</f>
        <v>0</v>
      </c>
      <c r="C72" s="2234"/>
      <c r="D72" s="1196">
        <f t="shared" si="19"/>
        <v>0</v>
      </c>
      <c r="E72" s="765"/>
      <c r="F72" s="2000"/>
      <c r="G72" s="1194"/>
      <c r="H72" s="1198" t="str">
        <f t="shared" si="20"/>
        <v>——</v>
      </c>
      <c r="I72" s="759">
        <v>0.08</v>
      </c>
      <c r="J72" s="1195">
        <f t="shared" si="21"/>
        <v>0</v>
      </c>
      <c r="K72" s="1195">
        <f t="shared" si="22"/>
        <v>0</v>
      </c>
      <c r="L72" s="1195">
        <v>0</v>
      </c>
      <c r="M72" s="1195">
        <f t="shared" si="23"/>
        <v>0</v>
      </c>
      <c r="N72" s="1195">
        <f t="shared" si="23"/>
        <v>0</v>
      </c>
      <c r="AA72" s="1281"/>
      <c r="AB72" s="1281"/>
      <c r="AC72" s="1281"/>
      <c r="AD72" s="1281"/>
      <c r="AE72" s="1281"/>
      <c r="AF72" s="1281"/>
      <c r="AG72" s="1281"/>
      <c r="AH72" s="1281"/>
      <c r="AI72" s="1281"/>
      <c r="AJ72" s="1281"/>
      <c r="AK72" s="1281"/>
    </row>
    <row r="73" spans="1:37" s="1280" customFormat="1" ht="14.25">
      <c r="A73" s="2329" t="s">
        <v>2783</v>
      </c>
      <c r="B73" s="2333" t="str">
        <f>估价对象房地状况!C24</f>
        <v>城市主干道-朝阳门内大街</v>
      </c>
      <c r="C73" s="2234"/>
      <c r="D73" s="1196">
        <f t="shared" si="19"/>
        <v>0</v>
      </c>
      <c r="E73" s="765"/>
      <c r="F73" s="2000"/>
      <c r="G73" s="1194"/>
      <c r="H73" s="1198" t="str">
        <f t="shared" si="20"/>
        <v>——</v>
      </c>
      <c r="I73" s="759">
        <v>0.04</v>
      </c>
      <c r="J73" s="1195">
        <f t="shared" si="21"/>
        <v>0</v>
      </c>
      <c r="K73" s="1195">
        <f t="shared" si="22"/>
        <v>0</v>
      </c>
      <c r="L73" s="1195">
        <v>0</v>
      </c>
      <c r="M73" s="1195">
        <f t="shared" si="23"/>
        <v>0</v>
      </c>
      <c r="N73" s="1195">
        <f t="shared" si="23"/>
        <v>0</v>
      </c>
      <c r="AA73" s="1281"/>
      <c r="AB73" s="1281"/>
      <c r="AC73" s="1281"/>
      <c r="AD73" s="1281"/>
      <c r="AE73" s="1281"/>
      <c r="AF73" s="1281"/>
      <c r="AG73" s="1281"/>
      <c r="AH73" s="1281"/>
      <c r="AI73" s="1281"/>
      <c r="AJ73" s="1281"/>
      <c r="AK73" s="1281"/>
    </row>
    <row r="74" spans="1:37" s="1280" customFormat="1" ht="165.75">
      <c r="A74" s="2329" t="s">
        <v>2775</v>
      </c>
      <c r="B74" s="1494" t="str">
        <f>估价对象房地状况!C21</f>
        <v>估价对象所在区域有购物场所（隆福广场、物美超市等），教育机构（灯市口小学、北京市第一六六中学），医疗网点（北京市东城区口腔医院、北京市东城区朝阳门社区卫生服务中心），金融网点（中国邮政储蓄银行、中国工商银行、北京农商银行、广发银行），综合分析，公共配套设施齐备程度较好。</v>
      </c>
      <c r="C74" s="2234"/>
      <c r="D74" s="1196">
        <f t="shared" si="19"/>
        <v>0</v>
      </c>
      <c r="E74" s="765"/>
      <c r="F74" s="2000"/>
      <c r="G74" s="1194"/>
      <c r="H74" s="1198" t="str">
        <f t="shared" si="20"/>
        <v>——</v>
      </c>
      <c r="I74" s="759">
        <v>0.08</v>
      </c>
      <c r="J74" s="1195">
        <f t="shared" si="21"/>
        <v>0</v>
      </c>
      <c r="K74" s="1195">
        <f t="shared" si="22"/>
        <v>0</v>
      </c>
      <c r="L74" s="1195">
        <v>0</v>
      </c>
      <c r="M74" s="1195">
        <f t="shared" si="23"/>
        <v>0</v>
      </c>
      <c r="N74" s="1195">
        <f t="shared" si="23"/>
        <v>0</v>
      </c>
      <c r="AA74" s="1281"/>
      <c r="AB74" s="1281"/>
      <c r="AC74" s="1281"/>
      <c r="AD74" s="1281"/>
      <c r="AE74" s="1281"/>
      <c r="AF74" s="1281"/>
      <c r="AG74" s="1281"/>
      <c r="AH74" s="1281"/>
      <c r="AI74" s="1281"/>
      <c r="AJ74" s="1281"/>
      <c r="AK74" s="1281"/>
    </row>
    <row r="75" spans="1:37" s="1280" customFormat="1" ht="25.5">
      <c r="A75" s="2329" t="s">
        <v>2776</v>
      </c>
      <c r="B75" s="1494" t="str">
        <f>估价对象房地状况!C22</f>
        <v>估价对象所在区域基础设施水平-七通</v>
      </c>
      <c r="C75" s="2234"/>
      <c r="D75" s="1196">
        <f t="shared" si="19"/>
        <v>0</v>
      </c>
      <c r="E75" s="765"/>
      <c r="F75" s="2000"/>
      <c r="G75" s="1194"/>
      <c r="H75" s="1198" t="str">
        <f t="shared" si="20"/>
        <v>——</v>
      </c>
      <c r="I75" s="759">
        <v>0.12</v>
      </c>
      <c r="J75" s="1195">
        <f t="shared" si="21"/>
        <v>0</v>
      </c>
      <c r="K75" s="1195">
        <f t="shared" si="22"/>
        <v>0</v>
      </c>
      <c r="L75" s="1195">
        <v>0</v>
      </c>
      <c r="M75" s="1195">
        <f t="shared" si="23"/>
        <v>0</v>
      </c>
      <c r="N75" s="1195">
        <f t="shared" si="23"/>
        <v>0</v>
      </c>
      <c r="AA75" s="1281"/>
      <c r="AB75" s="1281"/>
      <c r="AC75" s="1281"/>
      <c r="AD75" s="1281"/>
      <c r="AE75" s="1281"/>
      <c r="AF75" s="1281"/>
      <c r="AG75" s="1281"/>
      <c r="AH75" s="1281"/>
      <c r="AI75" s="1281"/>
      <c r="AJ75" s="1281"/>
      <c r="AK75" s="1281"/>
    </row>
    <row r="76" spans="1:37" s="2183" customFormat="1" ht="24">
      <c r="A76" s="2329" t="s">
        <v>2773</v>
      </c>
      <c r="B76" s="2335" t="s">
        <v>2774</v>
      </c>
      <c r="C76" s="2234"/>
      <c r="D76" s="1196">
        <f t="shared" si="19"/>
        <v>0</v>
      </c>
      <c r="E76" s="765"/>
      <c r="F76" s="2000"/>
      <c r="G76" s="1194"/>
      <c r="H76" s="1198" t="str">
        <f t="shared" si="20"/>
        <v>——</v>
      </c>
      <c r="I76" s="759">
        <v>0.05</v>
      </c>
      <c r="J76" s="1195">
        <f t="shared" si="21"/>
        <v>0</v>
      </c>
      <c r="K76" s="1195">
        <f t="shared" si="22"/>
        <v>0</v>
      </c>
      <c r="L76" s="1195">
        <v>0</v>
      </c>
      <c r="M76" s="1195">
        <f t="shared" si="23"/>
        <v>0</v>
      </c>
      <c r="N76" s="1195">
        <f t="shared" si="23"/>
        <v>0</v>
      </c>
      <c r="AA76" s="2340"/>
      <c r="AB76" s="1281"/>
      <c r="AC76" s="1281"/>
      <c r="AD76" s="1281"/>
      <c r="AE76" s="1281"/>
      <c r="AF76" s="1281"/>
      <c r="AG76" s="1281"/>
      <c r="AH76" s="2340"/>
      <c r="AI76" s="2340"/>
      <c r="AJ76" s="2340"/>
      <c r="AK76" s="2340"/>
    </row>
    <row r="77" spans="1:37" ht="38.25">
      <c r="A77" s="2329" t="s">
        <v>2777</v>
      </c>
      <c r="B77" s="2332" t="str">
        <f>估价对象房地状况!C20</f>
        <v>周边有隆福寺广场、东四清真寺等，自然及人文环境较好</v>
      </c>
      <c r="C77" s="2234"/>
      <c r="D77" s="1196">
        <f t="shared" si="19"/>
        <v>0</v>
      </c>
      <c r="E77" s="765"/>
      <c r="F77" s="2000"/>
      <c r="G77" s="1194"/>
      <c r="H77" s="1198" t="str">
        <f t="shared" si="20"/>
        <v>——</v>
      </c>
      <c r="I77" s="759">
        <v>0.15</v>
      </c>
      <c r="J77" s="1195">
        <f t="shared" si="21"/>
        <v>0</v>
      </c>
      <c r="K77" s="1195">
        <f t="shared" si="22"/>
        <v>0</v>
      </c>
      <c r="L77" s="1195">
        <v>0</v>
      </c>
      <c r="M77" s="1195">
        <f t="shared" si="23"/>
        <v>0</v>
      </c>
      <c r="N77" s="1195">
        <f t="shared" si="23"/>
        <v>0</v>
      </c>
      <c r="Z77" s="2184"/>
      <c r="AA77" s="2250"/>
      <c r="AG77" s="1282"/>
      <c r="AK77" s="2250"/>
    </row>
    <row r="78" spans="1:37" ht="24.75" thickBot="1">
      <c r="A78" s="2337" t="s">
        <v>2784</v>
      </c>
      <c r="B78" s="2341"/>
      <c r="C78" s="2234"/>
      <c r="D78" s="1196">
        <f t="shared" si="19"/>
        <v>0</v>
      </c>
      <c r="E78" s="766"/>
      <c r="F78" s="2000"/>
      <c r="G78" s="1194"/>
      <c r="H78" s="1198" t="str">
        <f t="shared" si="20"/>
        <v>——</v>
      </c>
      <c r="I78" s="763">
        <v>0.04</v>
      </c>
      <c r="J78" s="1195">
        <f t="shared" si="21"/>
        <v>0</v>
      </c>
      <c r="K78" s="1195">
        <f t="shared" si="22"/>
        <v>0</v>
      </c>
      <c r="L78" s="1195">
        <v>0</v>
      </c>
      <c r="M78" s="1195">
        <f t="shared" si="23"/>
        <v>0</v>
      </c>
      <c r="N78" s="1195">
        <f t="shared" si="23"/>
        <v>0</v>
      </c>
      <c r="Z78" s="2184"/>
      <c r="AA78" s="2250"/>
      <c r="AG78" s="1282"/>
      <c r="AK78" s="2250"/>
    </row>
    <row r="79" spans="1:37" ht="15">
      <c r="A79" s="2325" t="s">
        <v>2785</v>
      </c>
      <c r="B79" s="2326">
        <f>1+E81</f>
        <v>1</v>
      </c>
      <c r="C79" s="753"/>
      <c r="D79" s="753"/>
      <c r="E79" s="754"/>
      <c r="F79" s="2328"/>
      <c r="G79" s="6"/>
      <c r="H79" s="6"/>
      <c r="I79" s="6"/>
      <c r="J79" s="7"/>
      <c r="K79" s="7"/>
      <c r="L79" s="7"/>
      <c r="M79" s="7"/>
      <c r="N79" s="7"/>
      <c r="Z79" s="2184"/>
      <c r="AA79" s="2250"/>
      <c r="AG79" s="1282"/>
      <c r="AK79" s="2250"/>
    </row>
    <row r="80" spans="1:37" ht="24.75">
      <c r="A80" s="2329" t="s">
        <v>2759</v>
      </c>
      <c r="B80" s="1535"/>
      <c r="C80" s="1535" t="s">
        <v>2761</v>
      </c>
      <c r="D80" s="1535" t="s">
        <v>2762</v>
      </c>
      <c r="E80" s="758" t="s">
        <v>2763</v>
      </c>
      <c r="F80" s="2330" t="s">
        <v>2779</v>
      </c>
      <c r="G80" s="1535" t="s">
        <v>754</v>
      </c>
      <c r="H80" s="2331" t="s">
        <v>2765</v>
      </c>
      <c r="I80" s="1535" t="s">
        <v>2766</v>
      </c>
      <c r="J80" s="560" t="s">
        <v>2418</v>
      </c>
      <c r="K80" s="560" t="s">
        <v>2419</v>
      </c>
      <c r="L80" s="560" t="s">
        <v>2420</v>
      </c>
      <c r="M80" s="560" t="s">
        <v>2421</v>
      </c>
      <c r="N80" s="560" t="s">
        <v>2422</v>
      </c>
      <c r="Z80" s="2184"/>
      <c r="AA80" s="2250"/>
      <c r="AG80" s="1282"/>
      <c r="AK80" s="2250"/>
    </row>
    <row r="81" spans="1:37" ht="38.25">
      <c r="A81" s="2329" t="s">
        <v>2786</v>
      </c>
      <c r="B81" s="2333" t="str">
        <f>估价对象房地状况!G15</f>
        <v>估价对象位于XX开发区，园区建设成熟度XX，产业集聚程度XX</v>
      </c>
      <c r="C81" s="2234"/>
      <c r="D81" s="1196">
        <f t="shared" ref="D81:D88" si="24">SUMIF($J$80:$N$80,C81,J81:N81)</f>
        <v>0</v>
      </c>
      <c r="E81" s="760">
        <f>ROUND(SUM(D81:D88),4)</f>
        <v>0</v>
      </c>
      <c r="F81" s="2000" t="str">
        <f>IF(E2="工业",SUMIF(L1:L12,G2,N1:N12),"——")</f>
        <v>——</v>
      </c>
      <c r="G81" s="1194"/>
      <c r="H81" s="1198" t="str">
        <f t="shared" ref="H81:H88" si="25">IFERROR(ROUNDDOWN($F$81*I81/2,4),"——")</f>
        <v>——</v>
      </c>
      <c r="I81" s="759">
        <v>0.26</v>
      </c>
      <c r="J81" s="1195">
        <f t="shared" ref="J81:J88" si="26">K81+$G81</f>
        <v>0</v>
      </c>
      <c r="K81" s="1195">
        <f t="shared" ref="K81:K88" si="27">$L81+$G81</f>
        <v>0</v>
      </c>
      <c r="L81" s="1195">
        <v>0</v>
      </c>
      <c r="M81" s="1195">
        <f t="shared" ref="M81:N88" si="28">L81-$G81</f>
        <v>0</v>
      </c>
      <c r="N81" s="1195">
        <f t="shared" si="28"/>
        <v>0</v>
      </c>
      <c r="Z81" s="2184"/>
      <c r="AA81" s="2250"/>
      <c r="AG81" s="1282"/>
      <c r="AK81" s="2250"/>
    </row>
    <row r="82" spans="1:37" ht="51">
      <c r="A82" s="2329" t="s">
        <v>2768</v>
      </c>
      <c r="B82" s="2333" t="str">
        <f>估价对象房地状况!G16</f>
        <v>估价对象周边道路状况、公共交通通达情况、停车便捷程度，综合评价交通便捷度较好</v>
      </c>
      <c r="C82" s="2234"/>
      <c r="D82" s="1196">
        <f t="shared" si="24"/>
        <v>0</v>
      </c>
      <c r="E82" s="765"/>
      <c r="F82" s="2000"/>
      <c r="G82" s="1194"/>
      <c r="H82" s="1198" t="str">
        <f t="shared" si="25"/>
        <v>——</v>
      </c>
      <c r="I82" s="759">
        <v>0.33</v>
      </c>
      <c r="J82" s="1195">
        <f t="shared" si="26"/>
        <v>0</v>
      </c>
      <c r="K82" s="1195">
        <f t="shared" si="27"/>
        <v>0</v>
      </c>
      <c r="L82" s="1195">
        <v>0</v>
      </c>
      <c r="M82" s="1195">
        <f t="shared" si="28"/>
        <v>0</v>
      </c>
      <c r="N82" s="1195">
        <f t="shared" si="28"/>
        <v>0</v>
      </c>
      <c r="Z82" s="2184"/>
      <c r="AA82" s="2250"/>
      <c r="AG82" s="1282"/>
      <c r="AK82" s="2250"/>
    </row>
    <row r="83" spans="1:37" ht="24">
      <c r="A83" s="2329" t="s">
        <v>2769</v>
      </c>
      <c r="B83" s="2333">
        <f>估价对象房地状况!G17</f>
        <v>0</v>
      </c>
      <c r="C83" s="2234"/>
      <c r="D83" s="1196">
        <f t="shared" si="24"/>
        <v>0</v>
      </c>
      <c r="E83" s="765"/>
      <c r="F83" s="2000"/>
      <c r="G83" s="1194"/>
      <c r="H83" s="1198" t="str">
        <f t="shared" si="25"/>
        <v>——</v>
      </c>
      <c r="I83" s="759">
        <v>0.05</v>
      </c>
      <c r="J83" s="1195">
        <f t="shared" si="26"/>
        <v>0</v>
      </c>
      <c r="K83" s="1195">
        <f t="shared" si="27"/>
        <v>0</v>
      </c>
      <c r="L83" s="1195">
        <v>0</v>
      </c>
      <c r="M83" s="1195">
        <f t="shared" si="28"/>
        <v>0</v>
      </c>
      <c r="N83" s="1195">
        <f t="shared" si="28"/>
        <v>0</v>
      </c>
      <c r="Z83" s="2184"/>
      <c r="AA83" s="2250"/>
      <c r="AG83" s="1282"/>
      <c r="AK83" s="2250"/>
    </row>
    <row r="84" spans="1:37" ht="14.25">
      <c r="A84" s="2329" t="s">
        <v>2783</v>
      </c>
      <c r="B84" s="2333">
        <f>估价对象房地状况!G22</f>
        <v>0</v>
      </c>
      <c r="C84" s="2234"/>
      <c r="D84" s="1196">
        <f t="shared" si="24"/>
        <v>0</v>
      </c>
      <c r="E84" s="765"/>
      <c r="F84" s="2000"/>
      <c r="G84" s="1194"/>
      <c r="H84" s="1198" t="str">
        <f t="shared" si="25"/>
        <v>——</v>
      </c>
      <c r="I84" s="759">
        <v>0.04</v>
      </c>
      <c r="J84" s="1195">
        <f t="shared" si="26"/>
        <v>0</v>
      </c>
      <c r="K84" s="1195">
        <f t="shared" si="27"/>
        <v>0</v>
      </c>
      <c r="L84" s="1195">
        <v>0</v>
      </c>
      <c r="M84" s="1195">
        <f t="shared" si="28"/>
        <v>0</v>
      </c>
      <c r="N84" s="1195">
        <f t="shared" si="28"/>
        <v>0</v>
      </c>
      <c r="Z84" s="2184"/>
      <c r="AA84" s="2250"/>
      <c r="AG84" s="1282"/>
      <c r="AK84" s="2250"/>
    </row>
    <row r="85" spans="1:37" ht="25.5">
      <c r="A85" s="2329" t="s">
        <v>2775</v>
      </c>
      <c r="B85" s="1494" t="str">
        <f>估价对象房地状况!G19</f>
        <v>估价对象所在区域公共配套设施齐备情况</v>
      </c>
      <c r="C85" s="2234"/>
      <c r="D85" s="1196">
        <f t="shared" si="24"/>
        <v>0</v>
      </c>
      <c r="E85" s="765"/>
      <c r="F85" s="2000"/>
      <c r="G85" s="1194"/>
      <c r="H85" s="1198" t="str">
        <f t="shared" si="25"/>
        <v>——</v>
      </c>
      <c r="I85" s="759">
        <v>0.06</v>
      </c>
      <c r="J85" s="1195">
        <f t="shared" si="26"/>
        <v>0</v>
      </c>
      <c r="K85" s="1195">
        <f t="shared" si="27"/>
        <v>0</v>
      </c>
      <c r="L85" s="1195">
        <v>0</v>
      </c>
      <c r="M85" s="1195">
        <f t="shared" si="28"/>
        <v>0</v>
      </c>
      <c r="N85" s="1195">
        <f t="shared" si="28"/>
        <v>0</v>
      </c>
      <c r="Z85" s="2184"/>
      <c r="AA85" s="2250"/>
      <c r="AG85" s="1282"/>
      <c r="AK85" s="2250"/>
    </row>
    <row r="86" spans="1:37" ht="25.5">
      <c r="A86" s="2329" t="s">
        <v>2776</v>
      </c>
      <c r="B86" s="1494" t="str">
        <f>估价对象房地状况!G20</f>
        <v>估价对象所在区域基础设施水平</v>
      </c>
      <c r="C86" s="2234"/>
      <c r="D86" s="1196">
        <f t="shared" si="24"/>
        <v>0</v>
      </c>
      <c r="E86" s="765"/>
      <c r="F86" s="2000"/>
      <c r="G86" s="1194"/>
      <c r="H86" s="1198" t="str">
        <f t="shared" si="25"/>
        <v>——</v>
      </c>
      <c r="I86" s="759">
        <v>0.15</v>
      </c>
      <c r="J86" s="1195">
        <f t="shared" si="26"/>
        <v>0</v>
      </c>
      <c r="K86" s="1195">
        <f t="shared" si="27"/>
        <v>0</v>
      </c>
      <c r="L86" s="1195">
        <v>0</v>
      </c>
      <c r="M86" s="1195">
        <f t="shared" si="28"/>
        <v>0</v>
      </c>
      <c r="N86" s="1195">
        <f t="shared" si="28"/>
        <v>0</v>
      </c>
      <c r="Z86" s="2184"/>
      <c r="AA86" s="2250"/>
      <c r="AG86" s="1282"/>
      <c r="AK86" s="2250"/>
    </row>
    <row r="87" spans="1:37" ht="24">
      <c r="A87" s="2329" t="s">
        <v>2773</v>
      </c>
      <c r="B87" s="2335" t="s">
        <v>2787</v>
      </c>
      <c r="C87" s="2234"/>
      <c r="D87" s="1196">
        <f t="shared" si="24"/>
        <v>0</v>
      </c>
      <c r="E87" s="765"/>
      <c r="F87" s="2000"/>
      <c r="G87" s="1194"/>
      <c r="H87" s="1198" t="str">
        <f t="shared" si="25"/>
        <v>——</v>
      </c>
      <c r="I87" s="759">
        <v>0.05</v>
      </c>
      <c r="J87" s="1195">
        <f t="shared" si="26"/>
        <v>0</v>
      </c>
      <c r="K87" s="1195">
        <f t="shared" si="27"/>
        <v>0</v>
      </c>
      <c r="L87" s="1195">
        <v>0</v>
      </c>
      <c r="M87" s="1195">
        <f t="shared" si="28"/>
        <v>0</v>
      </c>
      <c r="N87" s="1195">
        <f t="shared" si="28"/>
        <v>0</v>
      </c>
      <c r="Z87" s="2184"/>
      <c r="AA87" s="2250"/>
      <c r="AG87" s="1282"/>
      <c r="AK87" s="2250"/>
    </row>
    <row r="88" spans="1:37" ht="39" thickBot="1">
      <c r="A88" s="2337" t="s">
        <v>2788</v>
      </c>
      <c r="B88" s="2342" t="str">
        <f>估价对象房地状况!G18</f>
        <v>该园区内是否有污染型企业，绿化情况，卫生条件，整体环境状况判断</v>
      </c>
      <c r="C88" s="2234"/>
      <c r="D88" s="1196">
        <f t="shared" si="24"/>
        <v>0</v>
      </c>
      <c r="E88" s="766"/>
      <c r="F88" s="2000"/>
      <c r="G88" s="1194"/>
      <c r="H88" s="1198" t="str">
        <f t="shared" si="25"/>
        <v>——</v>
      </c>
      <c r="I88" s="763">
        <v>0.06</v>
      </c>
      <c r="J88" s="1195">
        <f t="shared" si="26"/>
        <v>0</v>
      </c>
      <c r="K88" s="1195">
        <f t="shared" si="27"/>
        <v>0</v>
      </c>
      <c r="L88" s="1195">
        <v>0</v>
      </c>
      <c r="M88" s="1195">
        <f t="shared" si="28"/>
        <v>0</v>
      </c>
      <c r="N88" s="1195">
        <f t="shared" si="28"/>
        <v>0</v>
      </c>
      <c r="Z88" s="2184"/>
      <c r="AA88" s="2250"/>
      <c r="AG88" s="1282"/>
      <c r="AK88" s="2250"/>
    </row>
    <row r="90" spans="1:37">
      <c r="A90" s="3821" t="s">
        <v>2789</v>
      </c>
      <c r="B90" s="3821"/>
      <c r="C90" s="3821"/>
      <c r="D90" s="3821"/>
      <c r="E90" s="3821"/>
      <c r="F90" s="3821"/>
      <c r="G90" s="3821"/>
      <c r="H90" s="3821"/>
      <c r="I90" s="3821"/>
      <c r="J90" s="3821"/>
      <c r="K90" s="3064"/>
      <c r="L90" s="3064"/>
      <c r="M90" s="3064"/>
      <c r="N90" s="3064"/>
    </row>
    <row r="91" spans="1:37">
      <c r="A91" s="3823" t="s">
        <v>2790</v>
      </c>
      <c r="B91" s="3823" t="s">
        <v>2791</v>
      </c>
      <c r="C91" s="2297" t="s">
        <v>2792</v>
      </c>
      <c r="D91" s="2298"/>
      <c r="E91" s="2298"/>
      <c r="F91" s="2298"/>
      <c r="G91" s="2298"/>
      <c r="H91" s="2298"/>
      <c r="I91" s="2298"/>
      <c r="J91" s="2344"/>
      <c r="K91" s="2345"/>
      <c r="L91" s="2345"/>
      <c r="M91" s="2345"/>
      <c r="N91" s="2345"/>
    </row>
    <row r="92" spans="1:37">
      <c r="A92" s="3823"/>
      <c r="B92" s="3823"/>
      <c r="C92" s="3066" t="s">
        <v>2660</v>
      </c>
      <c r="D92" s="3066" t="s">
        <v>2661</v>
      </c>
      <c r="E92" s="3066" t="s">
        <v>2662</v>
      </c>
      <c r="F92" s="3066" t="s">
        <v>2663</v>
      </c>
      <c r="G92" s="3066" t="s">
        <v>2664</v>
      </c>
      <c r="H92" s="3066" t="s">
        <v>2665</v>
      </c>
      <c r="I92" s="3066" t="s">
        <v>2666</v>
      </c>
      <c r="J92" s="3066" t="s">
        <v>2667</v>
      </c>
      <c r="K92" s="3066" t="s">
        <v>2668</v>
      </c>
      <c r="L92" s="3066" t="s">
        <v>2669</v>
      </c>
      <c r="M92" s="3066" t="s">
        <v>2670</v>
      </c>
      <c r="N92" s="3066" t="s">
        <v>2671</v>
      </c>
    </row>
    <row r="93" spans="1:37">
      <c r="A93" s="3824" t="s">
        <v>2793</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825"/>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825"/>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825"/>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825"/>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825"/>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825"/>
      <c r="B99" s="2346" t="s">
        <v>2676</v>
      </c>
      <c r="C99" s="2348">
        <f>$I$3</f>
        <v>0</v>
      </c>
      <c r="D99" s="2348">
        <f t="shared" ref="D99:M99" si="29">$I$3</f>
        <v>0</v>
      </c>
      <c r="E99" s="2348">
        <f t="shared" si="29"/>
        <v>0</v>
      </c>
      <c r="F99" s="2348">
        <f t="shared" si="29"/>
        <v>0</v>
      </c>
      <c r="G99" s="2348">
        <f t="shared" si="29"/>
        <v>0</v>
      </c>
      <c r="H99" s="2348">
        <f t="shared" si="29"/>
        <v>0</v>
      </c>
      <c r="I99" s="2348">
        <f t="shared" si="29"/>
        <v>0</v>
      </c>
      <c r="J99" s="2348">
        <f t="shared" si="29"/>
        <v>0</v>
      </c>
      <c r="K99" s="2348">
        <f t="shared" si="29"/>
        <v>0</v>
      </c>
      <c r="L99" s="2348">
        <f t="shared" si="29"/>
        <v>0</v>
      </c>
      <c r="M99" s="2348">
        <f t="shared" si="29"/>
        <v>0</v>
      </c>
      <c r="N99" s="2348">
        <f>$I$3</f>
        <v>0</v>
      </c>
    </row>
    <row r="100" spans="1:14">
      <c r="A100" s="3826"/>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824" t="s">
        <v>2794</v>
      </c>
      <c r="B101" s="2350" t="s">
        <v>2795</v>
      </c>
      <c r="C101" s="2351">
        <f>$G$3</f>
        <v>5.45</v>
      </c>
      <c r="D101" s="2351">
        <f t="shared" ref="D101:N101" si="30">$G$3</f>
        <v>5.45</v>
      </c>
      <c r="E101" s="2351">
        <f t="shared" si="30"/>
        <v>5.45</v>
      </c>
      <c r="F101" s="2351">
        <f t="shared" si="30"/>
        <v>5.45</v>
      </c>
      <c r="G101" s="2351">
        <f t="shared" si="30"/>
        <v>5.45</v>
      </c>
      <c r="H101" s="2351">
        <f t="shared" si="30"/>
        <v>5.45</v>
      </c>
      <c r="I101" s="2351">
        <f t="shared" si="30"/>
        <v>5.45</v>
      </c>
      <c r="J101" s="2351">
        <f t="shared" si="30"/>
        <v>5.45</v>
      </c>
      <c r="K101" s="2351">
        <f t="shared" si="30"/>
        <v>5.45</v>
      </c>
      <c r="L101" s="2351">
        <f t="shared" si="30"/>
        <v>5.45</v>
      </c>
      <c r="M101" s="2351">
        <f t="shared" si="30"/>
        <v>5.45</v>
      </c>
      <c r="N101" s="2351">
        <f t="shared" si="30"/>
        <v>5.45</v>
      </c>
    </row>
    <row r="102" spans="1:14">
      <c r="A102" s="3825"/>
      <c r="B102" s="2346">
        <v>1</v>
      </c>
      <c r="C102" s="2347">
        <f>1.9362/C101</f>
        <v>0.35526605504587155</v>
      </c>
      <c r="D102" s="2347">
        <f>1.9362/D101</f>
        <v>0.35526605504587155</v>
      </c>
      <c r="E102" s="2347">
        <f>1.8629/E101</f>
        <v>0.34181651376146788</v>
      </c>
      <c r="F102" s="2347">
        <f>1.8629/F101</f>
        <v>0.34181651376146788</v>
      </c>
      <c r="G102" s="2347">
        <f>1.8629/G101</f>
        <v>0.34181651376146788</v>
      </c>
      <c r="H102" s="2347">
        <f>1.8629/H101</f>
        <v>0.34181651376146788</v>
      </c>
      <c r="I102" s="2347">
        <f>1.8629/I101</f>
        <v>0.34181651376146788</v>
      </c>
      <c r="J102" s="2347">
        <f>1.942/J101</f>
        <v>0.35633027522935778</v>
      </c>
      <c r="K102" s="2347">
        <f>1.942/K101</f>
        <v>0.35633027522935778</v>
      </c>
      <c r="L102" s="2347">
        <f>1.942/L101</f>
        <v>0.35633027522935778</v>
      </c>
      <c r="M102" s="2347">
        <f>1.942/M101</f>
        <v>0.35633027522935778</v>
      </c>
      <c r="N102" s="2347">
        <f>1.942/N101</f>
        <v>0.35633027522935778</v>
      </c>
    </row>
    <row r="103" spans="1:14">
      <c r="A103" s="3825"/>
      <c r="B103" s="2346">
        <v>2</v>
      </c>
      <c r="C103" s="2347">
        <f>1.4198/C101</f>
        <v>0.2605137614678899</v>
      </c>
      <c r="D103" s="2347">
        <f>1.4198/D101</f>
        <v>0.2605137614678899</v>
      </c>
      <c r="E103" s="2347">
        <f>1.3372/E101</f>
        <v>0.24535779816513759</v>
      </c>
      <c r="F103" s="2347">
        <f>1.3372/F101</f>
        <v>0.24535779816513759</v>
      </c>
      <c r="G103" s="2347">
        <f>1.3372/G101</f>
        <v>0.24535779816513759</v>
      </c>
      <c r="H103" s="2347">
        <f>1.3372/H101</f>
        <v>0.24535779816513759</v>
      </c>
      <c r="I103" s="2347">
        <f>1.3372/I101</f>
        <v>0.24535779816513759</v>
      </c>
      <c r="J103" s="2347">
        <f>1.2799/J101</f>
        <v>0.23484403669724771</v>
      </c>
      <c r="K103" s="2347">
        <f>1.2799/K101</f>
        <v>0.23484403669724771</v>
      </c>
      <c r="L103" s="2347">
        <f>1.2799/L101</f>
        <v>0.23484403669724771</v>
      </c>
      <c r="M103" s="2347">
        <f>1.2799/M101</f>
        <v>0.23484403669724771</v>
      </c>
      <c r="N103" s="2347">
        <f>1.2799/N101</f>
        <v>0.23484403669724771</v>
      </c>
    </row>
    <row r="104" spans="1:14">
      <c r="A104" s="3825"/>
      <c r="B104" s="2346">
        <v>3</v>
      </c>
      <c r="C104" s="2347">
        <f>1.1594/C101</f>
        <v>0.21273394495412842</v>
      </c>
      <c r="D104" s="2347">
        <f>1.1594/D101</f>
        <v>0.21273394495412842</v>
      </c>
      <c r="E104" s="2347">
        <f>1.0788/E101</f>
        <v>0.19794495412844035</v>
      </c>
      <c r="F104" s="2347">
        <f>1.0788/F101</f>
        <v>0.19794495412844035</v>
      </c>
      <c r="G104" s="2347">
        <f>1.0788/G101</f>
        <v>0.19794495412844035</v>
      </c>
      <c r="H104" s="2347">
        <f>1.0788/H101</f>
        <v>0.19794495412844035</v>
      </c>
      <c r="I104" s="2347">
        <f>1.0788/I101</f>
        <v>0.19794495412844035</v>
      </c>
      <c r="J104" s="2347">
        <f>1.0072/J101</f>
        <v>0.18480733944954131</v>
      </c>
      <c r="K104" s="2347">
        <f>1.0072/K101</f>
        <v>0.18480733944954131</v>
      </c>
      <c r="L104" s="2347">
        <f>1.0072/L101</f>
        <v>0.18480733944954131</v>
      </c>
      <c r="M104" s="2347">
        <f>1.0072/M101</f>
        <v>0.18480733944954131</v>
      </c>
      <c r="N104" s="2347">
        <f>1.0072/N101</f>
        <v>0.18480733944954131</v>
      </c>
    </row>
    <row r="105" spans="1:14">
      <c r="A105" s="3825"/>
      <c r="B105" s="2346">
        <v>4</v>
      </c>
      <c r="C105" s="2347">
        <f>0.9622/C101</f>
        <v>0.17655045871559633</v>
      </c>
      <c r="D105" s="2347">
        <f>0.9622/D101</f>
        <v>0.17655045871559633</v>
      </c>
      <c r="E105" s="2347">
        <f>0.8656/E101</f>
        <v>0.15882568807339451</v>
      </c>
      <c r="F105" s="2347">
        <f>0.8656/F101</f>
        <v>0.15882568807339451</v>
      </c>
      <c r="G105" s="2347">
        <f>0.8656/G101</f>
        <v>0.15882568807339451</v>
      </c>
      <c r="H105" s="2347">
        <f>0.8656/H101</f>
        <v>0.15882568807339451</v>
      </c>
      <c r="I105" s="2347">
        <f>0.8656/I101</f>
        <v>0.15882568807339451</v>
      </c>
      <c r="J105" s="2347">
        <f>0.7525/J101</f>
        <v>0.13807339449541284</v>
      </c>
      <c r="K105" s="2347">
        <f>0.7525/K101</f>
        <v>0.13807339449541284</v>
      </c>
      <c r="L105" s="2347">
        <f>0.7525/L101</f>
        <v>0.13807339449541284</v>
      </c>
      <c r="M105" s="2347">
        <f>0.7525/M101</f>
        <v>0.13807339449541284</v>
      </c>
      <c r="N105" s="2347">
        <f>0.7525/N101</f>
        <v>0.13807339449541284</v>
      </c>
    </row>
    <row r="106" spans="1:14">
      <c r="A106" s="3825"/>
      <c r="B106" s="2346">
        <v>5</v>
      </c>
      <c r="C106" s="2347">
        <f>0.8417/C101</f>
        <v>0.15444036697247707</v>
      </c>
      <c r="D106" s="2347">
        <f>0.8417/D101</f>
        <v>0.15444036697247707</v>
      </c>
      <c r="E106" s="2347">
        <f>0.7371/E101</f>
        <v>0.13524770642201833</v>
      </c>
      <c r="F106" s="2347">
        <f>0.7371/F101</f>
        <v>0.13524770642201833</v>
      </c>
      <c r="G106" s="2347">
        <f>0.7371/G101</f>
        <v>0.13524770642201833</v>
      </c>
      <c r="H106" s="2347">
        <f>0.7371/H101</f>
        <v>0.13524770642201833</v>
      </c>
      <c r="I106" s="2347">
        <f>0.7371/I101</f>
        <v>0.13524770642201833</v>
      </c>
      <c r="J106" s="2347">
        <f>0.5659/J101</f>
        <v>0.10383486238532109</v>
      </c>
      <c r="K106" s="2347">
        <f>0.5659/K101</f>
        <v>0.10383486238532109</v>
      </c>
      <c r="L106" s="2347">
        <f>0.5659/L101</f>
        <v>0.10383486238532109</v>
      </c>
      <c r="M106" s="2347">
        <f>0.5659/M101</f>
        <v>0.10383486238532109</v>
      </c>
      <c r="N106" s="2347">
        <f>0.5659/N101</f>
        <v>0.10383486238532109</v>
      </c>
    </row>
    <row r="107" spans="1:14">
      <c r="A107" s="3825"/>
      <c r="B107" s="2346">
        <v>6</v>
      </c>
      <c r="C107" s="2347">
        <f>0.7608/C101</f>
        <v>0.13959633027522936</v>
      </c>
      <c r="D107" s="2347">
        <f>0.7608/D101</f>
        <v>0.13959633027522936</v>
      </c>
      <c r="E107" s="2347">
        <f>0.6482/E101</f>
        <v>0.11893577981651375</v>
      </c>
      <c r="F107" s="2347">
        <f>0.6482/F101</f>
        <v>0.11893577981651375</v>
      </c>
      <c r="G107" s="2347">
        <f>0.6482/G101</f>
        <v>0.11893577981651375</v>
      </c>
      <c r="H107" s="2347">
        <f>0.6482/H101</f>
        <v>0.11893577981651375</v>
      </c>
      <c r="I107" s="2347">
        <f>0.6482/I101</f>
        <v>0.11893577981651375</v>
      </c>
      <c r="J107" s="2347">
        <f>0.4525/J101</f>
        <v>8.3027522935779821E-2</v>
      </c>
      <c r="K107" s="2347">
        <f>0.4525/K101</f>
        <v>8.3027522935779821E-2</v>
      </c>
      <c r="L107" s="2347">
        <f>0.4525/L101</f>
        <v>8.3027522935779821E-2</v>
      </c>
      <c r="M107" s="2347">
        <f>0.4525/M101</f>
        <v>8.3027522935779821E-2</v>
      </c>
      <c r="N107" s="2347">
        <f>0.4525/N101</f>
        <v>8.3027522935779821E-2</v>
      </c>
    </row>
    <row r="108" spans="1:14">
      <c r="A108" s="3825"/>
      <c r="B108" s="3827" t="s">
        <v>2796</v>
      </c>
      <c r="C108" s="2348">
        <f>C99</f>
        <v>0</v>
      </c>
      <c r="D108" s="2348">
        <f t="shared" ref="D108:N108" si="31">D99</f>
        <v>0</v>
      </c>
      <c r="E108" s="2348">
        <f t="shared" si="31"/>
        <v>0</v>
      </c>
      <c r="F108" s="2348">
        <f t="shared" si="31"/>
        <v>0</v>
      </c>
      <c r="G108" s="2348">
        <f t="shared" si="31"/>
        <v>0</v>
      </c>
      <c r="H108" s="2348">
        <f t="shared" si="31"/>
        <v>0</v>
      </c>
      <c r="I108" s="2348">
        <f t="shared" si="31"/>
        <v>0</v>
      </c>
      <c r="J108" s="2348">
        <f t="shared" si="31"/>
        <v>0</v>
      </c>
      <c r="K108" s="2348">
        <f t="shared" si="31"/>
        <v>0</v>
      </c>
      <c r="L108" s="2348">
        <f t="shared" si="31"/>
        <v>0</v>
      </c>
      <c r="M108" s="2348">
        <f t="shared" si="31"/>
        <v>0</v>
      </c>
      <c r="N108" s="2348">
        <f t="shared" si="31"/>
        <v>0</v>
      </c>
    </row>
    <row r="109" spans="1:14">
      <c r="A109" s="3826"/>
      <c r="B109" s="3828"/>
      <c r="C109" s="2349">
        <f>(-0.163*(C108^2)-0.59*C108+7617)*(10^(-4))/C101</f>
        <v>0.13976146788990826</v>
      </c>
      <c r="D109" s="2349">
        <f>(-0.163*(D108^2)-0.59*D108+7617)*(10^(-4))/D101</f>
        <v>0.13976146788990826</v>
      </c>
      <c r="E109" s="2349">
        <f>(-0.161*(E108^2)-7.509*E108+6533)*(10^(-4))/E101</f>
        <v>0.11987155963302752</v>
      </c>
      <c r="F109" s="2349">
        <f>(-0.161*(F108^2)-7.509*F108+6533)*(10^(-4))/F101</f>
        <v>0.11987155963302752</v>
      </c>
      <c r="G109" s="2349">
        <f>(-0.161*(G108^2)-7.509*G108+6533)*(10^(-4))/G101</f>
        <v>0.11987155963302752</v>
      </c>
      <c r="H109" s="2349">
        <f>(-0.161*(H108^2)-7.509*H108+6533)*(10^(-4))/H101</f>
        <v>0.11987155963302752</v>
      </c>
      <c r="I109" s="2349">
        <f>(-0.161*(I108^2)-7.509*I108+6533)*(10^(-4))/I101</f>
        <v>0.11987155963302752</v>
      </c>
      <c r="J109" s="2349">
        <f>(-0.214*(J108^2)-21.991*J108+4665)*(10^(-4))/J101</f>
        <v>8.5596330275229365E-2</v>
      </c>
      <c r="K109" s="2349">
        <f>(-0.214*(K108^2)-21.991*K108+4665)*(10^(-4))/K101</f>
        <v>8.5596330275229365E-2</v>
      </c>
      <c r="L109" s="2349">
        <f>(-0.214*(L108^2)-21.991*L108+4665)*(10^(-4))/L101</f>
        <v>8.5596330275229365E-2</v>
      </c>
      <c r="M109" s="2349">
        <f>(-0.214*(M108^2)-21.991*M108+4665)*(10^(-4))/M101</f>
        <v>8.5596330275229365E-2</v>
      </c>
      <c r="N109" s="2349">
        <f>(-0.214*(N108^2)-21.991*N108+4665)*(10^(-4))/N101</f>
        <v>8.5596330275229365E-2</v>
      </c>
    </row>
    <row r="110" spans="1:14">
      <c r="A110" s="3822" t="s">
        <v>2797</v>
      </c>
      <c r="B110" s="3822"/>
      <c r="C110" s="3822"/>
      <c r="D110" s="3822"/>
      <c r="E110" s="3822"/>
      <c r="F110" s="3822"/>
      <c r="G110" s="3822"/>
      <c r="H110" s="3822"/>
      <c r="I110" s="3822"/>
      <c r="J110" s="3822"/>
      <c r="K110" s="3065"/>
      <c r="L110" s="3065"/>
      <c r="M110" s="3065"/>
      <c r="N110" s="3065"/>
    </row>
    <row r="112" spans="1:14" ht="13.5" thickBot="1"/>
    <row r="113" spans="1:13" ht="25.5" thickBot="1">
      <c r="A113" s="842" t="s">
        <v>2798</v>
      </c>
      <c r="B113" s="1197">
        <f>G3</f>
        <v>5.45</v>
      </c>
      <c r="C113" s="843" t="s">
        <v>2799</v>
      </c>
      <c r="D113" s="844">
        <f>SUMPRODUCT((A115:A118=F113)*(B114:M114=H113)*B115:M118)</f>
        <v>0.88229999999999997</v>
      </c>
      <c r="E113" s="2188" t="s">
        <v>2633</v>
      </c>
      <c r="F113" s="2354" t="str">
        <f>E2</f>
        <v>商业</v>
      </c>
      <c r="G113" s="2188" t="s">
        <v>2634</v>
      </c>
      <c r="H113" s="2354" t="str">
        <f>G2</f>
        <v>一级</v>
      </c>
      <c r="I113" s="2188"/>
      <c r="J113" s="2355"/>
      <c r="K113" s="2355"/>
      <c r="L113" s="2355"/>
      <c r="M113" s="2355"/>
    </row>
    <row r="114" spans="1:13">
      <c r="A114" s="847"/>
      <c r="B114" s="2356" t="s">
        <v>2800</v>
      </c>
      <c r="C114" s="2356" t="s">
        <v>2801</v>
      </c>
      <c r="D114" s="2356" t="s">
        <v>2802</v>
      </c>
      <c r="E114" s="2357" t="s">
        <v>2803</v>
      </c>
      <c r="F114" s="2357" t="s">
        <v>2804</v>
      </c>
      <c r="G114" s="2357" t="s">
        <v>2805</v>
      </c>
      <c r="H114" s="2358" t="s">
        <v>2806</v>
      </c>
      <c r="I114" s="2358" t="s">
        <v>2807</v>
      </c>
      <c r="J114" s="2359" t="s">
        <v>2808</v>
      </c>
      <c r="K114" s="2359" t="s">
        <v>2809</v>
      </c>
      <c r="L114" s="2359" t="s">
        <v>2810</v>
      </c>
      <c r="M114" s="2360" t="s">
        <v>2811</v>
      </c>
    </row>
    <row r="115" spans="1:13">
      <c r="A115" s="848" t="s">
        <v>2698</v>
      </c>
      <c r="B115" s="849">
        <f>ROUND(0.9335-0.0094*B113,4)</f>
        <v>0.88229999999999997</v>
      </c>
      <c r="C115" s="849">
        <f>B115</f>
        <v>0.88229999999999997</v>
      </c>
      <c r="D115" s="849">
        <f>ROUND(0.8331-0.0109*B113,4)</f>
        <v>0.77370000000000005</v>
      </c>
      <c r="E115" s="849">
        <f>D115</f>
        <v>0.77370000000000005</v>
      </c>
      <c r="F115" s="849">
        <f>E115</f>
        <v>0.77370000000000005</v>
      </c>
      <c r="G115" s="849">
        <f>F115</f>
        <v>0.77370000000000005</v>
      </c>
      <c r="H115" s="849">
        <f>G115</f>
        <v>0.77370000000000005</v>
      </c>
      <c r="I115" s="849">
        <f>ROUND(0.689-0.0155*B113,4)</f>
        <v>0.60450000000000004</v>
      </c>
      <c r="J115" s="849">
        <f t="shared" ref="J115:M118" si="32">I115</f>
        <v>0.60450000000000004</v>
      </c>
      <c r="K115" s="849">
        <f t="shared" si="32"/>
        <v>0.60450000000000004</v>
      </c>
      <c r="L115" s="849">
        <f t="shared" si="32"/>
        <v>0.60450000000000004</v>
      </c>
      <c r="M115" s="850">
        <f t="shared" si="32"/>
        <v>0.60450000000000004</v>
      </c>
    </row>
    <row r="116" spans="1:13">
      <c r="A116" s="848" t="s">
        <v>2699</v>
      </c>
      <c r="B116" s="849">
        <f>ROUND(0.949-0.012*B113,4)</f>
        <v>0.88360000000000005</v>
      </c>
      <c r="C116" s="849">
        <f>B116</f>
        <v>0.88360000000000005</v>
      </c>
      <c r="D116" s="849">
        <f>ROUND(0.8567-0.013*B113,4)</f>
        <v>0.78590000000000004</v>
      </c>
      <c r="E116" s="849">
        <f t="shared" ref="E116:H117" si="33">D116</f>
        <v>0.78590000000000004</v>
      </c>
      <c r="F116" s="849">
        <f t="shared" si="33"/>
        <v>0.78590000000000004</v>
      </c>
      <c r="G116" s="849">
        <f t="shared" si="33"/>
        <v>0.78590000000000004</v>
      </c>
      <c r="H116" s="849">
        <f t="shared" si="33"/>
        <v>0.78590000000000004</v>
      </c>
      <c r="I116" s="849">
        <f>ROUND(0.7694-0.014*B113,4)</f>
        <v>0.69310000000000005</v>
      </c>
      <c r="J116" s="849">
        <f t="shared" si="32"/>
        <v>0.69310000000000005</v>
      </c>
      <c r="K116" s="849">
        <f t="shared" si="32"/>
        <v>0.69310000000000005</v>
      </c>
      <c r="L116" s="849">
        <f t="shared" si="32"/>
        <v>0.69310000000000005</v>
      </c>
      <c r="M116" s="850">
        <f t="shared" si="32"/>
        <v>0.69310000000000005</v>
      </c>
    </row>
    <row r="117" spans="1:13">
      <c r="A117" s="848" t="s">
        <v>2700</v>
      </c>
      <c r="B117" s="849">
        <f>ROUND(0.8808-0.006*B113,4)</f>
        <v>0.84809999999999997</v>
      </c>
      <c r="C117" s="849">
        <f>B117</f>
        <v>0.84809999999999997</v>
      </c>
      <c r="D117" s="849">
        <f>ROUND(0.8748-0.008*B113,4)</f>
        <v>0.83120000000000005</v>
      </c>
      <c r="E117" s="849">
        <f t="shared" si="33"/>
        <v>0.83120000000000005</v>
      </c>
      <c r="F117" s="849">
        <f t="shared" si="33"/>
        <v>0.83120000000000005</v>
      </c>
      <c r="G117" s="849">
        <f t="shared" si="33"/>
        <v>0.83120000000000005</v>
      </c>
      <c r="H117" s="849">
        <f t="shared" si="33"/>
        <v>0.83120000000000005</v>
      </c>
      <c r="I117" s="849">
        <f>ROUND(0.7412-0.0095*B113,4)</f>
        <v>0.68940000000000001</v>
      </c>
      <c r="J117" s="849">
        <f t="shared" si="32"/>
        <v>0.68940000000000001</v>
      </c>
      <c r="K117" s="849">
        <f t="shared" si="32"/>
        <v>0.68940000000000001</v>
      </c>
      <c r="L117" s="849">
        <f t="shared" si="32"/>
        <v>0.68940000000000001</v>
      </c>
      <c r="M117" s="850">
        <f t="shared" si="32"/>
        <v>0.68940000000000001</v>
      </c>
    </row>
    <row r="118" spans="1:13" ht="13.5" thickBot="1">
      <c r="A118" s="670" t="s">
        <v>2701</v>
      </c>
      <c r="B118" s="851">
        <f>ROUND(0.7275-0.01*B113,4)</f>
        <v>0.67300000000000004</v>
      </c>
      <c r="C118" s="851">
        <f>B118</f>
        <v>0.67300000000000004</v>
      </c>
      <c r="D118" s="851">
        <f>ROUND(0.7043-0.012*B113,4)</f>
        <v>0.63890000000000002</v>
      </c>
      <c r="E118" s="851">
        <f>D118</f>
        <v>0.63890000000000002</v>
      </c>
      <c r="F118" s="851">
        <f>E118</f>
        <v>0.63890000000000002</v>
      </c>
      <c r="G118" s="851">
        <f>ROUND(0.6299-0.0122*B113,4)</f>
        <v>0.56340000000000001</v>
      </c>
      <c r="H118" s="851">
        <f>G118</f>
        <v>0.56340000000000001</v>
      </c>
      <c r="I118" s="851">
        <f>ROUND(0.5667-0.0136*B113,4)</f>
        <v>0.49259999999999998</v>
      </c>
      <c r="J118" s="851">
        <f t="shared" si="32"/>
        <v>0.49259999999999998</v>
      </c>
      <c r="K118" s="851">
        <f t="shared" si="32"/>
        <v>0.49259999999999998</v>
      </c>
      <c r="L118" s="851">
        <f t="shared" si="32"/>
        <v>0.49259999999999998</v>
      </c>
      <c r="M118" s="852">
        <f t="shared" si="32"/>
        <v>0.49259999999999998</v>
      </c>
    </row>
  </sheetData>
  <sheetProtection password="CEE9" sheet="1" objects="1" scenarios="1" formatCells="0" formatColumns="0" formatRows="0"/>
  <dataConsolidate/>
  <mergeCells count="18">
    <mergeCell ref="A4:J4"/>
    <mergeCell ref="A7:A11"/>
    <mergeCell ref="W8:X8"/>
    <mergeCell ref="W9:W10"/>
    <mergeCell ref="W11:W13"/>
    <mergeCell ref="A12:A15"/>
    <mergeCell ref="A110:J110"/>
    <mergeCell ref="A16:A17"/>
    <mergeCell ref="D16:E16"/>
    <mergeCell ref="F16:G16"/>
    <mergeCell ref="A33:A36"/>
    <mergeCell ref="J33:J36"/>
    <mergeCell ref="A90:J90"/>
    <mergeCell ref="A91:A92"/>
    <mergeCell ref="B91:B92"/>
    <mergeCell ref="A93:A100"/>
    <mergeCell ref="A101:A109"/>
    <mergeCell ref="B108:B109"/>
  </mergeCells>
  <phoneticPr fontId="141" type="noConversion"/>
  <conditionalFormatting sqref="F48">
    <cfRule type="cellIs" dxfId="128" priority="5" stopIfTrue="1" operator="notEqual">
      <formula>"——"</formula>
    </cfRule>
  </conditionalFormatting>
  <conditionalFormatting sqref="F59">
    <cfRule type="cellIs" dxfId="127" priority="4" stopIfTrue="1" operator="notEqual">
      <formula>"——"</formula>
    </cfRule>
  </conditionalFormatting>
  <conditionalFormatting sqref="F70">
    <cfRule type="cellIs" dxfId="126" priority="3" stopIfTrue="1" operator="notEqual">
      <formula>"——"</formula>
    </cfRule>
  </conditionalFormatting>
  <conditionalFormatting sqref="F81">
    <cfRule type="cellIs" dxfId="125" priority="2" stopIfTrue="1" operator="notEqual">
      <formula>"——"</formula>
    </cfRule>
  </conditionalFormatting>
  <conditionalFormatting sqref="H48:H56 H59:H67 H70:H78 H81:H88">
    <cfRule type="cellIs" dxfId="124" priority="1" operator="notEqual">
      <formula>"——"</formula>
    </cfRule>
  </conditionalFormatting>
  <dataValidations count="11">
    <dataValidation type="list" allowBlank="1" showInputMessage="1" showErrorMessage="1" sqref="H16:O16" xr:uid="{00000000-0002-0000-2200-000000000000}">
      <formula1>七通一平</formula1>
    </dataValidation>
    <dataValidation type="list" allowBlank="1" showInputMessage="1" showErrorMessage="1" sqref="H19" xr:uid="{00000000-0002-0000-2200-000001000000}">
      <formula1>"地价指数,季度增幅（自定义）,按公示增长率计算"</formula1>
    </dataValidation>
    <dataValidation type="list" allowBlank="1" showInputMessage="1" showErrorMessage="1" sqref="C81:C88 C70:C78 C48:C56 C59:C67" xr:uid="{00000000-0002-0000-2200-000002000000}">
      <formula1>五等判定</formula1>
    </dataValidation>
    <dataValidation type="list" allowBlank="1" showInputMessage="1" showErrorMessage="1" sqref="E3" xr:uid="{00000000-0002-0000-2200-000003000000}">
      <formula1>二级分类</formula1>
    </dataValidation>
    <dataValidation type="list" allowBlank="1" showInputMessage="1" showErrorMessage="1" sqref="C8" xr:uid="{00000000-0002-0000-2200-000004000000}">
      <formula1>商业街名称</formula1>
    </dataValidation>
    <dataValidation type="list" allowBlank="1" showInputMessage="1" showErrorMessage="1" sqref="F3" xr:uid="{00000000-0002-0000-2200-000005000000}">
      <formula1>"宗地容积率,估价对象容积率,自定义容积率"</formula1>
    </dataValidation>
    <dataValidation type="list" allowBlank="1" showInputMessage="1" showErrorMessage="1" sqref="E2" xr:uid="{00000000-0002-0000-2200-000006000000}">
      <formula1>"商业,办公,住宅,工业"</formula1>
    </dataValidation>
    <dataValidation type="list" allowBlank="1" showInputMessage="1" showErrorMessage="1" sqref="F17" xr:uid="{00000000-0002-0000-2200-000007000000}">
      <formula1>"与级别开发程度一致,与级别开发程度不一致"</formula1>
    </dataValidation>
    <dataValidation type="list" allowBlank="1" showInputMessage="1" showErrorMessage="1" sqref="B21" xr:uid="{00000000-0002-0000-2200-000008000000}">
      <formula1>"容积率修正,楼层修正"</formula1>
    </dataValidation>
    <dataValidation type="list" allowBlank="1" showInputMessage="1" showErrorMessage="1" sqref="C14:E14" xr:uid="{00000000-0002-0000-2200-000009000000}">
      <formula1>"有,无"</formula1>
    </dataValidation>
    <dataValidation type="list" allowBlank="1" showInputMessage="1" showErrorMessage="1" sqref="F14" xr:uid="{00000000-0002-0000-2200-00000A000000}">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7">
    <tabColor rgb="FF92D050"/>
  </sheetPr>
  <dimension ref="A1:AK83"/>
  <sheetViews>
    <sheetView view="pageBreakPreview" topLeftCell="A3" zoomScale="80" zoomScaleNormal="70" zoomScaleSheetLayoutView="80" workbookViewId="0">
      <selection activeCell="J19" sqref="J1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0</v>
      </c>
      <c r="G1" s="1562">
        <f>MATCH(C1,'数据-取费表'!A6:A16,0)+5</f>
        <v>13</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t="e">
        <f ca="1">C40+J29+L46</f>
        <v>#DIV/0!</v>
      </c>
      <c r="C2" s="1571" t="s">
        <v>1481</v>
      </c>
      <c r="D2" s="1571"/>
      <c r="E2" s="1572"/>
      <c r="F2" s="1573"/>
      <c r="G2" s="2933"/>
      <c r="H2" s="2922"/>
      <c r="I2" s="2922"/>
      <c r="J2" s="2922"/>
      <c r="K2" s="2923"/>
      <c r="L2" s="2922"/>
      <c r="M2" s="2922"/>
    </row>
    <row r="3" spans="1:37" ht="18" customHeight="1" thickBot="1">
      <c r="A3" s="1574" t="s">
        <v>1482</v>
      </c>
      <c r="B3" s="1575">
        <f ca="1">IF(ISERROR(B2*10000/F43),0,ROUND(B2*10000/F43,0))</f>
        <v>0</v>
      </c>
      <c r="C3" s="1571" t="s">
        <v>1483</v>
      </c>
      <c r="D3" s="1571"/>
      <c r="E3" s="1572"/>
      <c r="F3" s="1573"/>
      <c r="G3" s="2933"/>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0</v>
      </c>
      <c r="D5" s="1548" t="s">
        <v>1367</v>
      </c>
      <c r="E5" s="1203"/>
      <c r="F5" s="1204"/>
      <c r="G5" s="1568"/>
      <c r="H5" s="305">
        <v>1</v>
      </c>
      <c r="I5" s="306" t="s">
        <v>1366</v>
      </c>
      <c r="J5" s="1202">
        <f ca="1">J6+J10+J12</f>
        <v>0</v>
      </c>
      <c r="K5" s="1548" t="s">
        <v>1367</v>
      </c>
      <c r="L5" s="1203"/>
      <c r="M5" s="1204"/>
    </row>
    <row r="6" spans="1:37" ht="18" customHeight="1">
      <c r="A6" s="1201" t="s">
        <v>1003</v>
      </c>
      <c r="B6" s="3735" t="s">
        <v>1368</v>
      </c>
      <c r="C6" s="1206">
        <f ca="1">ROUND(F6*F8*F7*(1-F9)/10000,0)</f>
        <v>0</v>
      </c>
      <c r="D6" s="160" t="s">
        <v>2847</v>
      </c>
      <c r="E6" s="308" t="s">
        <v>1370</v>
      </c>
      <c r="F6" s="309">
        <f ca="1">INDIRECT("'数据-取费表'!u"&amp;$G$1)</f>
        <v>0</v>
      </c>
      <c r="G6" s="1568"/>
      <c r="H6" s="1201" t="s">
        <v>1003</v>
      </c>
      <c r="I6" s="3735" t="s">
        <v>1368</v>
      </c>
      <c r="J6" s="307">
        <f ca="1">ROUND(M6*M8*M7*(1-M9)/10000,0)</f>
        <v>0</v>
      </c>
      <c r="K6" s="160" t="s">
        <v>2846</v>
      </c>
      <c r="L6" s="308" t="s">
        <v>1370</v>
      </c>
      <c r="M6" s="309">
        <f ca="1">INDIRECT("'数据-取费表'!z"&amp;$G$1)</f>
        <v>0</v>
      </c>
    </row>
    <row r="7" spans="1:37" ht="18" customHeight="1">
      <c r="A7" s="1205"/>
      <c r="B7" s="3736"/>
      <c r="C7" s="1207"/>
      <c r="D7" s="313"/>
      <c r="E7" s="1208" t="s">
        <v>1371</v>
      </c>
      <c r="F7" s="309">
        <f ca="1">IF(INDIRECT("'数据-取费表'!ah"&amp;$G$1)="",INDIRECT("'数据-取费表'!k"&amp;$G$1),INDIRECT("'数据-取费表'!ah"&amp;$G$1))</f>
        <v>0</v>
      </c>
      <c r="G7" s="1568"/>
      <c r="H7" s="310"/>
      <c r="I7" s="3736"/>
      <c r="J7" s="312"/>
      <c r="K7" s="313"/>
      <c r="L7" s="308" t="s">
        <v>1371</v>
      </c>
      <c r="M7" s="309">
        <f ca="1">F7</f>
        <v>0</v>
      </c>
    </row>
    <row r="8" spans="1:37" ht="18" customHeight="1">
      <c r="A8" s="310"/>
      <c r="B8" s="3736"/>
      <c r="C8" s="312"/>
      <c r="D8" s="313"/>
      <c r="E8" s="308" t="s">
        <v>1372</v>
      </c>
      <c r="F8" s="309">
        <f ca="1">INDIRECT("'数据-取费表'!ai"&amp;$G$1)</f>
        <v>0</v>
      </c>
      <c r="G8" s="1568"/>
      <c r="H8" s="310"/>
      <c r="I8" s="3736"/>
      <c r="J8" s="312"/>
      <c r="K8" s="313"/>
      <c r="L8" s="308" t="s">
        <v>1372</v>
      </c>
      <c r="M8" s="309">
        <f ca="1">INDIRECT("'数据-取费表'!ai"&amp;$G$1)</f>
        <v>0</v>
      </c>
    </row>
    <row r="9" spans="1:37" ht="18" customHeight="1">
      <c r="A9" s="310"/>
      <c r="B9" s="3737"/>
      <c r="C9" s="312"/>
      <c r="D9" s="313"/>
      <c r="E9" s="308" t="s">
        <v>1373</v>
      </c>
      <c r="F9" s="318">
        <f ca="1">INDIRECT("'数据-取费表'!w"&amp;$G$1)</f>
        <v>0</v>
      </c>
      <c r="G9" s="1568"/>
      <c r="H9" s="310"/>
      <c r="I9" s="3737"/>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2855</v>
      </c>
      <c r="E10" s="319" t="s">
        <v>1375</v>
      </c>
      <c r="F10" s="1276"/>
      <c r="G10" s="1568"/>
      <c r="H10" s="1201" t="s">
        <v>1007</v>
      </c>
      <c r="I10" s="1549" t="s">
        <v>1374</v>
      </c>
      <c r="J10" s="307">
        <f ca="1">ROUND(IF(M10="押一",J6/12*M11,IF(M10="押二",J6/12*2*M11,IF(M10="押三",J6/12*3*M11,J11*M11))),0)</f>
        <v>0</v>
      </c>
      <c r="K10" s="1550" t="s">
        <v>2854</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ROUND(F17*(F43+INDIRECT("'数据-取费表'!S"&amp;$G$1))/10000,0)</f>
        <v>0</v>
      </c>
      <c r="D17" s="308" t="s">
        <v>1392</v>
      </c>
      <c r="E17" s="308" t="s">
        <v>1393</v>
      </c>
      <c r="F17" s="26">
        <f>'数据-取费表'!B35</f>
        <v>200</v>
      </c>
      <c r="G17" s="1580"/>
      <c r="H17" s="1113" t="s">
        <v>1003</v>
      </c>
      <c r="I17" s="308" t="s">
        <v>1394</v>
      </c>
      <c r="J17" s="2534">
        <f ca="1">ROUND(IF(AND(项目基本情况!B11="自然人",项目基本情况!B10="北京市"),J6*M17/(1+'数据-取费表'!C42),J18+J19+J20),0)</f>
        <v>0</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IF(K19="按租金收入计税",ROUND(J6*M19/(1+'数据-取费表'!C42),2),ROUND(C29*M19*0.7,2))</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0.02</v>
      </c>
      <c r="G20" s="1580"/>
      <c r="H20" s="1113" t="s">
        <v>1354</v>
      </c>
      <c r="I20" s="160" t="s">
        <v>1406</v>
      </c>
      <c r="J20" s="25">
        <f ca="1">ROUND(M20*M21/10000,2)</f>
        <v>0</v>
      </c>
      <c r="K20" s="330" t="s">
        <v>1407</v>
      </c>
      <c r="L20" s="308" t="s">
        <v>1408</v>
      </c>
      <c r="M20" s="331">
        <f>'数据-取费表'!B52</f>
        <v>30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ROUND(J14*M22,1)</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ROUND(J13*M23,1)</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1.1000000000000001E-3</v>
      </c>
      <c r="D24" s="335" t="str">
        <f>IF(F23&lt;=1,"销售费用×利率×(建设周期÷2)","销售费用×((1+利率)^(建设周期÷2)-1)")</f>
        <v>销售费用×((1+利率)^(建设周期÷2)-1)</v>
      </c>
      <c r="E24" s="308" t="s">
        <v>1423</v>
      </c>
      <c r="F24" s="337">
        <f ca="1">'数据-取费表'!B40</f>
        <v>5.2499999999999998E-2</v>
      </c>
      <c r="G24" s="1580"/>
      <c r="H24" s="1249" t="s">
        <v>1358</v>
      </c>
      <c r="I24" s="1250" t="s">
        <v>1404</v>
      </c>
      <c r="J24" s="1251">
        <f ca="1">ROUND(J5*M24,1)</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4"/>
      <c r="I30" s="1582"/>
      <c r="J30" s="1583"/>
      <c r="K30" s="2700"/>
      <c r="L30" s="2925"/>
      <c r="M30" s="2926"/>
    </row>
    <row r="31" spans="1:37" ht="18" customHeight="1">
      <c r="A31" s="1113" t="s">
        <v>1003</v>
      </c>
      <c r="B31" s="308" t="s">
        <v>1394</v>
      </c>
      <c r="C31" s="2534">
        <f ca="1">ROUND(IF(AND(项目基本情况!B11="自然人",项目基本情况!B10="北京市"),C6*F31/(1+'数据-取费表'!C42),C32+C33+C34),0)</f>
        <v>0</v>
      </c>
      <c r="D31" s="1529" t="s">
        <v>1395</v>
      </c>
      <c r="E31" s="1528" t="s">
        <v>1446</v>
      </c>
      <c r="F31" s="2533" t="str">
        <f>IF(项目基本情况!B11="企业","——",IF('数据-取费表'!B10="住宅",IF(F6*F7*F8/12/(1+'数据-取费表'!F30)&gt;100000,4%,2.5%),IF(F6*F7*F8/12/(1+'数据-取费表'!F30)&gt;100000,12%,7%)))</f>
        <v>——</v>
      </c>
      <c r="G31" s="1568"/>
      <c r="H31" s="3037" t="s">
        <v>3051</v>
      </c>
      <c r="I31" s="1582"/>
      <c r="J31" s="1583"/>
      <c r="K31" s="2700"/>
      <c r="L31" s="2925"/>
      <c r="M31" s="2926"/>
    </row>
    <row r="32" spans="1:37" ht="18" customHeight="1">
      <c r="A32" s="1113" t="s">
        <v>1002</v>
      </c>
      <c r="B32" s="308" t="s">
        <v>1398</v>
      </c>
      <c r="C32" s="24">
        <f ca="1">IF(项目基本情况!B11="自然人","——",ROUND(C6*F32/(1+'数据-取费表'!C42),2))</f>
        <v>0</v>
      </c>
      <c r="D32" s="1528" t="s">
        <v>1399</v>
      </c>
      <c r="E32" s="308" t="s">
        <v>1387</v>
      </c>
      <c r="F32" s="337">
        <f>'数据-取费表'!B41</f>
        <v>5.6000000000000001E-2</v>
      </c>
      <c r="G32" s="1568"/>
      <c r="H32" s="2924"/>
      <c r="I32" s="1582"/>
      <c r="J32" s="1583"/>
      <c r="K32" s="2700"/>
      <c r="L32" s="2925"/>
      <c r="M32" s="2926"/>
    </row>
    <row r="33" spans="1:18" ht="18" customHeight="1">
      <c r="A33" s="1113" t="s">
        <v>1004</v>
      </c>
      <c r="B33" s="308" t="s">
        <v>1402</v>
      </c>
      <c r="C33" s="24">
        <f ca="1">IF(项目基本情况!B11="自然人","——",IF(D33="按租金收入计税",ROUND(C6*F33/(1+'数据-取费表'!C42),2),IF(D33="按房产原值计税",ROUND(C29*F33*0.7,2),INDIRECT("'数据-取费表'!Aj"&amp;$G$1))))</f>
        <v>0</v>
      </c>
      <c r="D33" s="1554" t="s">
        <v>1403</v>
      </c>
      <c r="E33" s="308" t="s">
        <v>1387</v>
      </c>
      <c r="F33" s="328">
        <f>IF(D33="按票据","——",IF(D33="按租金收入计税",'数据-取费表'!B51,'数据-取费表'!B50))</f>
        <v>1.2E-2</v>
      </c>
      <c r="G33" s="1568"/>
      <c r="H33" s="2927"/>
      <c r="I33" s="1582"/>
      <c r="J33" s="1583"/>
      <c r="K33" s="2928"/>
      <c r="L33" s="2927"/>
      <c r="M33" s="2927"/>
    </row>
    <row r="34" spans="1:18" ht="18" customHeight="1">
      <c r="A34" s="1201" t="s">
        <v>1354</v>
      </c>
      <c r="B34" s="160" t="s">
        <v>1406</v>
      </c>
      <c r="C34" s="25">
        <f ca="1">IF(项目基本情况!B11="自然人","——",ROUND(F34*F35/10000,2))</f>
        <v>0</v>
      </c>
      <c r="D34" s="330" t="s">
        <v>1407</v>
      </c>
      <c r="E34" s="308" t="s">
        <v>1408</v>
      </c>
      <c r="F34" s="331">
        <f>'数据-取费表'!B52</f>
        <v>30</v>
      </c>
      <c r="G34" s="1568"/>
      <c r="H34" s="2924"/>
      <c r="I34" s="1582"/>
      <c r="J34" s="1583"/>
      <c r="K34" s="2929"/>
      <c r="L34" s="2930"/>
      <c r="M34" s="2930"/>
    </row>
    <row r="35" spans="1:18" ht="18" customHeight="1">
      <c r="A35" s="1263"/>
      <c r="B35" s="1261"/>
      <c r="C35" s="29"/>
      <c r="D35" s="333"/>
      <c r="E35" s="308" t="s">
        <v>1412</v>
      </c>
      <c r="F35" s="309">
        <f ca="1">INDIRECT("'数据-取费表'!r"&amp;$G$1)</f>
        <v>0</v>
      </c>
      <c r="G35" s="1568"/>
      <c r="H35" s="2924"/>
      <c r="I35" s="1582"/>
      <c r="J35" s="1583"/>
      <c r="K35" s="2928"/>
      <c r="L35" s="2927"/>
      <c r="M35" s="2927"/>
    </row>
    <row r="36" spans="1:18" ht="18" customHeight="1">
      <c r="A36" s="1262" t="s">
        <v>1007</v>
      </c>
      <c r="B36" s="308" t="s">
        <v>1414</v>
      </c>
      <c r="C36" s="24">
        <f ca="1">ROUND(C29*F36,1)</f>
        <v>0</v>
      </c>
      <c r="D36" s="1528" t="s">
        <v>1447</v>
      </c>
      <c r="E36" s="308" t="s">
        <v>1387</v>
      </c>
      <c r="F36" s="334">
        <f ca="1">INDIRECT("'数据-取费表'!Ak"&amp;$G$1)</f>
        <v>0</v>
      </c>
      <c r="G36" s="1568"/>
      <c r="H36" s="2927"/>
      <c r="I36" s="1582"/>
      <c r="J36" s="1583"/>
      <c r="K36" s="2768"/>
      <c r="L36" s="2927"/>
      <c r="M36" s="2927"/>
    </row>
    <row r="37" spans="1:18" ht="18" customHeight="1">
      <c r="A37" s="1113" t="s">
        <v>1043</v>
      </c>
      <c r="B37" s="308" t="s">
        <v>1418</v>
      </c>
      <c r="C37" s="24">
        <f ca="1">ROUND(C13*F37,1)</f>
        <v>0</v>
      </c>
      <c r="D37" s="1528" t="s">
        <v>1419</v>
      </c>
      <c r="E37" s="308" t="s">
        <v>1420</v>
      </c>
      <c r="F37" s="336">
        <f ca="1">INDIRECT("'数据-取费表'!Al"&amp;$G$1)</f>
        <v>0</v>
      </c>
      <c r="G37" s="1568"/>
      <c r="H37" s="2927"/>
      <c r="I37" s="1582"/>
      <c r="J37" s="1583"/>
      <c r="K37" s="2768"/>
      <c r="L37" s="2927"/>
      <c r="M37" s="2927"/>
    </row>
    <row r="38" spans="1:18" ht="18" customHeight="1" thickBot="1">
      <c r="A38" s="1249" t="s">
        <v>1358</v>
      </c>
      <c r="B38" s="1250" t="s">
        <v>1404</v>
      </c>
      <c r="C38" s="1251">
        <f ca="1">ROUND(C5*F38,1)</f>
        <v>0</v>
      </c>
      <c r="D38" s="1252" t="s">
        <v>1424</v>
      </c>
      <c r="E38" s="1250" t="s">
        <v>1420</v>
      </c>
      <c r="F38" s="1246">
        <f ca="1">INDIRECT("'数据-取费表'!Am"&amp;$G$1)</f>
        <v>0</v>
      </c>
      <c r="G38" s="1568"/>
      <c r="H38" s="2927"/>
      <c r="I38" s="1582"/>
      <c r="J38" s="1583"/>
      <c r="K38" s="2931"/>
      <c r="L38" s="2927"/>
      <c r="M38" s="2927"/>
    </row>
    <row r="39" spans="1:18" ht="24.6" customHeight="1" thickTop="1">
      <c r="A39" s="1239" t="s">
        <v>999</v>
      </c>
      <c r="B39" s="1254" t="s">
        <v>1448</v>
      </c>
      <c r="C39" s="316">
        <f ca="1">C5-C30</f>
        <v>0</v>
      </c>
      <c r="D39" s="1255" t="s">
        <v>1449</v>
      </c>
      <c r="E39" s="1256"/>
      <c r="F39" s="1257"/>
      <c r="G39" s="1568"/>
      <c r="H39" s="2927"/>
      <c r="I39" s="1582"/>
      <c r="J39" s="1583"/>
      <c r="K39" s="2931"/>
      <c r="L39" s="2927"/>
      <c r="M39" s="2927"/>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31"/>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68"/>
      <c r="L41" s="1353"/>
      <c r="M41" s="1353"/>
    </row>
    <row r="42" spans="1:18" ht="18" customHeight="1">
      <c r="A42" s="314"/>
      <c r="B42" s="315"/>
      <c r="C42" s="316"/>
      <c r="D42" s="333"/>
      <c r="E42" s="308" t="s">
        <v>1442</v>
      </c>
      <c r="F42" s="318">
        <f ca="1">INDIRECT("'数据-取费表'!v"&amp;$G$1)</f>
        <v>0</v>
      </c>
      <c r="G42" s="1568"/>
      <c r="H42" s="1353"/>
      <c r="I42" s="1582"/>
      <c r="J42" s="1583"/>
      <c r="K42" s="2768"/>
      <c r="L42" s="1353"/>
      <c r="M42" s="1353"/>
    </row>
    <row r="43" spans="1:18" ht="18" customHeight="1" thickBot="1">
      <c r="A43" s="340" t="s">
        <v>1001</v>
      </c>
      <c r="B43" s="341" t="s">
        <v>1452</v>
      </c>
      <c r="C43" s="342" t="e">
        <f ca="1">ROUND(C40*10000/F43,0)</f>
        <v>#DIV/0!</v>
      </c>
      <c r="D43" s="343" t="s">
        <v>1453</v>
      </c>
      <c r="E43" s="344" t="s">
        <v>1454</v>
      </c>
      <c r="F43" s="345">
        <f ca="1">INDIRECT("'数据-取费表'!k"&amp;$G$1)</f>
        <v>0</v>
      </c>
      <c r="G43" s="1568"/>
      <c r="H43" s="1353"/>
      <c r="I43" s="1353"/>
      <c r="J43" s="1353"/>
      <c r="K43" s="2768"/>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2" t="s">
        <v>1484</v>
      </c>
      <c r="P45" s="1645"/>
      <c r="Q45" s="1645"/>
      <c r="R45" s="1645"/>
    </row>
    <row r="46" spans="1:18" s="1568" customFormat="1" ht="13.5" thickBot="1">
      <c r="A46" s="1588" t="s">
        <v>1485</v>
      </c>
      <c r="C46" s="1589" t="e">
        <f ca="1">C68-C40</f>
        <v>#DIV/0!</v>
      </c>
      <c r="D46" s="1590" t="str">
        <f>C2</f>
        <v>万元</v>
      </c>
      <c r="E46" s="1584"/>
      <c r="F46" s="1584"/>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4">
        <f ca="1">ROUND(F49*F51*F50*(1-F52)/10000,0)</f>
        <v>0</v>
      </c>
      <c r="D49" s="1186" t="s">
        <v>2848</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278"/>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0</v>
      </c>
      <c r="R52" s="1604" t="s">
        <v>1511</v>
      </c>
    </row>
    <row r="53" spans="1:18" s="1568" customFormat="1" ht="24.75" thickBot="1">
      <c r="A53" s="1314" t="s">
        <v>1105</v>
      </c>
      <c r="B53" s="1557" t="s">
        <v>1374</v>
      </c>
      <c r="C53" s="322">
        <f ca="1">ROUND(IF(F53="押一",C49/12*F11,IF(F53="押二",C49/12*2*F11,IF(F53="押三",C49/12*3*F11,C54*F11))),0)</f>
        <v>0</v>
      </c>
      <c r="D53" s="1550" t="s">
        <v>2854</v>
      </c>
      <c r="E53" s="319" t="s">
        <v>1375</v>
      </c>
      <c r="F53" s="1276"/>
      <c r="I53" s="1623" t="s">
        <v>1512</v>
      </c>
      <c r="J53" s="2386">
        <f ca="1">IF(M47="住宅",IF(D1="——",MAX(J51,L48),MAX(J51,L48-'数据-取费表'!B24)),IF(D1="——",MIN(J51,L48),MIN(J51,L48-'数据-取费表'!B24)))</f>
        <v>0</v>
      </c>
      <c r="K53" s="3738" t="s">
        <v>1513</v>
      </c>
      <c r="L53" s="3739"/>
      <c r="O53" s="1602" t="s">
        <v>1014</v>
      </c>
      <c r="P53" s="1603" t="s">
        <v>1514</v>
      </c>
      <c r="Q53" s="1604" t="e">
        <f ca="1">Q47+Q48</f>
        <v>#DIV/0!</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#DIV/0!</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0</v>
      </c>
      <c r="D56" s="1631"/>
      <c r="E56" s="1632"/>
      <c r="F56" s="1624"/>
      <c r="I56" s="1633" t="s">
        <v>1519</v>
      </c>
      <c r="J56" s="1634"/>
      <c r="K56" s="1605" t="s">
        <v>1520</v>
      </c>
      <c r="L56" s="1608">
        <f ca="1">IF(L48&lt;J51,"——",L48-J53)</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1522</v>
      </c>
      <c r="L57" s="1608">
        <f ca="1">IF(L48&lt;J51,"——",IF(L55="比较法",L49,IF(L55="基准地价",L50,L51)))</f>
        <v>0</v>
      </c>
      <c r="O57" s="1602" t="s">
        <v>1009</v>
      </c>
      <c r="P57" s="1603" t="s">
        <v>1523</v>
      </c>
      <c r="Q57" s="1604" t="e">
        <f ca="1">L60</f>
        <v>#DIV/0!</v>
      </c>
      <c r="R57" s="1604" t="s">
        <v>1524</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0</v>
      </c>
      <c r="D59" s="1094" t="s">
        <v>1395</v>
      </c>
      <c r="E59" s="1095" t="s">
        <v>1396</v>
      </c>
      <c r="F59" s="2533"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IF(项目基本情况!B11="自然人","——",IF(D61="按租金收入计税",ROUND(C49*F61/(1+'数据-取费表'!C42),2),IF(D61="按房产原值计税",ROUND(C57*F61*0.7,2),INDIRECT("'数据-取费表'!Aj"&amp;$G$1))))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0</v>
      </c>
      <c r="D62" s="1096" t="s">
        <v>1462</v>
      </c>
      <c r="E62" s="1081" t="s">
        <v>1463</v>
      </c>
      <c r="F62" s="331">
        <f t="shared" si="0"/>
        <v>30</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ROUND(C48*F66,1)</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c r="O70" s="1612" t="s">
        <v>1017</v>
      </c>
      <c r="P70" s="1651" t="s">
        <v>1550</v>
      </c>
      <c r="Q70" s="1604">
        <f ca="1">C13</f>
        <v>0</v>
      </c>
      <c r="R70" s="1604" t="s">
        <v>1494</v>
      </c>
    </row>
    <row r="71" spans="1:18" s="1568" customFormat="1" ht="13.5" thickBot="1">
      <c r="A71" s="1102" t="s">
        <v>1001</v>
      </c>
      <c r="B71" s="1103" t="s">
        <v>1452</v>
      </c>
      <c r="C71" s="342" t="e">
        <f ca="1">ROUND(C68*10000/F71,0)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xr:uid="{00000000-0002-0000-2300-000000000000}">
      <formula1>"按租金收入计税,按房产原值计税"</formula1>
    </dataValidation>
    <dataValidation type="list" allowBlank="1" showInputMessage="1" showErrorMessage="1" sqref="D33 D61" xr:uid="{00000000-0002-0000-2300-000001000000}">
      <formula1>"按租金收入计税,按房产原值计税,按票据"</formula1>
    </dataValidation>
    <dataValidation type="list" allowBlank="1" showInputMessage="1" showErrorMessage="1" sqref="C1" xr:uid="{00000000-0002-0000-2300-000002000000}">
      <formula1>项目类型</formula1>
    </dataValidation>
    <dataValidation type="list" allowBlank="1" showInputMessage="1" showErrorMessage="1" sqref="J47" xr:uid="{00000000-0002-0000-2300-000003000000}">
      <formula1>"钢,钢混,砖混"</formula1>
    </dataValidation>
    <dataValidation type="list" allowBlank="1" showInputMessage="1" showErrorMessage="1" sqref="J48" xr:uid="{00000000-0002-0000-2300-000004000000}">
      <formula1>"非生产用房,生产用房,受腐蚀的生产用房"</formula1>
    </dataValidation>
    <dataValidation type="list" allowBlank="1" showInputMessage="1" showErrorMessage="1" sqref="J56" xr:uid="{00000000-0002-0000-2300-000005000000}">
      <formula1>判定</formula1>
    </dataValidation>
    <dataValidation type="list" allowBlank="1" showInputMessage="1" showErrorMessage="1" sqref="L55" xr:uid="{00000000-0002-0000-2300-000006000000}">
      <formula1>"比较法,基准地价,收益还原"</formula1>
    </dataValidation>
    <dataValidation type="list" allowBlank="1" showInputMessage="1" showErrorMessage="1" sqref="M10 F10 F53" xr:uid="{00000000-0002-0000-2300-000007000000}">
      <formula1>"押一,押二,押三,自定义"</formula1>
    </dataValidation>
    <dataValidation type="list" allowBlank="1" showInputMessage="1" showErrorMessage="1" sqref="D1" xr:uid="{00000000-0002-0000-23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AC131"/>
  <sheetViews>
    <sheetView view="pageBreakPreview" topLeftCell="A6" zoomScale="80" zoomScaleNormal="70" zoomScaleSheetLayoutView="80" workbookViewId="0">
      <selection activeCell="G17" sqref="G17"/>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8.25" style="363" customWidth="1"/>
    <col min="6" max="6" width="12.25" style="363" customWidth="1"/>
    <col min="7" max="7" width="17.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2463</v>
      </c>
      <c r="C1" s="1406" t="s">
        <v>2351</v>
      </c>
      <c r="D1" s="1393"/>
      <c r="E1" s="2543"/>
      <c r="F1" s="2065" t="s">
        <v>3229</v>
      </c>
      <c r="G1" s="1403" t="s">
        <v>2353</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1359</v>
      </c>
      <c r="B2" s="1326">
        <f>IF(C2="——",ROUND(C49*D3/10000,0),ROUND(C49*D3/10000,0)-D2)</f>
        <v>67</v>
      </c>
      <c r="C2" s="2067" t="s">
        <v>70</v>
      </c>
      <c r="D2" s="1275" t="e">
        <f ca="1">SUMIF(INDIRECT("'"&amp;F2&amp;"'"&amp;"!A:A"),"承租人权益价值",INDIRECT("'"&amp;F2&amp;"'"&amp;"!c:c"))</f>
        <v>#REF!</v>
      </c>
      <c r="E2" s="2068" t="s">
        <v>2149</v>
      </c>
      <c r="F2" s="2069"/>
      <c r="G2" s="1039"/>
      <c r="H2" s="1039"/>
      <c r="I2" s="1039"/>
      <c r="J2" s="1039"/>
      <c r="K2" s="1039"/>
      <c r="L2" s="2961"/>
      <c r="M2" s="2962"/>
      <c r="N2" s="2962"/>
      <c r="O2" s="2962"/>
      <c r="P2" s="2138"/>
      <c r="Q2" s="1043"/>
      <c r="R2" s="1043"/>
      <c r="S2" s="1043"/>
      <c r="T2" s="1043"/>
      <c r="U2" s="1043"/>
      <c r="V2" s="1043"/>
      <c r="W2" s="1043"/>
      <c r="X2" s="1043"/>
      <c r="Y2" s="1043"/>
      <c r="Z2" s="1043"/>
      <c r="AA2" s="1043"/>
      <c r="AB2" s="1043"/>
      <c r="AC2" s="2139"/>
    </row>
    <row r="3" spans="1:29" s="358" customFormat="1" ht="28.5" customHeight="1" thickBot="1">
      <c r="A3" s="209" t="s">
        <v>1360</v>
      </c>
      <c r="B3" s="566">
        <f>IF(C2="——",C49,ROUND(B2*10000/D3,0))</f>
        <v>14.1</v>
      </c>
      <c r="C3" s="360" t="s">
        <v>2355</v>
      </c>
      <c r="D3" s="359">
        <f>IF(D1="",'数据-汇总表'!E3,SUMIF('数据-汇总表'!$C19:$C33,D1,'数据-汇总表'!$E19:$E33))</f>
        <v>47689.05</v>
      </c>
      <c r="E3" s="2140"/>
      <c r="F3" s="1040"/>
      <c r="G3" s="1039"/>
      <c r="H3" s="1039"/>
      <c r="I3" s="1039"/>
      <c r="J3" s="1039"/>
      <c r="K3" s="1041"/>
      <c r="L3" s="2961"/>
      <c r="M3" s="2962"/>
      <c r="N3" s="2962"/>
      <c r="O3" s="2962"/>
      <c r="P3" s="2138"/>
      <c r="Q3" s="1043"/>
      <c r="R3" s="1043"/>
      <c r="S3" s="1043"/>
      <c r="T3" s="1043"/>
      <c r="U3" s="1043"/>
      <c r="V3" s="1043"/>
      <c r="W3" s="1043"/>
      <c r="X3" s="1043"/>
      <c r="Y3" s="1043"/>
      <c r="Z3" s="1043"/>
      <c r="AA3" s="1043"/>
      <c r="AB3" s="1043"/>
      <c r="AC3" s="2140"/>
    </row>
    <row r="4" spans="1:29" ht="15">
      <c r="A4" s="361" t="s">
        <v>2356</v>
      </c>
      <c r="B4" s="362"/>
      <c r="C4" s="3781" t="s">
        <v>2357</v>
      </c>
      <c r="D4" s="3782"/>
      <c r="E4" s="3783" t="s">
        <v>2358</v>
      </c>
      <c r="F4" s="3784"/>
      <c r="G4" s="3781" t="s">
        <v>2359</v>
      </c>
      <c r="H4" s="3782"/>
      <c r="I4" s="3781" t="s">
        <v>2360</v>
      </c>
      <c r="J4" s="3782"/>
      <c r="K4" s="567" t="s">
        <v>2361</v>
      </c>
      <c r="L4" s="2942"/>
      <c r="M4" s="2943"/>
      <c r="N4" s="2943"/>
      <c r="O4" s="2943"/>
      <c r="P4" s="3785" t="s">
        <v>2362</v>
      </c>
      <c r="Q4" s="3786"/>
      <c r="R4" s="3768" t="s">
        <v>2358</v>
      </c>
      <c r="S4" s="3769"/>
      <c r="T4" s="3768" t="s">
        <v>2359</v>
      </c>
      <c r="U4" s="3769"/>
      <c r="V4" s="3793" t="s">
        <v>2360</v>
      </c>
      <c r="W4" s="3793"/>
      <c r="X4" s="3174"/>
      <c r="Y4" s="3768" t="s">
        <v>2362</v>
      </c>
      <c r="Z4" s="3769"/>
      <c r="AA4" s="3763" t="s">
        <v>2358</v>
      </c>
      <c r="AB4" s="3793" t="s">
        <v>2359</v>
      </c>
      <c r="AC4" s="3763" t="s">
        <v>2360</v>
      </c>
    </row>
    <row r="5" spans="1:29" ht="13.9" customHeight="1">
      <c r="A5" s="364"/>
      <c r="B5" s="365"/>
      <c r="C5" s="3846" t="s">
        <v>3756</v>
      </c>
      <c r="D5" s="3775"/>
      <c r="E5" s="3772" t="str">
        <f>'案例-租金'!L16</f>
        <v>居然大厦</v>
      </c>
      <c r="F5" s="3773"/>
      <c r="G5" s="3774" t="str">
        <f>'案例-租金'!L17</f>
        <v>国瑞城</v>
      </c>
      <c r="H5" s="3775"/>
      <c r="I5" s="3774" t="str">
        <f>'案例-租金'!L19</f>
        <v>万豪中心</v>
      </c>
      <c r="J5" s="3775"/>
      <c r="K5" s="567"/>
      <c r="L5" s="2942"/>
      <c r="M5" s="2943"/>
      <c r="N5" s="2943"/>
      <c r="O5" s="2943"/>
      <c r="P5" s="3787"/>
      <c r="Q5" s="3788"/>
      <c r="R5" s="3770"/>
      <c r="S5" s="3771"/>
      <c r="T5" s="3770"/>
      <c r="U5" s="3771"/>
      <c r="V5" s="3793"/>
      <c r="W5" s="3793"/>
      <c r="X5" s="3174"/>
      <c r="Y5" s="3770"/>
      <c r="Z5" s="3771"/>
      <c r="AA5" s="3764"/>
      <c r="AB5" s="3793"/>
      <c r="AC5" s="3764"/>
    </row>
    <row r="6" spans="1:29" ht="15.75" thickBot="1">
      <c r="A6" s="366"/>
      <c r="B6" s="367"/>
      <c r="C6" s="3847" t="s">
        <v>3482</v>
      </c>
      <c r="D6" s="3777"/>
      <c r="E6" s="3778" t="s">
        <v>2367</v>
      </c>
      <c r="F6" s="3779"/>
      <c r="G6" s="3776" t="s">
        <v>2367</v>
      </c>
      <c r="H6" s="3777"/>
      <c r="I6" s="3776" t="s">
        <v>2367</v>
      </c>
      <c r="J6" s="3777"/>
      <c r="K6" s="567" t="s">
        <v>2368</v>
      </c>
      <c r="L6" s="2942"/>
      <c r="M6" s="2943"/>
      <c r="N6" s="2943"/>
      <c r="O6" s="2943"/>
      <c r="P6" s="3789"/>
      <c r="Q6" s="3790"/>
      <c r="R6" s="3770"/>
      <c r="S6" s="3771"/>
      <c r="T6" s="3791"/>
      <c r="U6" s="3792"/>
      <c r="V6" s="3793"/>
      <c r="W6" s="3793"/>
      <c r="X6" s="3174"/>
      <c r="Y6" s="3791"/>
      <c r="Z6" s="3792"/>
      <c r="AA6" s="3765"/>
      <c r="AB6" s="3793"/>
      <c r="AC6" s="3765"/>
    </row>
    <row r="7" spans="1:29" s="113" customFormat="1" ht="15.75" thickBot="1">
      <c r="A7" s="368" t="s">
        <v>2369</v>
      </c>
      <c r="B7" s="369"/>
      <c r="C7" s="370">
        <f>'数据-取费表'!B2</f>
        <v>42914</v>
      </c>
      <c r="D7" s="371">
        <v>100</v>
      </c>
      <c r="E7" s="372">
        <v>42635</v>
      </c>
      <c r="F7" s="373">
        <f>SUMIF(58:58,YEAR(E7)&amp;"-"&amp;MONTH(E7),59:59)</f>
        <v>99.4</v>
      </c>
      <c r="G7" s="372">
        <v>42886</v>
      </c>
      <c r="H7" s="371">
        <f>SUMIF(58:58,YEAR(G7)&amp;"-"&amp;MONTH(G7),59:59)</f>
        <v>100</v>
      </c>
      <c r="I7" s="372">
        <v>42803</v>
      </c>
      <c r="J7" s="371">
        <f>SUMIF(58:58,YEAR(I7)&amp;"-"&amp;MONTH(I7),59:59)</f>
        <v>99.8</v>
      </c>
      <c r="K7" s="568"/>
      <c r="L7" s="2944"/>
      <c r="M7" s="2945"/>
      <c r="N7" s="2945"/>
      <c r="O7" s="2945"/>
      <c r="P7" s="3766" t="s">
        <v>2370</v>
      </c>
      <c r="Q7" s="3794"/>
      <c r="R7" s="710" t="s">
        <v>17</v>
      </c>
      <c r="S7" s="711">
        <f t="shared" ref="S7:S15" si="0">F7</f>
        <v>99.4</v>
      </c>
      <c r="T7" s="710" t="s">
        <v>17</v>
      </c>
      <c r="U7" s="711">
        <f t="shared" ref="U7:U15" si="1">H7</f>
        <v>100</v>
      </c>
      <c r="V7" s="710" t="s">
        <v>17</v>
      </c>
      <c r="W7" s="711">
        <f t="shared" ref="W7:W15" si="2">J7</f>
        <v>99.8</v>
      </c>
      <c r="X7" s="712"/>
      <c r="Y7" s="3766" t="s">
        <v>2370</v>
      </c>
      <c r="Z7" s="3767"/>
      <c r="AA7" s="713">
        <f>D7/F7</f>
        <v>1.0060362173038229</v>
      </c>
      <c r="AB7" s="713">
        <f>D7/H7</f>
        <v>1</v>
      </c>
      <c r="AC7" s="713">
        <f>D7/J7</f>
        <v>1.0020040080160322</v>
      </c>
    </row>
    <row r="8" spans="1:29" s="113" customFormat="1" ht="15.75" thickBot="1">
      <c r="A8" s="368" t="s">
        <v>2371</v>
      </c>
      <c r="B8" s="369"/>
      <c r="C8" s="374" t="s">
        <v>2408</v>
      </c>
      <c r="D8" s="371">
        <v>100</v>
      </c>
      <c r="E8" s="374" t="s">
        <v>2408</v>
      </c>
      <c r="F8" s="373">
        <f>SUMIF(61:61,E8,62:62)-SUMIF(61:61,C8,62:62)+100</f>
        <v>100</v>
      </c>
      <c r="G8" s="374" t="s">
        <v>2408</v>
      </c>
      <c r="H8" s="371">
        <f>SUMIF(61:61,G8,62:62)-SUMIF(61:61,C8,62:62)+100</f>
        <v>100</v>
      </c>
      <c r="I8" s="374" t="s">
        <v>2408</v>
      </c>
      <c r="J8" s="371">
        <f>SUMIF(61:61,I8,62:62)-SUMIF(61:61,C8,62:62)+100</f>
        <v>100</v>
      </c>
      <c r="K8" s="568"/>
      <c r="L8" s="2944"/>
      <c r="M8" s="2945"/>
      <c r="N8" s="2945"/>
      <c r="O8" s="2945"/>
      <c r="P8" s="3766" t="s">
        <v>2373</v>
      </c>
      <c r="Q8" s="3767"/>
      <c r="R8" s="710" t="s">
        <v>17</v>
      </c>
      <c r="S8" s="711">
        <f t="shared" si="0"/>
        <v>100</v>
      </c>
      <c r="T8" s="710" t="s">
        <v>17</v>
      </c>
      <c r="U8" s="711">
        <f t="shared" si="1"/>
        <v>100</v>
      </c>
      <c r="V8" s="710" t="s">
        <v>17</v>
      </c>
      <c r="W8" s="711">
        <f t="shared" si="2"/>
        <v>100</v>
      </c>
      <c r="X8" s="712"/>
      <c r="Y8" s="3766" t="s">
        <v>2373</v>
      </c>
      <c r="Z8" s="3767"/>
      <c r="AA8" s="713">
        <f t="shared" ref="AA8:AA46" si="3">D8/F8</f>
        <v>1</v>
      </c>
      <c r="AB8" s="713">
        <f t="shared" ref="AB8:AB46" si="4">D8/H8</f>
        <v>1</v>
      </c>
      <c r="AC8" s="713">
        <f t="shared" ref="AC8:AC46" si="5">D8/J8</f>
        <v>1</v>
      </c>
    </row>
    <row r="9" spans="1:29" s="113" customFormat="1">
      <c r="A9" s="375" t="s">
        <v>2374</v>
      </c>
      <c r="B9" s="67" t="s">
        <v>2375</v>
      </c>
      <c r="C9" s="3185" t="s">
        <v>3558</v>
      </c>
      <c r="D9" s="131">
        <v>100</v>
      </c>
      <c r="E9" s="377" t="s">
        <v>1343</v>
      </c>
      <c r="F9" s="378">
        <f>SUMIF(63:63,E9,64:64)-SUMIF(63:63,C9,64:64)+100</f>
        <v>100</v>
      </c>
      <c r="G9" s="377" t="s">
        <v>1343</v>
      </c>
      <c r="H9" s="131">
        <f>SUMIF(63:63,G9,64:64)-SUMIF(63:63,C9,64:64)+100</f>
        <v>100</v>
      </c>
      <c r="I9" s="377" t="s">
        <v>1343</v>
      </c>
      <c r="J9" s="131">
        <f>SUMIF(63:63,I9,64:64)-SUMIF(63:63,C9,64:64)+100</f>
        <v>100</v>
      </c>
      <c r="K9" s="568"/>
      <c r="L9" s="2944"/>
      <c r="M9" s="2945"/>
      <c r="N9" s="2945"/>
      <c r="O9" s="2945"/>
      <c r="P9" s="3780" t="s">
        <v>2376</v>
      </c>
      <c r="Q9" s="3173" t="str">
        <f t="shared" ref="Q9:Q15" si="6">B9</f>
        <v>用途</v>
      </c>
      <c r="R9" s="710" t="s">
        <v>17</v>
      </c>
      <c r="S9" s="711">
        <f t="shared" si="0"/>
        <v>100</v>
      </c>
      <c r="T9" s="710" t="s">
        <v>17</v>
      </c>
      <c r="U9" s="711">
        <f t="shared" si="1"/>
        <v>100</v>
      </c>
      <c r="V9" s="710" t="s">
        <v>17</v>
      </c>
      <c r="W9" s="711">
        <f t="shared" si="2"/>
        <v>100</v>
      </c>
      <c r="X9" s="712"/>
      <c r="Y9" s="3708" t="s">
        <v>2377</v>
      </c>
      <c r="Z9" s="3172"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6"/>
      <c r="M10" s="2947"/>
      <c r="N10" s="2947"/>
      <c r="O10" s="2947"/>
      <c r="P10" s="3780"/>
      <c r="Q10" s="3173" t="str">
        <f t="shared" si="6"/>
        <v>土地使用年限（年）</v>
      </c>
      <c r="R10" s="710" t="s">
        <v>17</v>
      </c>
      <c r="S10" s="711">
        <f t="shared" si="0"/>
        <v>100</v>
      </c>
      <c r="T10" s="710" t="s">
        <v>17</v>
      </c>
      <c r="U10" s="711">
        <f t="shared" si="1"/>
        <v>100</v>
      </c>
      <c r="V10" s="710" t="s">
        <v>17</v>
      </c>
      <c r="W10" s="711">
        <f t="shared" si="2"/>
        <v>100</v>
      </c>
      <c r="X10" s="712"/>
      <c r="Y10" s="3708"/>
      <c r="Z10" s="3172" t="str">
        <f t="shared" si="7"/>
        <v>土地使用年限（年）</v>
      </c>
      <c r="AA10" s="713">
        <f t="shared" si="3"/>
        <v>1</v>
      </c>
      <c r="AB10" s="713">
        <f t="shared" si="4"/>
        <v>1</v>
      </c>
      <c r="AC10" s="713">
        <f t="shared" si="5"/>
        <v>1</v>
      </c>
    </row>
    <row r="11" spans="1:29" ht="15">
      <c r="A11" s="387"/>
      <c r="B11" s="381" t="s">
        <v>2379</v>
      </c>
      <c r="C11" s="388"/>
      <c r="D11" s="132">
        <v>100</v>
      </c>
      <c r="E11" s="389"/>
      <c r="F11" s="384">
        <f>LOOKUP(E11,68:68,69:69)-LOOKUP(C11,68:68,69:69)+100</f>
        <v>100</v>
      </c>
      <c r="G11" s="388"/>
      <c r="H11" s="132">
        <f>LOOKUP(G11,68:68,69:69)-LOOKUP(C11,68:68,69:69)+100</f>
        <v>100</v>
      </c>
      <c r="I11" s="388"/>
      <c r="J11" s="132">
        <f>LOOKUP(I11,68:68,69:69)-LOOKUP(C11,68:68,69:69)+100</f>
        <v>100</v>
      </c>
      <c r="K11" s="569"/>
      <c r="L11" s="2948"/>
      <c r="M11" s="2943"/>
      <c r="N11" s="2943"/>
      <c r="O11" s="2943"/>
      <c r="P11" s="3780"/>
      <c r="Q11" s="3173" t="str">
        <f t="shared" si="6"/>
        <v>容积率</v>
      </c>
      <c r="R11" s="710" t="s">
        <v>17</v>
      </c>
      <c r="S11" s="711">
        <f t="shared" si="0"/>
        <v>100</v>
      </c>
      <c r="T11" s="710" t="s">
        <v>17</v>
      </c>
      <c r="U11" s="711">
        <f t="shared" si="1"/>
        <v>100</v>
      </c>
      <c r="V11" s="710" t="s">
        <v>17</v>
      </c>
      <c r="W11" s="711">
        <f t="shared" si="2"/>
        <v>100</v>
      </c>
      <c r="X11" s="712"/>
      <c r="Y11" s="3708"/>
      <c r="Z11" s="3172" t="str">
        <f t="shared" si="7"/>
        <v>容积率</v>
      </c>
      <c r="AA11" s="713">
        <f t="shared" si="3"/>
        <v>1</v>
      </c>
      <c r="AB11" s="713">
        <f t="shared" si="4"/>
        <v>1</v>
      </c>
      <c r="AC11" s="713">
        <f t="shared" si="5"/>
        <v>1</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4"/>
      <c r="M12" s="2945"/>
      <c r="N12" s="2945"/>
      <c r="O12" s="2945"/>
      <c r="P12" s="3780"/>
      <c r="Q12" s="3173">
        <f t="shared" si="6"/>
        <v>111</v>
      </c>
      <c r="R12" s="710" t="s">
        <v>17</v>
      </c>
      <c r="S12" s="711">
        <f t="shared" si="0"/>
        <v>100</v>
      </c>
      <c r="T12" s="710" t="s">
        <v>17</v>
      </c>
      <c r="U12" s="711">
        <f t="shared" si="1"/>
        <v>100</v>
      </c>
      <c r="V12" s="710" t="s">
        <v>17</v>
      </c>
      <c r="W12" s="711">
        <f t="shared" si="2"/>
        <v>100</v>
      </c>
      <c r="X12" s="712"/>
      <c r="Y12" s="3708"/>
      <c r="Z12" s="3172">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49"/>
      <c r="M13" s="2943"/>
      <c r="N13" s="2943"/>
      <c r="O13" s="2943"/>
      <c r="P13" s="3780"/>
      <c r="Q13" s="3173">
        <f t="shared" si="6"/>
        <v>111</v>
      </c>
      <c r="R13" s="710" t="s">
        <v>17</v>
      </c>
      <c r="S13" s="711">
        <f t="shared" si="0"/>
        <v>100</v>
      </c>
      <c r="T13" s="710" t="s">
        <v>17</v>
      </c>
      <c r="U13" s="711">
        <f t="shared" si="1"/>
        <v>100</v>
      </c>
      <c r="V13" s="710" t="s">
        <v>17</v>
      </c>
      <c r="W13" s="711">
        <f t="shared" si="2"/>
        <v>100</v>
      </c>
      <c r="X13" s="712"/>
      <c r="Y13" s="3708"/>
      <c r="Z13" s="3172">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49"/>
      <c r="M14" s="2943"/>
      <c r="N14" s="2943"/>
      <c r="O14" s="2943"/>
      <c r="P14" s="3780"/>
      <c r="Q14" s="3173">
        <f t="shared" si="6"/>
        <v>111</v>
      </c>
      <c r="R14" s="710" t="s">
        <v>17</v>
      </c>
      <c r="S14" s="711">
        <f t="shared" si="0"/>
        <v>100</v>
      </c>
      <c r="T14" s="710" t="s">
        <v>17</v>
      </c>
      <c r="U14" s="711">
        <f t="shared" si="1"/>
        <v>100</v>
      </c>
      <c r="V14" s="710" t="s">
        <v>17</v>
      </c>
      <c r="W14" s="711">
        <f t="shared" si="2"/>
        <v>100</v>
      </c>
      <c r="X14" s="712"/>
      <c r="Y14" s="3708"/>
      <c r="Z14" s="3172">
        <f t="shared" si="7"/>
        <v>111</v>
      </c>
      <c r="AA14" s="713">
        <f t="shared" si="3"/>
        <v>1</v>
      </c>
      <c r="AB14" s="713">
        <f t="shared" si="4"/>
        <v>1</v>
      </c>
      <c r="AC14" s="713">
        <f t="shared" si="5"/>
        <v>1</v>
      </c>
    </row>
    <row r="15" spans="1:29" ht="156.75">
      <c r="A15" s="399" t="s">
        <v>2380</v>
      </c>
      <c r="B15" s="65" t="s">
        <v>2474</v>
      </c>
      <c r="C15" s="2082" t="str">
        <f>估价对象房地状况!C4</f>
        <v>估价对象位于东四商圈，位于商业类一级地价区，周边有隆福大厦、隆福广场、物美超市，东四大街、朝内大街沿街商业氛围成熟，人流量大，商业繁华度较好。</v>
      </c>
      <c r="D15" s="400">
        <v>100</v>
      </c>
      <c r="E15" s="401"/>
      <c r="F15" s="402">
        <f>SUMIF(76:76,E16,77:77)-SUMIF(76:76,C16,77:77)+100</f>
        <v>100</v>
      </c>
      <c r="G15" s="403"/>
      <c r="H15" s="400">
        <f>SUMIF(76:76,G16,77:77)-SUMIF(76:76,C16,77:77)+100</f>
        <v>100</v>
      </c>
      <c r="I15" s="401"/>
      <c r="J15" s="400">
        <f>SUMIF(76:76,I16,77:77)-SUMIF(76:76,C16,77:77)+100</f>
        <v>100</v>
      </c>
      <c r="K15" s="571">
        <v>3</v>
      </c>
      <c r="L15" s="2949"/>
      <c r="M15" s="2943"/>
      <c r="N15" s="2943"/>
      <c r="O15" s="2943"/>
      <c r="P15" s="3807" t="s">
        <v>2381</v>
      </c>
      <c r="Q15" s="3177" t="str">
        <f t="shared" si="6"/>
        <v>商业繁华度</v>
      </c>
      <c r="R15" s="714" t="s">
        <v>17</v>
      </c>
      <c r="S15" s="715">
        <f t="shared" si="0"/>
        <v>100</v>
      </c>
      <c r="T15" s="714" t="s">
        <v>17</v>
      </c>
      <c r="U15" s="715">
        <f t="shared" si="1"/>
        <v>100</v>
      </c>
      <c r="V15" s="714" t="s">
        <v>17</v>
      </c>
      <c r="W15" s="715">
        <f t="shared" si="2"/>
        <v>100</v>
      </c>
      <c r="X15" s="3174"/>
      <c r="Y15" s="3800" t="s">
        <v>2381</v>
      </c>
      <c r="Z15" s="3175" t="str">
        <f t="shared" si="7"/>
        <v>商业繁华度</v>
      </c>
      <c r="AA15" s="3178">
        <f t="shared" si="3"/>
        <v>1</v>
      </c>
      <c r="AB15" s="3178">
        <f t="shared" si="4"/>
        <v>1</v>
      </c>
      <c r="AC15" s="3178">
        <f t="shared" si="5"/>
        <v>1</v>
      </c>
    </row>
    <row r="16" spans="1:29" ht="15">
      <c r="A16" s="387"/>
      <c r="B16" s="405"/>
      <c r="C16" s="406" t="s">
        <v>3094</v>
      </c>
      <c r="D16" s="407"/>
      <c r="E16" s="406" t="s">
        <v>3094</v>
      </c>
      <c r="F16" s="408"/>
      <c r="G16" s="406" t="s">
        <v>3094</v>
      </c>
      <c r="H16" s="409"/>
      <c r="I16" s="406" t="s">
        <v>3094</v>
      </c>
      <c r="J16" s="407"/>
      <c r="K16" s="572"/>
      <c r="L16" s="2949"/>
      <c r="M16" s="2943"/>
      <c r="N16" s="2943"/>
      <c r="O16" s="2943"/>
      <c r="P16" s="3808"/>
      <c r="Q16" s="3177"/>
      <c r="R16" s="714"/>
      <c r="S16" s="715"/>
      <c r="T16" s="714"/>
      <c r="U16" s="715"/>
      <c r="V16" s="714"/>
      <c r="W16" s="715"/>
      <c r="X16" s="3174"/>
      <c r="Y16" s="3801"/>
      <c r="Z16" s="3175"/>
      <c r="AA16" s="3178">
        <v>1</v>
      </c>
      <c r="AB16" s="3178">
        <v>1</v>
      </c>
      <c r="AC16" s="3178">
        <v>1</v>
      </c>
    </row>
    <row r="17" spans="1:29" ht="213.75">
      <c r="A17" s="387"/>
      <c r="B17" s="410" t="s">
        <v>1945</v>
      </c>
      <c r="C17" s="2086" t="str">
        <f>估价对象房地状况!C6</f>
        <v>估价对象位于东四路口的东南角，紧临城市主干道-朝阳门内大街，西距东四南大街100米，距离地铁5号线（2007年通车）与6号线（2012年通车）东四站75米，多条公交线路通达，公共交通便利，停车便捷度好，综合评价交通便捷度较好。</v>
      </c>
      <c r="D17" s="409">
        <v>100</v>
      </c>
      <c r="E17" s="411"/>
      <c r="F17" s="412">
        <f>SUMIF(78:78,E18,79:79)-SUMIF(78:78,C18,79:79)+100</f>
        <v>100</v>
      </c>
      <c r="G17" s="413"/>
      <c r="H17" s="414">
        <f>SUMIF(78:78,G18,79:79)-SUMIF(78:78,C18,79:79)+100</f>
        <v>100</v>
      </c>
      <c r="I17" s="411"/>
      <c r="J17" s="414">
        <f>SUMIF(78:78,I18,79:79)-SUMIF(78:78,C18,79:79)+100</f>
        <v>100</v>
      </c>
      <c r="K17" s="571">
        <v>3</v>
      </c>
      <c r="L17" s="2949"/>
      <c r="M17" s="2943"/>
      <c r="N17" s="2943"/>
      <c r="O17" s="2943"/>
      <c r="P17" s="3808"/>
      <c r="Q17" s="3177" t="str">
        <f>B17</f>
        <v>交通便捷度</v>
      </c>
      <c r="R17" s="714" t="s">
        <v>17</v>
      </c>
      <c r="S17" s="715">
        <f>F17</f>
        <v>100</v>
      </c>
      <c r="T17" s="714" t="s">
        <v>17</v>
      </c>
      <c r="U17" s="715">
        <f>H17</f>
        <v>100</v>
      </c>
      <c r="V17" s="714" t="s">
        <v>17</v>
      </c>
      <c r="W17" s="715">
        <f>J17</f>
        <v>100</v>
      </c>
      <c r="X17" s="3174"/>
      <c r="Y17" s="3801"/>
      <c r="Z17" s="3175" t="str">
        <f>Q17</f>
        <v>交通便捷度</v>
      </c>
      <c r="AA17" s="3178">
        <f t="shared" si="3"/>
        <v>1</v>
      </c>
      <c r="AB17" s="3178">
        <f t="shared" si="4"/>
        <v>1</v>
      </c>
      <c r="AC17" s="3178">
        <f t="shared" si="5"/>
        <v>1</v>
      </c>
    </row>
    <row r="18" spans="1:29" ht="15">
      <c r="A18" s="387"/>
      <c r="B18" s="415"/>
      <c r="C18" s="2087" t="s">
        <v>3094</v>
      </c>
      <c r="D18" s="409"/>
      <c r="E18" s="2087" t="s">
        <v>3094</v>
      </c>
      <c r="F18" s="412"/>
      <c r="G18" s="2087" t="s">
        <v>3094</v>
      </c>
      <c r="H18" s="407"/>
      <c r="I18" s="2087" t="s">
        <v>3094</v>
      </c>
      <c r="J18" s="407"/>
      <c r="K18" s="572"/>
      <c r="L18" s="2949"/>
      <c r="M18" s="2943"/>
      <c r="N18" s="2943"/>
      <c r="O18" s="2943"/>
      <c r="P18" s="3808"/>
      <c r="Q18" s="3177"/>
      <c r="R18" s="714"/>
      <c r="S18" s="715"/>
      <c r="T18" s="714"/>
      <c r="U18" s="715"/>
      <c r="V18" s="714"/>
      <c r="W18" s="715"/>
      <c r="X18" s="3174"/>
      <c r="Y18" s="3801"/>
      <c r="Z18" s="3175"/>
      <c r="AA18" s="3178">
        <v>1</v>
      </c>
      <c r="AB18" s="3178">
        <v>1</v>
      </c>
      <c r="AC18" s="3178">
        <v>1</v>
      </c>
    </row>
    <row r="19" spans="1:29" ht="285">
      <c r="A19" s="387"/>
      <c r="B19" s="410" t="s">
        <v>2475</v>
      </c>
      <c r="C19" s="2086" t="str">
        <f>估价对象房地状况!C7</f>
        <v>估价对象所在区域有购物场所（隆福广场、物美超市等），教育机构（灯市口小学、北京市第一六六中学），医疗网点（北京市东城区口腔医院、北京市东城区朝阳门社区卫生服务中心），金融网点（中国邮政储蓄银行、中国工商银行、北京农商银行、广发银行），综合分析，公共配套设施齐备程度较好。</v>
      </c>
      <c r="D19" s="414">
        <v>100</v>
      </c>
      <c r="E19" s="416"/>
      <c r="F19" s="417">
        <f>SUMIF(80:80,E20,81:81)-SUMIF(80:80,C20,81:81)+100</f>
        <v>100</v>
      </c>
      <c r="G19" s="418"/>
      <c r="H19" s="409">
        <f>SUMIF(80:80,G20,81:81)-SUMIF(80:80,C20,81:81)+100</f>
        <v>100</v>
      </c>
      <c r="I19" s="416"/>
      <c r="J19" s="409">
        <f>SUMIF(80:80,I20,81:81)-SUMIF(80:80,C20,81:81)+100</f>
        <v>100</v>
      </c>
      <c r="K19" s="571">
        <v>2</v>
      </c>
      <c r="L19" s="2949"/>
      <c r="M19" s="2943"/>
      <c r="N19" s="2943"/>
      <c r="O19" s="2943"/>
      <c r="P19" s="3808"/>
      <c r="Q19" s="3177" t="str">
        <f>B19</f>
        <v>公共配套设施</v>
      </c>
      <c r="R19" s="714" t="s">
        <v>17</v>
      </c>
      <c r="S19" s="715">
        <f>F19</f>
        <v>100</v>
      </c>
      <c r="T19" s="714" t="s">
        <v>17</v>
      </c>
      <c r="U19" s="715">
        <f>H19</f>
        <v>100</v>
      </c>
      <c r="V19" s="714" t="s">
        <v>17</v>
      </c>
      <c r="W19" s="715">
        <f>J19</f>
        <v>100</v>
      </c>
      <c r="X19" s="3174"/>
      <c r="Y19" s="3801"/>
      <c r="Z19" s="3175" t="str">
        <f>Q19</f>
        <v>公共配套设施</v>
      </c>
      <c r="AA19" s="3178">
        <f t="shared" si="3"/>
        <v>1</v>
      </c>
      <c r="AB19" s="3178">
        <f t="shared" si="4"/>
        <v>1</v>
      </c>
      <c r="AC19" s="3178">
        <f t="shared" si="5"/>
        <v>1</v>
      </c>
    </row>
    <row r="20" spans="1:29" ht="15">
      <c r="A20" s="387"/>
      <c r="B20" s="415"/>
      <c r="C20" s="406" t="s">
        <v>3094</v>
      </c>
      <c r="D20" s="407"/>
      <c r="E20" s="406" t="s">
        <v>3094</v>
      </c>
      <c r="F20" s="408"/>
      <c r="G20" s="406" t="s">
        <v>3094</v>
      </c>
      <c r="H20" s="407"/>
      <c r="I20" s="406" t="s">
        <v>3094</v>
      </c>
      <c r="J20" s="407"/>
      <c r="K20" s="572"/>
      <c r="L20" s="2949"/>
      <c r="M20" s="2943"/>
      <c r="N20" s="2943"/>
      <c r="O20" s="2943"/>
      <c r="P20" s="3808"/>
      <c r="Q20" s="3177"/>
      <c r="R20" s="714"/>
      <c r="S20" s="715"/>
      <c r="T20" s="714"/>
      <c r="U20" s="715"/>
      <c r="V20" s="714"/>
      <c r="W20" s="715"/>
      <c r="X20" s="3174"/>
      <c r="Y20" s="3801"/>
      <c r="Z20" s="3175"/>
      <c r="AA20" s="3178">
        <v>1</v>
      </c>
      <c r="AB20" s="3178">
        <v>1</v>
      </c>
      <c r="AC20" s="3178">
        <v>1</v>
      </c>
    </row>
    <row r="21" spans="1:29" ht="42.75">
      <c r="A21" s="387"/>
      <c r="B21" s="1293" t="s">
        <v>2476</v>
      </c>
      <c r="C21" s="2086"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v>2</v>
      </c>
      <c r="L21" s="2949"/>
      <c r="M21" s="2943"/>
      <c r="N21" s="2943"/>
      <c r="O21" s="2943"/>
      <c r="P21" s="3808"/>
      <c r="Q21" s="3177" t="str">
        <f>B21</f>
        <v>基础设施水平</v>
      </c>
      <c r="R21" s="714" t="s">
        <v>17</v>
      </c>
      <c r="S21" s="715">
        <f>F21</f>
        <v>100</v>
      </c>
      <c r="T21" s="714" t="s">
        <v>17</v>
      </c>
      <c r="U21" s="715">
        <f>H21</f>
        <v>100</v>
      </c>
      <c r="V21" s="714" t="s">
        <v>17</v>
      </c>
      <c r="W21" s="715">
        <f>J21</f>
        <v>100</v>
      </c>
      <c r="X21" s="3174"/>
      <c r="Y21" s="3801"/>
      <c r="Z21" s="3175" t="str">
        <f>Q21</f>
        <v>基础设施水平</v>
      </c>
      <c r="AA21" s="3178">
        <f>D21/F21</f>
        <v>1</v>
      </c>
      <c r="AB21" s="3178">
        <f>D21/H21</f>
        <v>1</v>
      </c>
      <c r="AC21" s="3178">
        <f>D21/J21</f>
        <v>1</v>
      </c>
    </row>
    <row r="22" spans="1:29" ht="15">
      <c r="A22" s="387"/>
      <c r="B22" s="1293"/>
      <c r="C22" s="2087" t="s">
        <v>3475</v>
      </c>
      <c r="D22" s="407"/>
      <c r="E22" s="2087" t="s">
        <v>3475</v>
      </c>
      <c r="F22" s="408"/>
      <c r="G22" s="2087" t="s">
        <v>3475</v>
      </c>
      <c r="H22" s="407"/>
      <c r="I22" s="2087" t="s">
        <v>3475</v>
      </c>
      <c r="J22" s="407"/>
      <c r="K22" s="1292"/>
      <c r="L22" s="2949"/>
      <c r="M22" s="2943"/>
      <c r="N22" s="2943"/>
      <c r="O22" s="2943"/>
      <c r="P22" s="3808"/>
      <c r="Q22" s="3177"/>
      <c r="R22" s="714"/>
      <c r="S22" s="715"/>
      <c r="T22" s="714"/>
      <c r="U22" s="715"/>
      <c r="V22" s="714"/>
      <c r="W22" s="715"/>
      <c r="X22" s="3174"/>
      <c r="Y22" s="3801"/>
      <c r="Z22" s="3175"/>
      <c r="AA22" s="3178">
        <v>1</v>
      </c>
      <c r="AB22" s="3178">
        <v>1</v>
      </c>
      <c r="AC22" s="3178">
        <v>1</v>
      </c>
    </row>
    <row r="23" spans="1:29" ht="57">
      <c r="A23" s="387"/>
      <c r="B23" s="410" t="s">
        <v>1947</v>
      </c>
      <c r="C23" s="2141" t="str">
        <f>估价对象房地状况!C9</f>
        <v>周边有隆福寺广场、东四清真寺等，自然及人文环境较好</v>
      </c>
      <c r="D23" s="409">
        <v>100</v>
      </c>
      <c r="E23" s="411"/>
      <c r="F23" s="412">
        <f>SUMIF(84:84,E24,85:85)-SUMIF(84:84,C24,85:85)+100</f>
        <v>100</v>
      </c>
      <c r="G23" s="413"/>
      <c r="H23" s="409">
        <f>SUMIF(84:84,G24,85:85)-SUMIF(84:84,C24,85:85)+100</f>
        <v>100</v>
      </c>
      <c r="I23" s="411"/>
      <c r="J23" s="409">
        <f>SUMIF(84:84,I24,85:85)-SUMIF(84:84,C24,85:85)+100</f>
        <v>100</v>
      </c>
      <c r="K23" s="571">
        <v>2</v>
      </c>
      <c r="L23" s="2949"/>
      <c r="M23" s="2943"/>
      <c r="N23" s="2943"/>
      <c r="O23" s="2943"/>
      <c r="P23" s="3808"/>
      <c r="Q23" s="3177" t="str">
        <f>B23</f>
        <v>自然及人文环境</v>
      </c>
      <c r="R23" s="714" t="s">
        <v>17</v>
      </c>
      <c r="S23" s="715">
        <f>F23</f>
        <v>100</v>
      </c>
      <c r="T23" s="714" t="s">
        <v>17</v>
      </c>
      <c r="U23" s="715">
        <f>H23</f>
        <v>100</v>
      </c>
      <c r="V23" s="714" t="s">
        <v>17</v>
      </c>
      <c r="W23" s="715">
        <f>J23</f>
        <v>100</v>
      </c>
      <c r="X23" s="3174"/>
      <c r="Y23" s="3801"/>
      <c r="Z23" s="3175" t="str">
        <f>Q23</f>
        <v>自然及人文环境</v>
      </c>
      <c r="AA23" s="3178">
        <f t="shared" si="3"/>
        <v>1</v>
      </c>
      <c r="AB23" s="3178">
        <f t="shared" si="4"/>
        <v>1</v>
      </c>
      <c r="AC23" s="3178">
        <f t="shared" si="5"/>
        <v>1</v>
      </c>
    </row>
    <row r="24" spans="1:29" ht="15">
      <c r="A24" s="387"/>
      <c r="B24" s="415"/>
      <c r="C24" s="406" t="s">
        <v>3094</v>
      </c>
      <c r="D24" s="407"/>
      <c r="E24" s="406" t="s">
        <v>3094</v>
      </c>
      <c r="F24" s="408"/>
      <c r="G24" s="406" t="s">
        <v>3094</v>
      </c>
      <c r="H24" s="407"/>
      <c r="I24" s="406" t="s">
        <v>3094</v>
      </c>
      <c r="J24" s="407"/>
      <c r="K24" s="572"/>
      <c r="L24" s="2949"/>
      <c r="M24" s="2943"/>
      <c r="N24" s="2943"/>
      <c r="O24" s="2943"/>
      <c r="P24" s="3808"/>
      <c r="Q24" s="3177"/>
      <c r="R24" s="714"/>
      <c r="S24" s="715"/>
      <c r="T24" s="714"/>
      <c r="U24" s="715"/>
      <c r="V24" s="714"/>
      <c r="W24" s="715"/>
      <c r="X24" s="3174"/>
      <c r="Y24" s="3801"/>
      <c r="Z24" s="3175"/>
      <c r="AA24" s="3178">
        <v>1</v>
      </c>
      <c r="AB24" s="3178">
        <v>1</v>
      </c>
      <c r="AC24" s="3178">
        <v>1</v>
      </c>
    </row>
    <row r="25" spans="1:29" ht="15">
      <c r="A25" s="387"/>
      <c r="B25" s="381" t="s">
        <v>2477</v>
      </c>
      <c r="C25" s="573" t="s">
        <v>3476</v>
      </c>
      <c r="D25" s="394">
        <v>100</v>
      </c>
      <c r="E25" s="573" t="s">
        <v>3480</v>
      </c>
      <c r="F25" s="420">
        <f>SUMIF(86:86,E25,87:87)-SUMIF(86:86,C25,87:87)+100</f>
        <v>105</v>
      </c>
      <c r="G25" s="573" t="s">
        <v>3480</v>
      </c>
      <c r="H25" s="394">
        <f>SUMIF(86:86,G25,87:87)-SUMIF(86:86,C25,87:87)+100</f>
        <v>105</v>
      </c>
      <c r="I25" s="573" t="s">
        <v>3480</v>
      </c>
      <c r="J25" s="394">
        <f>SUMIF(86:86,I25,87:87)-SUMIF(86:86,C25,87:87)+100</f>
        <v>105</v>
      </c>
      <c r="K25" s="569">
        <v>5</v>
      </c>
      <c r="L25" s="2949"/>
      <c r="M25" s="2943"/>
      <c r="N25" s="2943"/>
      <c r="O25" s="2943"/>
      <c r="P25" s="3808"/>
      <c r="Q25" s="3177" t="str">
        <f t="shared" ref="Q25:Q46" si="8">B25</f>
        <v>临街状况</v>
      </c>
      <c r="R25" s="714" t="s">
        <v>17</v>
      </c>
      <c r="S25" s="715">
        <f>F25</f>
        <v>105</v>
      </c>
      <c r="T25" s="714" t="s">
        <v>17</v>
      </c>
      <c r="U25" s="715">
        <f>H25</f>
        <v>105</v>
      </c>
      <c r="V25" s="714" t="s">
        <v>17</v>
      </c>
      <c r="W25" s="715">
        <f>J25</f>
        <v>105</v>
      </c>
      <c r="X25" s="3174"/>
      <c r="Y25" s="3801"/>
      <c r="Z25" s="3175" t="str">
        <f>Q25</f>
        <v>临街状况</v>
      </c>
      <c r="AA25" s="3178">
        <f t="shared" si="3"/>
        <v>0.95238095238095233</v>
      </c>
      <c r="AB25" s="3178">
        <f t="shared" si="4"/>
        <v>0.95238095238095233</v>
      </c>
      <c r="AC25" s="3178">
        <f t="shared" si="5"/>
        <v>0.95238095238095233</v>
      </c>
    </row>
    <row r="26" spans="1:29" ht="15">
      <c r="A26" s="387"/>
      <c r="B26" s="1295" t="s">
        <v>2478</v>
      </c>
      <c r="C26" s="3184"/>
      <c r="D26" s="394">
        <v>100</v>
      </c>
      <c r="E26" s="3184"/>
      <c r="F26" s="420">
        <f>SUMIF(88:88,E26,89:89)-SUMIF(88:88,C26,89:89)+100</f>
        <v>100</v>
      </c>
      <c r="G26" s="3184"/>
      <c r="H26" s="394">
        <f>SUMIF(88:88,G26,89:89)-SUMIF(88:88,C26,89:89)+100</f>
        <v>100</v>
      </c>
      <c r="I26" s="3184"/>
      <c r="J26" s="394">
        <f>SUMIF(88:88,I26,89:89)-SUMIF(88:88,C26,89:89)+100</f>
        <v>100</v>
      </c>
      <c r="K26" s="570"/>
      <c r="L26" s="2949"/>
      <c r="M26" s="2943"/>
      <c r="N26" s="2943"/>
      <c r="O26" s="2943"/>
      <c r="P26" s="3808"/>
      <c r="Q26" s="3177" t="str">
        <f t="shared" si="8"/>
        <v>平面位置/可视性</v>
      </c>
      <c r="R26" s="714" t="s">
        <v>17</v>
      </c>
      <c r="S26" s="715">
        <f>F26</f>
        <v>100</v>
      </c>
      <c r="T26" s="714" t="s">
        <v>17</v>
      </c>
      <c r="U26" s="715">
        <f>H26</f>
        <v>100</v>
      </c>
      <c r="V26" s="714" t="s">
        <v>17</v>
      </c>
      <c r="W26" s="715">
        <f>J26</f>
        <v>100</v>
      </c>
      <c r="X26" s="3174"/>
      <c r="Y26" s="3801"/>
      <c r="Z26" s="3175" t="str">
        <f>Q26</f>
        <v>平面位置/可视性</v>
      </c>
      <c r="AA26" s="3178">
        <f t="shared" si="3"/>
        <v>1</v>
      </c>
      <c r="AB26" s="3178">
        <f t="shared" si="4"/>
        <v>1</v>
      </c>
      <c r="AC26" s="3178">
        <f t="shared" si="5"/>
        <v>1</v>
      </c>
    </row>
    <row r="27" spans="1:29" s="113" customFormat="1" ht="15">
      <c r="A27" s="390"/>
      <c r="B27" s="410" t="s">
        <v>2479</v>
      </c>
      <c r="C27" s="2142" t="s">
        <v>3567</v>
      </c>
      <c r="D27" s="421">
        <v>100</v>
      </c>
      <c r="E27" s="2142" t="s">
        <v>3567</v>
      </c>
      <c r="F27" s="423">
        <f>SUMIF(90:90,E27,91:91)-SUMIF(90:90,C27,91:91)+100</f>
        <v>100</v>
      </c>
      <c r="G27" s="2142" t="s">
        <v>3567</v>
      </c>
      <c r="H27" s="421">
        <f>SUMIF(90:90,G27,91:91)-SUMIF(90:90,C27,91:91)+100</f>
        <v>100</v>
      </c>
      <c r="I27" s="2142" t="s">
        <v>3567</v>
      </c>
      <c r="J27" s="421">
        <f>SUMIF(90:90,I27,91:91)-SUMIF(90:90,C27,91:91)+100</f>
        <v>100</v>
      </c>
      <c r="K27" s="569">
        <v>2</v>
      </c>
      <c r="L27" s="2944"/>
      <c r="M27" s="2945"/>
      <c r="N27" s="2945"/>
      <c r="O27" s="2945"/>
      <c r="P27" s="3808"/>
      <c r="Q27" s="3173" t="str">
        <f t="shared" si="8"/>
        <v>人流量</v>
      </c>
      <c r="R27" s="710" t="s">
        <v>17</v>
      </c>
      <c r="S27" s="711">
        <f>F27</f>
        <v>100</v>
      </c>
      <c r="T27" s="710" t="s">
        <v>17</v>
      </c>
      <c r="U27" s="711">
        <f>H27</f>
        <v>100</v>
      </c>
      <c r="V27" s="710" t="s">
        <v>17</v>
      </c>
      <c r="W27" s="711">
        <f>J27</f>
        <v>100</v>
      </c>
      <c r="X27" s="712"/>
      <c r="Y27" s="3801"/>
      <c r="Z27" s="3172" t="str">
        <f>Q27</f>
        <v>人流量</v>
      </c>
      <c r="AA27" s="3178">
        <f>D27/F27</f>
        <v>1</v>
      </c>
      <c r="AB27" s="3178">
        <f>D27/H27</f>
        <v>1</v>
      </c>
      <c r="AC27" s="3178">
        <f>D27/J27</f>
        <v>1</v>
      </c>
    </row>
    <row r="28" spans="1:29" ht="15">
      <c r="A28" s="387"/>
      <c r="B28" s="381" t="s">
        <v>2480</v>
      </c>
      <c r="C28" s="573">
        <v>1</v>
      </c>
      <c r="D28" s="394">
        <v>100</v>
      </c>
      <c r="E28" s="573">
        <v>1</v>
      </c>
      <c r="F28" s="420">
        <f>SUMIF(92:92,E28,93:93)-SUMIF(92:92,C28,93:93)+100</f>
        <v>100</v>
      </c>
      <c r="G28" s="573">
        <v>1</v>
      </c>
      <c r="H28" s="394">
        <f>SUMIF(92:92,G28,93:93)-SUMIF(92:92,C28,93:93)+100</f>
        <v>100</v>
      </c>
      <c r="I28" s="573">
        <v>1</v>
      </c>
      <c r="J28" s="394">
        <f>SUMIF(92:92,I28,93:93)-SUMIF(92:92,C28,93:93)+100</f>
        <v>100</v>
      </c>
      <c r="K28" s="570"/>
      <c r="L28" s="2949"/>
      <c r="M28" s="2943"/>
      <c r="N28" s="2943"/>
      <c r="O28" s="2943"/>
      <c r="P28" s="3808"/>
      <c r="Q28" s="3177" t="str">
        <f t="shared" si="8"/>
        <v>楼层</v>
      </c>
      <c r="R28" s="714" t="s">
        <v>17</v>
      </c>
      <c r="S28" s="715">
        <f t="shared" ref="S28:S46" si="9">F28</f>
        <v>100</v>
      </c>
      <c r="T28" s="714" t="s">
        <v>17</v>
      </c>
      <c r="U28" s="715">
        <f t="shared" ref="U28:U46" si="10">H28</f>
        <v>100</v>
      </c>
      <c r="V28" s="714" t="s">
        <v>17</v>
      </c>
      <c r="W28" s="715">
        <f t="shared" ref="W28:W46" si="11">J28</f>
        <v>100</v>
      </c>
      <c r="X28" s="3174"/>
      <c r="Y28" s="3801"/>
      <c r="Z28" s="3175" t="str">
        <f t="shared" ref="Z28:Z46" si="12">Q28</f>
        <v>楼层</v>
      </c>
      <c r="AA28" s="3178">
        <f t="shared" si="3"/>
        <v>1</v>
      </c>
      <c r="AB28" s="3178">
        <f t="shared" si="4"/>
        <v>1</v>
      </c>
      <c r="AC28" s="3178">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49"/>
      <c r="M29" s="2943"/>
      <c r="N29" s="2943"/>
      <c r="O29" s="2943"/>
      <c r="P29" s="3808"/>
      <c r="Q29" s="3177">
        <f t="shared" si="8"/>
        <v>111</v>
      </c>
      <c r="R29" s="714" t="s">
        <v>17</v>
      </c>
      <c r="S29" s="715">
        <f t="shared" si="9"/>
        <v>100</v>
      </c>
      <c r="T29" s="714" t="s">
        <v>17</v>
      </c>
      <c r="U29" s="715">
        <f t="shared" si="10"/>
        <v>100</v>
      </c>
      <c r="V29" s="714" t="s">
        <v>17</v>
      </c>
      <c r="W29" s="715">
        <f t="shared" si="11"/>
        <v>100</v>
      </c>
      <c r="X29" s="3174"/>
      <c r="Y29" s="3801"/>
      <c r="Z29" s="3175">
        <f t="shared" si="12"/>
        <v>111</v>
      </c>
      <c r="AA29" s="3178">
        <f t="shared" si="3"/>
        <v>1</v>
      </c>
      <c r="AB29" s="3178">
        <f t="shared" si="4"/>
        <v>1</v>
      </c>
      <c r="AC29" s="3178">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49"/>
      <c r="M30" s="2943"/>
      <c r="N30" s="2943"/>
      <c r="O30" s="2943"/>
      <c r="P30" s="3808"/>
      <c r="Q30" s="3177">
        <f t="shared" si="8"/>
        <v>111</v>
      </c>
      <c r="R30" s="714" t="s">
        <v>17</v>
      </c>
      <c r="S30" s="715">
        <f t="shared" si="9"/>
        <v>100</v>
      </c>
      <c r="T30" s="714" t="s">
        <v>17</v>
      </c>
      <c r="U30" s="715">
        <f t="shared" si="10"/>
        <v>100</v>
      </c>
      <c r="V30" s="714" t="s">
        <v>17</v>
      </c>
      <c r="W30" s="715">
        <f t="shared" si="11"/>
        <v>100</v>
      </c>
      <c r="X30" s="3174"/>
      <c r="Y30" s="3801"/>
      <c r="Z30" s="3175">
        <f t="shared" si="12"/>
        <v>111</v>
      </c>
      <c r="AA30" s="3178">
        <f t="shared" si="3"/>
        <v>1</v>
      </c>
      <c r="AB30" s="3178">
        <f t="shared" si="4"/>
        <v>1</v>
      </c>
      <c r="AC30" s="3178">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49"/>
      <c r="M31" s="2943"/>
      <c r="N31" s="2943"/>
      <c r="O31" s="2943"/>
      <c r="P31" s="3808"/>
      <c r="Q31" s="3177">
        <f t="shared" si="8"/>
        <v>111</v>
      </c>
      <c r="R31" s="714" t="s">
        <v>17</v>
      </c>
      <c r="S31" s="715">
        <f t="shared" si="9"/>
        <v>100</v>
      </c>
      <c r="T31" s="714" t="s">
        <v>17</v>
      </c>
      <c r="U31" s="715">
        <f t="shared" si="10"/>
        <v>100</v>
      </c>
      <c r="V31" s="714" t="s">
        <v>17</v>
      </c>
      <c r="W31" s="715">
        <f t="shared" si="11"/>
        <v>100</v>
      </c>
      <c r="X31" s="3174"/>
      <c r="Y31" s="3801"/>
      <c r="Z31" s="3175">
        <f t="shared" si="12"/>
        <v>111</v>
      </c>
      <c r="AA31" s="3178">
        <f t="shared" si="3"/>
        <v>1</v>
      </c>
      <c r="AB31" s="3178">
        <f t="shared" si="4"/>
        <v>1</v>
      </c>
      <c r="AC31" s="3178">
        <f t="shared" si="5"/>
        <v>1</v>
      </c>
    </row>
    <row r="32" spans="1:29" ht="15">
      <c r="A32" s="399" t="s">
        <v>2384</v>
      </c>
      <c r="B32" s="67" t="s">
        <v>2481</v>
      </c>
      <c r="C32" s="2096" t="s">
        <v>3565</v>
      </c>
      <c r="D32" s="426">
        <v>100</v>
      </c>
      <c r="E32" s="2096" t="s">
        <v>3565</v>
      </c>
      <c r="F32" s="420">
        <f>SUMIF(100:100,E32,101:101)-SUMIF(100:100,C32,101:101)+100</f>
        <v>100</v>
      </c>
      <c r="G32" s="2096" t="s">
        <v>3565</v>
      </c>
      <c r="H32" s="394">
        <f>SUMIF(100:100,G32,101:101)-SUMIF(100:100,C32,101:101)+100</f>
        <v>100</v>
      </c>
      <c r="I32" s="2096" t="s">
        <v>3565</v>
      </c>
      <c r="J32" s="426">
        <f>SUMIF(100:100,I32,101:101)-SUMIF(100:100,C32,101:101)+100</f>
        <v>100</v>
      </c>
      <c r="K32" s="569">
        <v>2</v>
      </c>
      <c r="L32" s="2949"/>
      <c r="M32" s="2943"/>
      <c r="N32" s="2943"/>
      <c r="O32" s="2943"/>
      <c r="P32" s="3802" t="s">
        <v>2386</v>
      </c>
      <c r="Q32" s="3177" t="str">
        <f t="shared" si="8"/>
        <v>商业类型</v>
      </c>
      <c r="R32" s="714" t="s">
        <v>17</v>
      </c>
      <c r="S32" s="715">
        <f t="shared" si="9"/>
        <v>100</v>
      </c>
      <c r="T32" s="714" t="s">
        <v>17</v>
      </c>
      <c r="U32" s="715">
        <f t="shared" si="10"/>
        <v>100</v>
      </c>
      <c r="V32" s="714" t="s">
        <v>17</v>
      </c>
      <c r="W32" s="715">
        <f t="shared" si="11"/>
        <v>100</v>
      </c>
      <c r="X32" s="3174"/>
      <c r="Y32" s="3805" t="s">
        <v>2386</v>
      </c>
      <c r="Z32" s="3175" t="str">
        <f t="shared" si="12"/>
        <v>商业类型</v>
      </c>
      <c r="AA32" s="3178">
        <f t="shared" si="3"/>
        <v>1</v>
      </c>
      <c r="AB32" s="3178">
        <f t="shared" si="4"/>
        <v>1</v>
      </c>
      <c r="AC32" s="3178">
        <f t="shared" si="5"/>
        <v>1</v>
      </c>
    </row>
    <row r="33" spans="1:29" s="430" customFormat="1" ht="15">
      <c r="A33" s="427"/>
      <c r="B33" s="381" t="s">
        <v>2387</v>
      </c>
      <c r="C33" s="428">
        <f>'数据-汇总表'!E3</f>
        <v>47689.05</v>
      </c>
      <c r="D33" s="132">
        <v>100</v>
      </c>
      <c r="E33" s="389">
        <v>59187</v>
      </c>
      <c r="F33" s="384">
        <f>LOOKUP(E33,103:103,104:104)-LOOKUP(C33,103:103,104:104)+100</f>
        <v>101</v>
      </c>
      <c r="G33" s="388">
        <v>149036</v>
      </c>
      <c r="H33" s="132">
        <f>LOOKUP(G33,103:103,104:104)-LOOKUP(C33,103:103,104:104)+100</f>
        <v>102</v>
      </c>
      <c r="I33" s="388">
        <v>126785</v>
      </c>
      <c r="J33" s="132">
        <f>LOOKUP(I33,103:103,104:104)-LOOKUP(C33,103:103,104:104)+100</f>
        <v>102</v>
      </c>
      <c r="K33" s="570"/>
      <c r="L33" s="2948"/>
      <c r="M33" s="2950"/>
      <c r="N33" s="2950"/>
      <c r="O33" s="2950"/>
      <c r="P33" s="3803"/>
      <c r="Q33" s="716" t="str">
        <f t="shared" si="8"/>
        <v>项目建筑规模</v>
      </c>
      <c r="R33" s="717" t="s">
        <v>17</v>
      </c>
      <c r="S33" s="718">
        <f t="shared" si="9"/>
        <v>101</v>
      </c>
      <c r="T33" s="717" t="s">
        <v>17</v>
      </c>
      <c r="U33" s="718">
        <f t="shared" si="10"/>
        <v>102</v>
      </c>
      <c r="V33" s="717" t="s">
        <v>17</v>
      </c>
      <c r="W33" s="718">
        <f t="shared" si="11"/>
        <v>102</v>
      </c>
      <c r="X33" s="719"/>
      <c r="Y33" s="3805"/>
      <c r="Z33" s="720" t="str">
        <f t="shared" si="12"/>
        <v>项目建筑规模</v>
      </c>
      <c r="AA33" s="3178">
        <f t="shared" si="3"/>
        <v>0.99009900990099009</v>
      </c>
      <c r="AB33" s="3178">
        <f t="shared" si="4"/>
        <v>0.98039215686274506</v>
      </c>
      <c r="AC33" s="3178">
        <f t="shared" si="5"/>
        <v>0.98039215686274506</v>
      </c>
    </row>
    <row r="34" spans="1:29" ht="15">
      <c r="A34" s="431"/>
      <c r="B34" s="381" t="s">
        <v>2388</v>
      </c>
      <c r="C34" s="2098" t="s">
        <v>3499</v>
      </c>
      <c r="D34" s="394">
        <v>100</v>
      </c>
      <c r="E34" s="2098" t="s">
        <v>3499</v>
      </c>
      <c r="F34" s="420">
        <f>SUMIF(105:105,E34,106:106)-SUMIF(105:105,C34,106:106)+100</f>
        <v>100</v>
      </c>
      <c r="G34" s="2098" t="s">
        <v>3499</v>
      </c>
      <c r="H34" s="394">
        <f>SUMIF(105:105,G34,106:106)-SUMIF(105:105,C34,106:106)+100</f>
        <v>100</v>
      </c>
      <c r="I34" s="2098" t="s">
        <v>3499</v>
      </c>
      <c r="J34" s="394">
        <f>SUMIF(105:105,I34,106:106)-SUMIF(105:105,C34,106:106)+100</f>
        <v>100</v>
      </c>
      <c r="K34" s="569">
        <v>2</v>
      </c>
      <c r="L34" s="2949"/>
      <c r="M34" s="2943"/>
      <c r="N34" s="2943"/>
      <c r="O34" s="2943"/>
      <c r="P34" s="3803"/>
      <c r="Q34" s="3177" t="str">
        <f t="shared" si="8"/>
        <v>建筑结构</v>
      </c>
      <c r="R34" s="714" t="s">
        <v>17</v>
      </c>
      <c r="S34" s="715">
        <f t="shared" si="9"/>
        <v>100</v>
      </c>
      <c r="T34" s="714" t="s">
        <v>17</v>
      </c>
      <c r="U34" s="715">
        <f t="shared" si="10"/>
        <v>100</v>
      </c>
      <c r="V34" s="714" t="s">
        <v>17</v>
      </c>
      <c r="W34" s="715">
        <f t="shared" si="11"/>
        <v>100</v>
      </c>
      <c r="X34" s="3174"/>
      <c r="Y34" s="3805"/>
      <c r="Z34" s="3175" t="str">
        <f t="shared" si="12"/>
        <v>建筑结构</v>
      </c>
      <c r="AA34" s="3178">
        <f t="shared" si="3"/>
        <v>1</v>
      </c>
      <c r="AB34" s="3178">
        <f t="shared" si="4"/>
        <v>1</v>
      </c>
      <c r="AC34" s="3178">
        <f t="shared" si="5"/>
        <v>1</v>
      </c>
    </row>
    <row r="35" spans="1:29" ht="15">
      <c r="A35" s="431"/>
      <c r="B35" s="381" t="s">
        <v>2482</v>
      </c>
      <c r="C35" s="2092" t="s">
        <v>3503</v>
      </c>
      <c r="D35" s="394">
        <v>100</v>
      </c>
      <c r="E35" s="2092" t="s">
        <v>3500</v>
      </c>
      <c r="F35" s="420">
        <f>SUMIF(107:107,E35,108:108)-SUMIF(107:107,C35,108:108)+100</f>
        <v>100</v>
      </c>
      <c r="G35" s="2092" t="s">
        <v>3500</v>
      </c>
      <c r="H35" s="394">
        <f>SUMIF(107:107,G35,108:108)-SUMIF(107:107,C35,108:108)+100</f>
        <v>100</v>
      </c>
      <c r="I35" s="2092" t="s">
        <v>3500</v>
      </c>
      <c r="J35" s="394">
        <f>SUMIF(107:107,I35,108:108)-SUMIF(107:107,C35,108:108)+100</f>
        <v>100</v>
      </c>
      <c r="K35" s="569"/>
      <c r="L35" s="2949"/>
      <c r="M35" s="2943"/>
      <c r="N35" s="2943"/>
      <c r="O35" s="2943"/>
      <c r="P35" s="3803"/>
      <c r="Q35" s="3177" t="str">
        <f t="shared" si="8"/>
        <v>公共部分装修</v>
      </c>
      <c r="R35" s="714" t="s">
        <v>17</v>
      </c>
      <c r="S35" s="715">
        <f t="shared" si="9"/>
        <v>100</v>
      </c>
      <c r="T35" s="714" t="s">
        <v>17</v>
      </c>
      <c r="U35" s="715">
        <f t="shared" si="10"/>
        <v>100</v>
      </c>
      <c r="V35" s="714" t="s">
        <v>17</v>
      </c>
      <c r="W35" s="715">
        <f t="shared" si="11"/>
        <v>100</v>
      </c>
      <c r="X35" s="3174"/>
      <c r="Y35" s="3805"/>
      <c r="Z35" s="3175" t="str">
        <f t="shared" si="12"/>
        <v>公共部分装修</v>
      </c>
      <c r="AA35" s="3178">
        <f t="shared" si="3"/>
        <v>1</v>
      </c>
      <c r="AB35" s="3178">
        <f t="shared" si="4"/>
        <v>1</v>
      </c>
      <c r="AC35" s="3178">
        <f t="shared" si="5"/>
        <v>1</v>
      </c>
    </row>
    <row r="36" spans="1:29" ht="15">
      <c r="A36" s="431"/>
      <c r="B36" s="381" t="s">
        <v>2483</v>
      </c>
      <c r="C36" s="433">
        <v>0.8</v>
      </c>
      <c r="D36" s="394">
        <v>100</v>
      </c>
      <c r="E36" s="433">
        <v>0.8</v>
      </c>
      <c r="F36" s="420">
        <f>LOOKUP(E36,110:110,111:111)-LOOKUP(C36,110:110,111:111)+100</f>
        <v>100</v>
      </c>
      <c r="G36" s="433">
        <f>1-(2021-2010)/60</f>
        <v>0.81666666666666665</v>
      </c>
      <c r="H36" s="420">
        <f>LOOKUP(G36,110:110,111:111)-LOOKUP(C36,110:110,111:111)+100</f>
        <v>100</v>
      </c>
      <c r="I36" s="433">
        <f>1-(2021-2015)/60</f>
        <v>0.9</v>
      </c>
      <c r="J36" s="394">
        <f>LOOKUP(I36,110:110,111:111)-LOOKUP(C36,110:110,111:111)+100</f>
        <v>102</v>
      </c>
      <c r="K36" s="569">
        <v>2</v>
      </c>
      <c r="L36" s="2949"/>
      <c r="M36" s="2943"/>
      <c r="N36" s="2943"/>
      <c r="O36" s="2943"/>
      <c r="P36" s="3803"/>
      <c r="Q36" s="3177" t="str">
        <f t="shared" si="8"/>
        <v>成新度</v>
      </c>
      <c r="R36" s="714" t="s">
        <v>17</v>
      </c>
      <c r="S36" s="715">
        <f t="shared" si="9"/>
        <v>100</v>
      </c>
      <c r="T36" s="714" t="s">
        <v>17</v>
      </c>
      <c r="U36" s="715">
        <f t="shared" si="10"/>
        <v>100</v>
      </c>
      <c r="V36" s="714" t="s">
        <v>17</v>
      </c>
      <c r="W36" s="715">
        <f t="shared" si="11"/>
        <v>102</v>
      </c>
      <c r="X36" s="3174"/>
      <c r="Y36" s="3805"/>
      <c r="Z36" s="3175" t="str">
        <f t="shared" si="12"/>
        <v>成新度</v>
      </c>
      <c r="AA36" s="3178">
        <f t="shared" si="3"/>
        <v>1</v>
      </c>
      <c r="AB36" s="3178">
        <f t="shared" si="4"/>
        <v>1</v>
      </c>
      <c r="AC36" s="3178">
        <f t="shared" si="5"/>
        <v>0.98039215686274506</v>
      </c>
    </row>
    <row r="37" spans="1:29" s="113" customFormat="1" ht="15">
      <c r="A37" s="432"/>
      <c r="B37" s="381" t="s">
        <v>2484</v>
      </c>
      <c r="C37" s="2092" t="s">
        <v>3475</v>
      </c>
      <c r="D37" s="132">
        <v>100</v>
      </c>
      <c r="E37" s="2092" t="s">
        <v>3475</v>
      </c>
      <c r="F37" s="420">
        <f>SUMIF(112:112,E37,113:113)-SUMIF(112:112,C37,113:113)+100</f>
        <v>100</v>
      </c>
      <c r="G37" s="2092" t="s">
        <v>3475</v>
      </c>
      <c r="H37" s="394">
        <f>SUMIF(112:112,G37,113:113)-SUMIF(112:112,C37,113:113)+100</f>
        <v>100</v>
      </c>
      <c r="I37" s="2092" t="s">
        <v>3475</v>
      </c>
      <c r="J37" s="394">
        <f>SUMIF(112:112,I37,113:113)-SUMIF(112:112,C37,113:113)+100</f>
        <v>100</v>
      </c>
      <c r="K37" s="569"/>
      <c r="L37" s="2944"/>
      <c r="M37" s="2945"/>
      <c r="N37" s="2945"/>
      <c r="O37" s="2945"/>
      <c r="P37" s="3803"/>
      <c r="Q37" s="3173" t="str">
        <f t="shared" si="8"/>
        <v>市政基础设施</v>
      </c>
      <c r="R37" s="710" t="s">
        <v>17</v>
      </c>
      <c r="S37" s="711">
        <f t="shared" si="9"/>
        <v>100</v>
      </c>
      <c r="T37" s="710" t="s">
        <v>17</v>
      </c>
      <c r="U37" s="711">
        <f t="shared" si="10"/>
        <v>100</v>
      </c>
      <c r="V37" s="710" t="s">
        <v>17</v>
      </c>
      <c r="W37" s="711">
        <f t="shared" si="11"/>
        <v>100</v>
      </c>
      <c r="X37" s="712"/>
      <c r="Y37" s="3805"/>
      <c r="Z37" s="3172" t="str">
        <f t="shared" si="12"/>
        <v>市政基础设施</v>
      </c>
      <c r="AA37" s="713">
        <f t="shared" si="3"/>
        <v>1</v>
      </c>
      <c r="AB37" s="713">
        <f t="shared" si="4"/>
        <v>1</v>
      </c>
      <c r="AC37" s="713">
        <f t="shared" si="5"/>
        <v>1</v>
      </c>
    </row>
    <row r="38" spans="1:29" ht="15">
      <c r="A38" s="431"/>
      <c r="B38" s="381" t="s">
        <v>2485</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49"/>
      <c r="M38" s="2943"/>
      <c r="N38" s="2943"/>
      <c r="O38" s="2943"/>
      <c r="P38" s="3803" t="s">
        <v>2386</v>
      </c>
      <c r="Q38" s="3177" t="str">
        <f t="shared" si="8"/>
        <v>业态</v>
      </c>
      <c r="R38" s="714" t="s">
        <v>17</v>
      </c>
      <c r="S38" s="715">
        <f t="shared" si="9"/>
        <v>100</v>
      </c>
      <c r="T38" s="714" t="s">
        <v>17</v>
      </c>
      <c r="U38" s="715">
        <f t="shared" si="10"/>
        <v>100</v>
      </c>
      <c r="V38" s="714" t="s">
        <v>17</v>
      </c>
      <c r="W38" s="715">
        <f t="shared" si="11"/>
        <v>100</v>
      </c>
      <c r="X38" s="3174"/>
      <c r="Y38" s="3805" t="s">
        <v>2386</v>
      </c>
      <c r="Z38" s="3175" t="str">
        <f t="shared" si="12"/>
        <v>业态</v>
      </c>
      <c r="AA38" s="3178">
        <f t="shared" si="3"/>
        <v>1</v>
      </c>
      <c r="AB38" s="3178">
        <f t="shared" si="4"/>
        <v>1</v>
      </c>
      <c r="AC38" s="3178">
        <f t="shared" si="5"/>
        <v>1</v>
      </c>
    </row>
    <row r="39" spans="1:29" ht="15">
      <c r="A39" s="431"/>
      <c r="B39" s="381" t="s">
        <v>2486</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49"/>
      <c r="M39" s="2943"/>
      <c r="N39" s="2943"/>
      <c r="O39" s="2943"/>
      <c r="P39" s="3803"/>
      <c r="Q39" s="3177" t="str">
        <f t="shared" si="8"/>
        <v>层高</v>
      </c>
      <c r="R39" s="714" t="s">
        <v>17</v>
      </c>
      <c r="S39" s="715">
        <f t="shared" si="9"/>
        <v>100</v>
      </c>
      <c r="T39" s="714" t="s">
        <v>17</v>
      </c>
      <c r="U39" s="715">
        <f t="shared" si="10"/>
        <v>100</v>
      </c>
      <c r="V39" s="714" t="s">
        <v>17</v>
      </c>
      <c r="W39" s="715">
        <f t="shared" si="11"/>
        <v>100</v>
      </c>
      <c r="X39" s="3174"/>
      <c r="Y39" s="3805"/>
      <c r="Z39" s="3175" t="str">
        <f t="shared" si="12"/>
        <v>层高</v>
      </c>
      <c r="AA39" s="3178">
        <f t="shared" si="3"/>
        <v>1</v>
      </c>
      <c r="AB39" s="3178">
        <f t="shared" si="4"/>
        <v>1</v>
      </c>
      <c r="AC39" s="3178">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9"/>
      <c r="M40" s="2943"/>
      <c r="N40" s="2943"/>
      <c r="O40" s="2943"/>
      <c r="P40" s="3803"/>
      <c r="Q40" s="3177" t="str">
        <f t="shared" si="8"/>
        <v>单套建筑面积</v>
      </c>
      <c r="R40" s="714" t="s">
        <v>17</v>
      </c>
      <c r="S40" s="715">
        <f t="shared" si="9"/>
        <v>100</v>
      </c>
      <c r="T40" s="714" t="s">
        <v>17</v>
      </c>
      <c r="U40" s="715">
        <f t="shared" si="10"/>
        <v>100</v>
      </c>
      <c r="V40" s="714" t="s">
        <v>17</v>
      </c>
      <c r="W40" s="715">
        <f t="shared" si="11"/>
        <v>100</v>
      </c>
      <c r="X40" s="3174"/>
      <c r="Y40" s="3805"/>
      <c r="Z40" s="3175" t="str">
        <f t="shared" si="12"/>
        <v>单套建筑面积</v>
      </c>
      <c r="AA40" s="3178">
        <f t="shared" si="3"/>
        <v>1</v>
      </c>
      <c r="AB40" s="3178">
        <f t="shared" si="4"/>
        <v>1</v>
      </c>
      <c r="AC40" s="3178">
        <f t="shared" si="5"/>
        <v>1</v>
      </c>
    </row>
    <row r="41" spans="1:29" s="430" customFormat="1" ht="15">
      <c r="A41" s="427"/>
      <c r="B41" s="3176"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8"/>
      <c r="M41" s="2950"/>
      <c r="N41" s="2950"/>
      <c r="O41" s="2950"/>
      <c r="P41" s="3803"/>
      <c r="Q41" s="716" t="str">
        <f t="shared" si="8"/>
        <v>进深比</v>
      </c>
      <c r="R41" s="717" t="s">
        <v>17</v>
      </c>
      <c r="S41" s="718">
        <f t="shared" si="9"/>
        <v>100</v>
      </c>
      <c r="T41" s="717" t="s">
        <v>17</v>
      </c>
      <c r="U41" s="718">
        <f t="shared" si="10"/>
        <v>100</v>
      </c>
      <c r="V41" s="717" t="s">
        <v>17</v>
      </c>
      <c r="W41" s="718">
        <f t="shared" si="11"/>
        <v>100</v>
      </c>
      <c r="X41" s="719"/>
      <c r="Y41" s="3805"/>
      <c r="Z41" s="720" t="str">
        <f t="shared" si="12"/>
        <v>进深比</v>
      </c>
      <c r="AA41" s="3178">
        <f t="shared" si="3"/>
        <v>1</v>
      </c>
      <c r="AB41" s="3178">
        <f t="shared" si="4"/>
        <v>1</v>
      </c>
      <c r="AC41" s="3178">
        <f t="shared" si="5"/>
        <v>1</v>
      </c>
    </row>
    <row r="42" spans="1:29" ht="15">
      <c r="A42" s="431"/>
      <c r="B42" s="381" t="s">
        <v>2489</v>
      </c>
      <c r="C42" s="2092" t="s">
        <v>3503</v>
      </c>
      <c r="D42" s="394">
        <v>100</v>
      </c>
      <c r="E42" s="2092" t="s">
        <v>3503</v>
      </c>
      <c r="F42" s="420">
        <f>SUMIF(122:122,E42,123:123)-SUMIF(122:122,C42,123:123)+100</f>
        <v>100</v>
      </c>
      <c r="G42" s="2092" t="s">
        <v>3503</v>
      </c>
      <c r="H42" s="394">
        <f>SUMIF(122:122,G42,123:123)-SUMIF(122:122,C42,123:123)+100</f>
        <v>100</v>
      </c>
      <c r="I42" s="2092" t="s">
        <v>3503</v>
      </c>
      <c r="J42" s="394">
        <f>SUMIF(122:122,I42,123:123)-SUMIF(122:122,C42,123:123)+100</f>
        <v>100</v>
      </c>
      <c r="K42" s="569">
        <v>2</v>
      </c>
      <c r="L42" s="2949"/>
      <c r="M42" s="2943"/>
      <c r="N42" s="2943"/>
      <c r="O42" s="2943"/>
      <c r="P42" s="3803"/>
      <c r="Q42" s="3177" t="str">
        <f t="shared" si="8"/>
        <v>内部装修</v>
      </c>
      <c r="R42" s="714" t="s">
        <v>17</v>
      </c>
      <c r="S42" s="715">
        <f t="shared" si="9"/>
        <v>100</v>
      </c>
      <c r="T42" s="714" t="s">
        <v>17</v>
      </c>
      <c r="U42" s="715">
        <f t="shared" si="10"/>
        <v>100</v>
      </c>
      <c r="V42" s="714" t="s">
        <v>17</v>
      </c>
      <c r="W42" s="715">
        <f t="shared" si="11"/>
        <v>100</v>
      </c>
      <c r="X42" s="3174"/>
      <c r="Y42" s="3805"/>
      <c r="Z42" s="3175" t="str">
        <f t="shared" si="12"/>
        <v>内部装修</v>
      </c>
      <c r="AA42" s="3178">
        <f t="shared" si="3"/>
        <v>1</v>
      </c>
      <c r="AB42" s="3178">
        <f t="shared" si="4"/>
        <v>1</v>
      </c>
      <c r="AC42" s="3178">
        <f t="shared" si="5"/>
        <v>1</v>
      </c>
    </row>
    <row r="43" spans="1:29" ht="15">
      <c r="A43" s="431"/>
      <c r="B43" s="381" t="s">
        <v>2397</v>
      </c>
      <c r="C43" s="2092" t="s">
        <v>3094</v>
      </c>
      <c r="D43" s="394">
        <v>100</v>
      </c>
      <c r="E43" s="2092" t="s">
        <v>3094</v>
      </c>
      <c r="F43" s="420">
        <f>SUMIF(124:124,E43,125:125)-SUMIF(124:124,C43,125:125)+100</f>
        <v>100</v>
      </c>
      <c r="G43" s="2092" t="s">
        <v>3094</v>
      </c>
      <c r="H43" s="394">
        <f>SUMIF(124:124,G43,125:125)-SUMIF(124:124,C43,125:125)+100</f>
        <v>100</v>
      </c>
      <c r="I43" s="2092" t="s">
        <v>3094</v>
      </c>
      <c r="J43" s="394">
        <f>SUMIF(124:124,I43,125:125)-SUMIF(124:124,C43,125:125)+100</f>
        <v>100</v>
      </c>
      <c r="K43" s="569">
        <v>2</v>
      </c>
      <c r="L43" s="2949"/>
      <c r="M43" s="2943"/>
      <c r="N43" s="2943"/>
      <c r="O43" s="2943"/>
      <c r="P43" s="3803"/>
      <c r="Q43" s="3177" t="str">
        <f t="shared" si="8"/>
        <v>内部装修维护情况</v>
      </c>
      <c r="R43" s="714" t="s">
        <v>17</v>
      </c>
      <c r="S43" s="715">
        <f t="shared" si="9"/>
        <v>100</v>
      </c>
      <c r="T43" s="714" t="s">
        <v>17</v>
      </c>
      <c r="U43" s="715">
        <f t="shared" si="10"/>
        <v>100</v>
      </c>
      <c r="V43" s="714" t="s">
        <v>17</v>
      </c>
      <c r="W43" s="715">
        <f t="shared" si="11"/>
        <v>100</v>
      </c>
      <c r="X43" s="3174"/>
      <c r="Y43" s="3805"/>
      <c r="Z43" s="3175" t="str">
        <f t="shared" si="12"/>
        <v>内部装修维护情况</v>
      </c>
      <c r="AA43" s="3178">
        <f t="shared" si="3"/>
        <v>1</v>
      </c>
      <c r="AB43" s="3178">
        <f t="shared" si="4"/>
        <v>1</v>
      </c>
      <c r="AC43" s="3178">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4"/>
      <c r="M44" s="2945"/>
      <c r="N44" s="2945"/>
      <c r="O44" s="2945"/>
      <c r="P44" s="3803"/>
      <c r="Q44" s="3173">
        <f t="shared" si="8"/>
        <v>111</v>
      </c>
      <c r="R44" s="710" t="s">
        <v>17</v>
      </c>
      <c r="S44" s="711">
        <f t="shared" si="9"/>
        <v>100</v>
      </c>
      <c r="T44" s="710" t="s">
        <v>17</v>
      </c>
      <c r="U44" s="711">
        <f t="shared" si="10"/>
        <v>100</v>
      </c>
      <c r="V44" s="710" t="s">
        <v>17</v>
      </c>
      <c r="W44" s="711">
        <f t="shared" si="11"/>
        <v>100</v>
      </c>
      <c r="X44" s="712"/>
      <c r="Y44" s="3805"/>
      <c r="Z44" s="3172">
        <f t="shared" si="12"/>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9"/>
      <c r="M45" s="2943"/>
      <c r="N45" s="2943"/>
      <c r="O45" s="2943"/>
      <c r="P45" s="3803"/>
      <c r="Q45" s="3177">
        <f t="shared" si="8"/>
        <v>111</v>
      </c>
      <c r="R45" s="714" t="s">
        <v>17</v>
      </c>
      <c r="S45" s="715">
        <f t="shared" si="9"/>
        <v>100</v>
      </c>
      <c r="T45" s="714" t="s">
        <v>17</v>
      </c>
      <c r="U45" s="715">
        <f t="shared" si="10"/>
        <v>100</v>
      </c>
      <c r="V45" s="714" t="s">
        <v>17</v>
      </c>
      <c r="W45" s="715">
        <f t="shared" si="11"/>
        <v>100</v>
      </c>
      <c r="X45" s="3174"/>
      <c r="Y45" s="3805"/>
      <c r="Z45" s="3175">
        <f t="shared" si="12"/>
        <v>111</v>
      </c>
      <c r="AA45" s="3178">
        <f t="shared" si="3"/>
        <v>1</v>
      </c>
      <c r="AB45" s="3178">
        <f t="shared" si="4"/>
        <v>1</v>
      </c>
      <c r="AC45" s="3178">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9"/>
      <c r="M46" s="2943"/>
      <c r="N46" s="2943"/>
      <c r="O46" s="2943"/>
      <c r="P46" s="3804"/>
      <c r="Q46" s="3177">
        <f t="shared" si="8"/>
        <v>111</v>
      </c>
      <c r="R46" s="714" t="s">
        <v>17</v>
      </c>
      <c r="S46" s="715">
        <f t="shared" si="9"/>
        <v>100</v>
      </c>
      <c r="T46" s="714" t="s">
        <v>17</v>
      </c>
      <c r="U46" s="715">
        <f t="shared" si="10"/>
        <v>100</v>
      </c>
      <c r="V46" s="714" t="s">
        <v>17</v>
      </c>
      <c r="W46" s="715">
        <f t="shared" si="11"/>
        <v>100</v>
      </c>
      <c r="X46" s="3174"/>
      <c r="Y46" s="3806"/>
      <c r="Z46" s="3175">
        <f t="shared" si="12"/>
        <v>111</v>
      </c>
      <c r="AA46" s="3178">
        <f t="shared" si="3"/>
        <v>1</v>
      </c>
      <c r="AB46" s="3178">
        <f t="shared" si="4"/>
        <v>1</v>
      </c>
      <c r="AC46" s="3178">
        <f t="shared" si="5"/>
        <v>1</v>
      </c>
    </row>
    <row r="47" spans="1:29" ht="15">
      <c r="A47" s="438" t="s">
        <v>2398</v>
      </c>
      <c r="B47" s="439"/>
      <c r="C47" s="1316" t="s">
        <v>1</v>
      </c>
      <c r="D47" s="1317"/>
      <c r="E47" s="1318">
        <f>'案例-租金'!O16</f>
        <v>14</v>
      </c>
      <c r="F47" s="1319"/>
      <c r="G47" s="1320">
        <f>'案例-租金'!O17</f>
        <v>16.100000000000001</v>
      </c>
      <c r="H47" s="1321"/>
      <c r="I47" s="1318">
        <f>'案例-租金'!O19</f>
        <v>15.2</v>
      </c>
      <c r="J47" s="1321"/>
      <c r="K47" s="723"/>
      <c r="L47" s="2951"/>
      <c r="M47" s="2952"/>
      <c r="N47" s="2943"/>
      <c r="O47" s="2952"/>
      <c r="P47" s="3798" t="str">
        <f>A47</f>
        <v>成交单价（元/平方米）</v>
      </c>
      <c r="Q47" s="3798"/>
      <c r="R47" s="3793">
        <f>E47</f>
        <v>14</v>
      </c>
      <c r="S47" s="3793"/>
      <c r="T47" s="3793">
        <f>G47</f>
        <v>16.100000000000001</v>
      </c>
      <c r="U47" s="3793"/>
      <c r="V47" s="3793">
        <f>I47</f>
        <v>15.2</v>
      </c>
      <c r="W47" s="3793"/>
      <c r="X47" s="699"/>
      <c r="Y47" s="721"/>
      <c r="Z47" s="699"/>
      <c r="AA47" s="699"/>
      <c r="AB47" s="699"/>
      <c r="AC47" s="699"/>
    </row>
    <row r="48" spans="1:29" ht="15.75" thickBot="1">
      <c r="A48" s="445" t="s">
        <v>2399</v>
      </c>
      <c r="B48" s="446"/>
      <c r="C48" s="1322">
        <f>R49</f>
        <v>14.1</v>
      </c>
      <c r="D48" s="2538" t="s">
        <v>2877</v>
      </c>
      <c r="E48" s="1323">
        <f>R48</f>
        <v>13.3</v>
      </c>
      <c r="F48" s="2539"/>
      <c r="G48" s="1322">
        <f>T48</f>
        <v>15</v>
      </c>
      <c r="H48" s="2539"/>
      <c r="I48" s="1323">
        <f>V48</f>
        <v>13.9</v>
      </c>
      <c r="J48" s="2539"/>
      <c r="K48" s="2541">
        <f>F48+H48+J48</f>
        <v>0</v>
      </c>
      <c r="L48" s="2951"/>
      <c r="M48" s="2952"/>
      <c r="N48" s="2943"/>
      <c r="O48" s="2952"/>
      <c r="P48" s="3798" t="str">
        <f>A48</f>
        <v>比较价值（元/平方米）</v>
      </c>
      <c r="Q48" s="3798"/>
      <c r="R48" s="3799">
        <f>IF(F1="售价",ROUND(PRODUCT(R47,AA7:AA46),0),ROUND(PRODUCT(R47,AA7:AA46),1))</f>
        <v>13.3</v>
      </c>
      <c r="S48" s="3799"/>
      <c r="T48" s="3799">
        <f>IF(F1="售价",ROUND(PRODUCT(T47,AB7:AB46),0),ROUND(PRODUCT(T47,AB7:AB46),1))</f>
        <v>15</v>
      </c>
      <c r="U48" s="3799"/>
      <c r="V48" s="3799">
        <f>IF(F1="售价",ROUND(PRODUCT(V47,AC7:AC46),0),ROUND(PRODUCT(V47,AC7:AC46),1))</f>
        <v>13.9</v>
      </c>
      <c r="W48" s="3799"/>
      <c r="X48" s="699"/>
      <c r="Y48" s="699"/>
      <c r="Z48" s="699"/>
      <c r="AA48" s="699"/>
      <c r="AB48" s="699"/>
      <c r="AC48" s="699"/>
    </row>
    <row r="49" spans="1:29" ht="15.75" thickBot="1">
      <c r="A49" s="449" t="s">
        <v>2400</v>
      </c>
      <c r="B49" s="450"/>
      <c r="C49" s="1325">
        <f>R49</f>
        <v>14.1</v>
      </c>
      <c r="D49" s="1325"/>
      <c r="E49" s="1325"/>
      <c r="F49" s="1325"/>
      <c r="G49" s="1325"/>
      <c r="H49" s="1325"/>
      <c r="I49" s="1325"/>
      <c r="J49" s="1325"/>
      <c r="K49" s="724"/>
      <c r="L49" s="2951"/>
      <c r="M49" s="2952"/>
      <c r="N49" s="2943"/>
      <c r="O49" s="2952"/>
      <c r="P49" s="3795" t="str">
        <f>A49</f>
        <v>估价对象XX用房的比较价值（楼面单价，元/平方米）</v>
      </c>
      <c r="Q49" s="3796"/>
      <c r="R49" s="3797">
        <f>IF(F1="售价",ROUND(IF(D48="简单平均",AVERAGE(R48:V48),R48*F48+T48*H48+V48*J48),0),ROUND(IF(D48="简单平均",AVERAGE(R48:V48),R48*F48+T48*H48+V48*J48),1))</f>
        <v>14.1</v>
      </c>
      <c r="S49" s="3797"/>
      <c r="T49" s="3797"/>
      <c r="U49" s="3797"/>
      <c r="V49" s="3797"/>
      <c r="W49" s="3797"/>
      <c r="X49" s="699"/>
      <c r="Y49" s="699"/>
      <c r="Z49" s="699"/>
      <c r="AA49" s="699"/>
      <c r="AB49" s="699"/>
      <c r="AC49" s="699"/>
    </row>
    <row r="50" spans="1:29">
      <c r="A50" s="2952"/>
      <c r="B50" s="2952"/>
      <c r="C50" s="2952"/>
      <c r="D50" s="2952"/>
      <c r="E50" s="2952"/>
      <c r="F50" s="2952"/>
      <c r="G50" s="2956">
        <v>20.100000000000001</v>
      </c>
      <c r="H50" s="2952"/>
      <c r="I50" s="2952">
        <v>2015</v>
      </c>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4" t="s">
        <v>2401</v>
      </c>
      <c r="D52" s="455"/>
      <c r="E52" s="456">
        <f>IF(E47&lt;E48,E48/E47-1,E47/E48-1)</f>
        <v>5.2631578947368363E-2</v>
      </c>
      <c r="F52" s="457" t="str">
        <f>IF(OR(E52&gt;=0.3,E52&lt;=-0.3),"超过30%","")</f>
        <v/>
      </c>
      <c r="G52" s="456">
        <f>IF(G47&lt;G48,G48/G47-1,G47/G48-1)</f>
        <v>7.3333333333333472E-2</v>
      </c>
      <c r="H52" s="457" t="str">
        <f>IF(OR(G52&gt;=0.3,G52&lt;=-0.3),"超过30%","")</f>
        <v/>
      </c>
      <c r="I52" s="456">
        <f>IF(I47&lt;I48,I48/I47-1,I47/I48-1)</f>
        <v>9.3525179856114971E-2</v>
      </c>
      <c r="J52" s="457" t="str">
        <f>IF(OR(I52&gt;=0.3,I52&lt;=-0.3),"超过30%","")</f>
        <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4" t="s">
        <v>2402</v>
      </c>
      <c r="D53" s="458"/>
      <c r="E53" s="456">
        <f>IF(E48&lt;G48,G48/E48-1,E48/G48-1)</f>
        <v>0.1278195488721805</v>
      </c>
      <c r="F53" s="457" t="str">
        <f>IF(OR(E53&gt;=0.2,E53&lt;=-0.2),"超过20%","")</f>
        <v/>
      </c>
      <c r="G53" s="456">
        <f>IF(G48&lt;I48,I48/G48-1,G48/I48-1)</f>
        <v>7.9136690647481966E-2</v>
      </c>
      <c r="H53" s="457" t="str">
        <f>IF(OR(G53&gt;=0.2,G53&lt;=-0.2),"超过20%","")</f>
        <v/>
      </c>
      <c r="I53" s="456">
        <f>IF(I48&lt;E48,E48/I48-1,I48/E48-1)</f>
        <v>4.5112781954887105E-2</v>
      </c>
      <c r="J53" s="457" t="str">
        <f>IF(OR(I53&gt;=0.2,I53&lt;=-0.2),"超过20%","")</f>
        <v/>
      </c>
      <c r="K53" s="2957"/>
      <c r="L53" s="2953"/>
      <c r="M53" s="2952"/>
      <c r="N53" s="2952"/>
      <c r="O53" s="2952"/>
      <c r="P53" s="2963"/>
      <c r="Q53" s="2952"/>
      <c r="R53" s="2952"/>
      <c r="S53" s="2952"/>
      <c r="T53" s="2952"/>
      <c r="U53" s="2952"/>
      <c r="V53" s="2952"/>
      <c r="W53" s="2952"/>
      <c r="X53" s="2952"/>
      <c r="Y53" s="2952"/>
      <c r="Z53" s="2952"/>
      <c r="AA53" s="2952"/>
      <c r="AB53" s="2952"/>
      <c r="AC53" s="2952"/>
    </row>
    <row r="54" spans="1:29" s="459" customFormat="1" ht="13.5" customHeight="1">
      <c r="A54" s="2955"/>
      <c r="B54" s="2955"/>
      <c r="C54" s="454" t="s">
        <v>2403</v>
      </c>
      <c r="D54" s="458"/>
      <c r="E54" s="456">
        <f>IF(E47&lt;G47,G47/E47-1,E47/G47-1)</f>
        <v>0.15000000000000013</v>
      </c>
      <c r="F54" s="457" t="str">
        <f>IF(OR(E54&gt;=0.3,E54&lt;=-0.3),"超过30%","")</f>
        <v/>
      </c>
      <c r="G54" s="456">
        <f>IF(G47&lt;I47,I47/G47-1,G47/I47-1)</f>
        <v>5.9210526315789602E-2</v>
      </c>
      <c r="H54" s="457" t="str">
        <f>IF(OR(G54&gt;=0.3,G54&lt;=-0.3),"超过30%","")</f>
        <v/>
      </c>
      <c r="I54" s="456">
        <f>IF(I47&lt;E47,E47/I47-1,I47/E47-1)</f>
        <v>8.5714285714285632E-2</v>
      </c>
      <c r="J54" s="457" t="str">
        <f>IF(OR(I54&gt;=0.3,I54&lt;=-0.3),"超过30%","")</f>
        <v/>
      </c>
      <c r="K54" s="2960"/>
      <c r="L54" s="2954"/>
      <c r="M54" s="2955"/>
      <c r="N54" s="2955"/>
      <c r="O54" s="2955"/>
      <c r="P54" s="2964"/>
      <c r="Q54" s="2955"/>
      <c r="R54" s="2955"/>
      <c r="S54" s="2955"/>
      <c r="T54" s="2955"/>
      <c r="U54" s="2955"/>
      <c r="V54" s="2955"/>
      <c r="W54" s="2955"/>
      <c r="X54" s="2955"/>
      <c r="Y54" s="2955"/>
      <c r="Z54" s="2955"/>
      <c r="AA54" s="2955"/>
      <c r="AB54" s="2955"/>
      <c r="AC54" s="2955"/>
    </row>
    <row r="55" spans="1:29" s="459"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1.75" thickBot="1">
      <c r="A57" s="703" t="s">
        <v>2404</v>
      </c>
      <c r="B57" s="699"/>
      <c r="C57" s="704"/>
      <c r="D57" s="704"/>
      <c r="E57" s="704"/>
      <c r="F57" s="705"/>
      <c r="G57" s="705"/>
      <c r="H57" s="704"/>
      <c r="I57" s="704"/>
      <c r="J57" s="704"/>
      <c r="K57" s="706"/>
      <c r="L57" s="1073"/>
      <c r="M57" s="1071"/>
      <c r="N57" s="1071"/>
      <c r="O57" s="1071"/>
      <c r="P57" s="2965"/>
      <c r="Q57" s="2966"/>
      <c r="R57" s="2952"/>
      <c r="S57" s="2952"/>
      <c r="T57" s="2952"/>
      <c r="U57" s="2952"/>
      <c r="V57" s="2952"/>
      <c r="W57" s="2952"/>
      <c r="X57" s="2952"/>
      <c r="Y57" s="2952"/>
      <c r="Z57" s="2952"/>
      <c r="AA57" s="2952"/>
      <c r="AB57" s="2952"/>
      <c r="AC57" s="2952"/>
    </row>
    <row r="58" spans="1:29" s="465" customFormat="1" ht="15">
      <c r="A58" s="462" t="s">
        <v>2369</v>
      </c>
      <c r="B58" s="463"/>
      <c r="C58" s="1346" t="str">
        <f>YEAR(C7)&amp;"-"&amp;MONTH(C7)</f>
        <v>2017-6</v>
      </c>
      <c r="D58" s="1347">
        <f>EDATE(C58,-1)</f>
        <v>42856</v>
      </c>
      <c r="E58" s="1347">
        <f t="shared" ref="E58:N58" si="13">EDATE(D58,-1)</f>
        <v>42826</v>
      </c>
      <c r="F58" s="1347">
        <f t="shared" si="13"/>
        <v>42795</v>
      </c>
      <c r="G58" s="1347">
        <f t="shared" si="13"/>
        <v>42767</v>
      </c>
      <c r="H58" s="1347">
        <f t="shared" si="13"/>
        <v>42736</v>
      </c>
      <c r="I58" s="1347">
        <f t="shared" si="13"/>
        <v>42705</v>
      </c>
      <c r="J58" s="1347">
        <f t="shared" si="13"/>
        <v>42675</v>
      </c>
      <c r="K58" s="1347">
        <f t="shared" si="13"/>
        <v>42644</v>
      </c>
      <c r="L58" s="1347">
        <f t="shared" si="13"/>
        <v>42614</v>
      </c>
      <c r="M58" s="1347">
        <f t="shared" si="13"/>
        <v>42583</v>
      </c>
      <c r="N58" s="1347">
        <f t="shared" si="13"/>
        <v>42552</v>
      </c>
      <c r="O58" s="1347">
        <f>EDATE(N58,-1)</f>
        <v>42522</v>
      </c>
      <c r="P58" s="2967"/>
      <c r="Q58" s="2968"/>
      <c r="R58" s="2968"/>
      <c r="S58" s="2968"/>
      <c r="T58" s="2968"/>
      <c r="U58" s="2968"/>
      <c r="V58" s="2968"/>
      <c r="W58" s="2968"/>
      <c r="X58" s="2968"/>
      <c r="Y58" s="2968"/>
      <c r="Z58" s="2968"/>
      <c r="AA58" s="2968"/>
      <c r="AB58" s="2968"/>
      <c r="AC58" s="2968"/>
    </row>
    <row r="59" spans="1:29" s="113" customFormat="1" ht="15">
      <c r="A59" s="466"/>
      <c r="B59" s="467"/>
      <c r="C59" s="1345">
        <v>100</v>
      </c>
      <c r="D59" s="469">
        <v>100</v>
      </c>
      <c r="E59" s="469">
        <v>100</v>
      </c>
      <c r="F59" s="469">
        <v>99.8</v>
      </c>
      <c r="G59" s="469">
        <v>99.8</v>
      </c>
      <c r="H59" s="469">
        <v>99.8</v>
      </c>
      <c r="I59" s="469">
        <v>99.6</v>
      </c>
      <c r="J59" s="469">
        <v>99.6</v>
      </c>
      <c r="K59" s="469">
        <v>99.6</v>
      </c>
      <c r="L59" s="469">
        <v>99.4</v>
      </c>
      <c r="M59" s="470"/>
      <c r="N59" s="469"/>
      <c r="O59" s="470"/>
      <c r="P59" s="2969"/>
      <c r="Q59" s="2886"/>
      <c r="R59" s="2886"/>
      <c r="S59" s="2886"/>
      <c r="T59" s="2886"/>
      <c r="U59" s="2886"/>
      <c r="V59" s="2886"/>
      <c r="W59" s="2886"/>
      <c r="X59" s="2886"/>
      <c r="Y59" s="2886"/>
      <c r="Z59" s="2886"/>
      <c r="AA59" s="2886"/>
      <c r="AB59" s="2886"/>
      <c r="AC59" s="2886"/>
    </row>
    <row r="60" spans="1:29" s="113" customFormat="1" ht="15.75" thickBot="1">
      <c r="A60" s="472" t="s">
        <v>2406</v>
      </c>
      <c r="B60" s="473"/>
      <c r="C60" s="474"/>
      <c r="D60" s="475"/>
      <c r="E60" s="475"/>
      <c r="F60" s="475"/>
      <c r="G60" s="475"/>
      <c r="H60" s="475"/>
      <c r="I60" s="475"/>
      <c r="J60" s="475"/>
      <c r="K60" s="475"/>
      <c r="L60" s="475"/>
      <c r="M60" s="476"/>
      <c r="N60" s="475"/>
      <c r="O60" s="476"/>
      <c r="P60" s="2969"/>
      <c r="Q60" s="2966"/>
      <c r="R60" s="2886"/>
      <c r="S60" s="2886"/>
      <c r="T60" s="2886"/>
      <c r="U60" s="2886"/>
      <c r="V60" s="2886"/>
      <c r="W60" s="2886"/>
      <c r="X60" s="2886"/>
      <c r="Y60" s="2886"/>
      <c r="Z60" s="2886"/>
      <c r="AA60" s="2886"/>
      <c r="AB60" s="2886"/>
      <c r="AC60" s="2886"/>
    </row>
    <row r="61" spans="1:29" s="113" customFormat="1" ht="15">
      <c r="A61" s="478" t="s">
        <v>2371</v>
      </c>
      <c r="B61" s="467"/>
      <c r="C61" s="479" t="s">
        <v>2408</v>
      </c>
      <c r="D61" s="480"/>
      <c r="E61" s="480"/>
      <c r="F61" s="480"/>
      <c r="G61" s="480"/>
      <c r="H61" s="480"/>
      <c r="I61" s="480"/>
      <c r="J61" s="480"/>
      <c r="K61" s="480"/>
      <c r="L61" s="481"/>
      <c r="M61" s="482"/>
      <c r="N61" s="2979"/>
      <c r="O61" s="2979"/>
      <c r="P61" s="2970"/>
      <c r="Q61" s="2966"/>
      <c r="R61" s="2886"/>
      <c r="S61" s="2886"/>
      <c r="T61" s="2886"/>
      <c r="U61" s="2886"/>
      <c r="V61" s="2886"/>
      <c r="W61" s="2886"/>
      <c r="X61" s="2886"/>
      <c r="Y61" s="2886"/>
      <c r="Z61" s="2886"/>
      <c r="AA61" s="2886"/>
      <c r="AB61" s="2886"/>
      <c r="AC61" s="2886"/>
    </row>
    <row r="62" spans="1:29" s="113" customFormat="1" ht="15.75" thickBot="1">
      <c r="A62" s="478"/>
      <c r="B62" s="467"/>
      <c r="C62" s="468">
        <v>100</v>
      </c>
      <c r="D62" s="469"/>
      <c r="E62" s="469"/>
      <c r="F62" s="469"/>
      <c r="G62" s="469"/>
      <c r="H62" s="469"/>
      <c r="I62" s="469"/>
      <c r="J62" s="469"/>
      <c r="K62" s="469"/>
      <c r="L62" s="469"/>
      <c r="M62" s="471"/>
      <c r="N62" s="2979"/>
      <c r="O62" s="2979"/>
      <c r="P62" s="2969"/>
      <c r="Q62" s="2966"/>
      <c r="R62" s="2886"/>
      <c r="S62" s="2886"/>
      <c r="T62" s="2886"/>
      <c r="U62" s="2886"/>
      <c r="V62" s="2886"/>
      <c r="W62" s="2886"/>
      <c r="X62" s="2886"/>
      <c r="Y62" s="2886"/>
      <c r="Z62" s="2886"/>
      <c r="AA62" s="2886"/>
      <c r="AB62" s="2886"/>
      <c r="AC62" s="2886"/>
    </row>
    <row r="63" spans="1:29">
      <c r="A63" s="484" t="s">
        <v>2409</v>
      </c>
      <c r="B63" s="485" t="s">
        <v>2375</v>
      </c>
      <c r="C63" s="486" t="str">
        <f>C9</f>
        <v>商业</v>
      </c>
      <c r="D63" s="487"/>
      <c r="E63" s="487"/>
      <c r="F63" s="487"/>
      <c r="G63" s="487"/>
      <c r="H63" s="487"/>
      <c r="I63" s="487"/>
      <c r="J63" s="487"/>
      <c r="K63" s="488"/>
      <c r="L63" s="489"/>
      <c r="M63" s="490"/>
      <c r="N63" s="2980"/>
      <c r="O63" s="2980"/>
      <c r="P63" s="2971"/>
      <c r="Q63" s="2966"/>
      <c r="R63" s="2952"/>
      <c r="S63" s="2952"/>
      <c r="T63" s="2952"/>
      <c r="U63" s="2952"/>
      <c r="V63" s="2952"/>
      <c r="W63" s="2952"/>
      <c r="X63" s="2952"/>
      <c r="Y63" s="2952"/>
      <c r="Z63" s="2952"/>
      <c r="AA63" s="2952"/>
      <c r="AB63" s="2952"/>
      <c r="AC63" s="2952"/>
    </row>
    <row r="64" spans="1:29" ht="15.75" thickBot="1">
      <c r="A64" s="491"/>
      <c r="B64" s="492"/>
      <c r="C64" s="493">
        <v>100</v>
      </c>
      <c r="D64" s="493"/>
      <c r="E64" s="493"/>
      <c r="F64" s="493"/>
      <c r="G64" s="493"/>
      <c r="H64" s="493"/>
      <c r="I64" s="493"/>
      <c r="J64" s="493"/>
      <c r="K64" s="493"/>
      <c r="L64" s="493"/>
      <c r="M64" s="494"/>
      <c r="N64" s="2981"/>
      <c r="O64" s="2981"/>
      <c r="P64" s="2971"/>
      <c r="Q64" s="2966"/>
      <c r="R64" s="2952"/>
      <c r="S64" s="2952"/>
      <c r="T64" s="2952"/>
      <c r="U64" s="2952"/>
      <c r="V64" s="2952"/>
      <c r="W64" s="2952"/>
      <c r="X64" s="2952"/>
      <c r="Y64" s="2952"/>
      <c r="Z64" s="2952"/>
      <c r="AA64" s="2952"/>
      <c r="AB64" s="2952"/>
      <c r="AC64" s="2952"/>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0"/>
      <c r="O65" s="2980"/>
      <c r="P65" s="2971"/>
      <c r="Q65" s="2966"/>
      <c r="R65" s="2952"/>
      <c r="S65" s="2952"/>
      <c r="T65" s="2952"/>
      <c r="U65" s="2952"/>
      <c r="V65" s="2952"/>
      <c r="W65" s="2952"/>
      <c r="X65" s="2952"/>
      <c r="Y65" s="2952"/>
      <c r="Z65" s="2952"/>
      <c r="AA65" s="2952"/>
      <c r="AB65" s="2952"/>
      <c r="AC65" s="2952"/>
    </row>
    <row r="66" spans="1:29" ht="15.75" thickBot="1">
      <c r="A66" s="491"/>
      <c r="B66" s="500"/>
      <c r="C66" s="501" t="s">
        <v>24</v>
      </c>
      <c r="D66" s="501" t="s">
        <v>24</v>
      </c>
      <c r="E66" s="501" t="s">
        <v>24</v>
      </c>
      <c r="F66" s="501">
        <v>100</v>
      </c>
      <c r="G66" s="501">
        <f>F66-$K10</f>
        <v>100</v>
      </c>
      <c r="H66" s="501">
        <f>G66-$K10</f>
        <v>100</v>
      </c>
      <c r="I66" s="501">
        <f>H66-$K10</f>
        <v>100</v>
      </c>
      <c r="J66" s="501"/>
      <c r="K66" s="501"/>
      <c r="L66" s="501"/>
      <c r="M66" s="502"/>
      <c r="N66" s="2981"/>
      <c r="O66" s="2981"/>
      <c r="P66" s="2971"/>
      <c r="Q66" s="2966"/>
      <c r="R66" s="2952"/>
      <c r="S66" s="2952"/>
      <c r="T66" s="2952"/>
      <c r="U66" s="2952"/>
      <c r="V66" s="2952"/>
      <c r="W66" s="2952"/>
      <c r="X66" s="2952"/>
      <c r="Y66" s="2952"/>
      <c r="Z66" s="2952"/>
      <c r="AA66" s="2952"/>
      <c r="AB66" s="2952"/>
      <c r="AC66" s="2952"/>
    </row>
    <row r="67" spans="1:29" ht="15.75" thickTop="1">
      <c r="A67" s="491"/>
      <c r="B67" s="503" t="s">
        <v>2379</v>
      </c>
      <c r="C67" s="504" t="str">
        <f>C68&amp;"（含）"&amp;"-"&amp;D68</f>
        <v>0（含）-1</v>
      </c>
      <c r="D67" s="504" t="str">
        <f t="shared" ref="D67:L67" si="14">D68&amp;"（含）"&amp;"-"&amp;E68</f>
        <v>1（含）-2</v>
      </c>
      <c r="E67" s="504" t="str">
        <f t="shared" si="14"/>
        <v>2（含）-3</v>
      </c>
      <c r="F67" s="504" t="str">
        <f t="shared" si="14"/>
        <v>3（含）-</v>
      </c>
      <c r="G67" s="504" t="str">
        <f t="shared" si="14"/>
        <v>（含）-</v>
      </c>
      <c r="H67" s="504" t="str">
        <f t="shared" si="14"/>
        <v>（含）-</v>
      </c>
      <c r="I67" s="504" t="str">
        <f t="shared" si="14"/>
        <v>（含）-</v>
      </c>
      <c r="J67" s="504" t="str">
        <f t="shared" si="14"/>
        <v>（含）-</v>
      </c>
      <c r="K67" s="504" t="str">
        <f t="shared" si="14"/>
        <v>（含）-</v>
      </c>
      <c r="L67" s="504" t="str">
        <f t="shared" si="14"/>
        <v>（含）-</v>
      </c>
      <c r="M67" s="407" t="str">
        <f>M68&amp;"（含）"&amp;"-"&amp;P68</f>
        <v>（含）-</v>
      </c>
      <c r="N67" s="2981"/>
      <c r="O67" s="2981"/>
      <c r="P67" s="2971"/>
      <c r="Q67" s="2966"/>
      <c r="R67" s="2952"/>
      <c r="S67" s="2952"/>
      <c r="T67" s="2952"/>
      <c r="U67" s="2952"/>
      <c r="V67" s="2952"/>
      <c r="W67" s="2952"/>
      <c r="X67" s="2952"/>
      <c r="Y67" s="2952"/>
      <c r="Z67" s="2952"/>
      <c r="AA67" s="2952"/>
      <c r="AB67" s="2952"/>
      <c r="AC67" s="2952"/>
    </row>
    <row r="68" spans="1:29" ht="15">
      <c r="A68" s="491"/>
      <c r="B68" s="505"/>
      <c r="C68" s="506">
        <v>0</v>
      </c>
      <c r="D68" s="506">
        <v>1</v>
      </c>
      <c r="E68" s="506">
        <v>2</v>
      </c>
      <c r="F68" s="506">
        <v>3</v>
      </c>
      <c r="G68" s="506"/>
      <c r="H68" s="506"/>
      <c r="I68" s="506"/>
      <c r="J68" s="506"/>
      <c r="K68" s="507"/>
      <c r="L68" s="508"/>
      <c r="M68" s="509"/>
      <c r="N68" s="2980"/>
      <c r="O68" s="2980"/>
      <c r="P68" s="2971"/>
      <c r="Q68" s="2966"/>
      <c r="R68" s="2952"/>
      <c r="S68" s="2952"/>
      <c r="T68" s="2952"/>
      <c r="U68" s="2952"/>
      <c r="V68" s="2952"/>
      <c r="W68" s="2952"/>
      <c r="X68" s="2952"/>
      <c r="Y68" s="2952"/>
      <c r="Z68" s="2952"/>
      <c r="AA68" s="2952"/>
      <c r="AB68" s="2952"/>
      <c r="AC68" s="2952"/>
    </row>
    <row r="69" spans="1:29" ht="15.75" thickBot="1">
      <c r="A69" s="491"/>
      <c r="B69" s="492"/>
      <c r="C69" s="501">
        <v>100</v>
      </c>
      <c r="D69" s="501">
        <f t="shared" ref="D69:M69" si="15">C69-$K11</f>
        <v>100</v>
      </c>
      <c r="E69" s="501">
        <f t="shared" si="15"/>
        <v>100</v>
      </c>
      <c r="F69" s="501">
        <f t="shared" si="15"/>
        <v>100</v>
      </c>
      <c r="G69" s="501">
        <f t="shared" si="15"/>
        <v>100</v>
      </c>
      <c r="H69" s="501">
        <f t="shared" si="15"/>
        <v>100</v>
      </c>
      <c r="I69" s="501">
        <f t="shared" si="15"/>
        <v>100</v>
      </c>
      <c r="J69" s="501">
        <f t="shared" si="15"/>
        <v>100</v>
      </c>
      <c r="K69" s="501">
        <f t="shared" si="15"/>
        <v>100</v>
      </c>
      <c r="L69" s="501">
        <f t="shared" si="15"/>
        <v>100</v>
      </c>
      <c r="M69" s="502">
        <f t="shared" si="15"/>
        <v>100</v>
      </c>
      <c r="N69" s="2981"/>
      <c r="O69" s="2981"/>
      <c r="P69" s="2971"/>
      <c r="Q69" s="2966"/>
      <c r="R69" s="2952"/>
      <c r="S69" s="2952"/>
      <c r="T69" s="2952"/>
      <c r="U69" s="2952"/>
      <c r="V69" s="2952"/>
      <c r="W69" s="2952"/>
      <c r="X69" s="2952"/>
      <c r="Y69" s="2952"/>
      <c r="Z69" s="2952"/>
      <c r="AA69" s="2952"/>
      <c r="AB69" s="2952"/>
      <c r="AC69" s="2952"/>
    </row>
    <row r="70" spans="1:29" s="430" customFormat="1" ht="15.75" thickTop="1">
      <c r="A70" s="510"/>
      <c r="B70" s="495">
        <f>B12</f>
        <v>111</v>
      </c>
      <c r="C70" s="511"/>
      <c r="D70" s="511"/>
      <c r="E70" s="511"/>
      <c r="F70" s="511"/>
      <c r="G70" s="511"/>
      <c r="H70" s="512"/>
      <c r="I70" s="512"/>
      <c r="J70" s="512"/>
      <c r="K70" s="512"/>
      <c r="L70" s="513"/>
      <c r="M70" s="514"/>
      <c r="N70" s="2982"/>
      <c r="O70" s="2982"/>
      <c r="P70" s="2972"/>
      <c r="Q70" s="2973"/>
      <c r="R70" s="2974"/>
      <c r="S70" s="2974"/>
      <c r="T70" s="2974"/>
      <c r="U70" s="2974"/>
      <c r="V70" s="2974"/>
      <c r="W70" s="2974"/>
      <c r="X70" s="2974"/>
      <c r="Y70" s="2974"/>
      <c r="Z70" s="2974"/>
      <c r="AA70" s="2974"/>
      <c r="AB70" s="2974"/>
      <c r="AC70" s="2974"/>
    </row>
    <row r="71" spans="1:29" s="430" customFormat="1" ht="15.75" thickBot="1">
      <c r="A71" s="510"/>
      <c r="B71" s="500"/>
      <c r="C71" s="517"/>
      <c r="D71" s="493"/>
      <c r="E71" s="493"/>
      <c r="F71" s="493"/>
      <c r="G71" s="493"/>
      <c r="H71" s="493"/>
      <c r="I71" s="493"/>
      <c r="J71" s="493"/>
      <c r="K71" s="493"/>
      <c r="L71" s="493"/>
      <c r="M71" s="494"/>
      <c r="N71" s="2981"/>
      <c r="O71" s="2981"/>
      <c r="P71" s="2972"/>
      <c r="Q71" s="2973"/>
      <c r="R71" s="2974"/>
      <c r="S71" s="2974"/>
      <c r="T71" s="2974"/>
      <c r="U71" s="2974"/>
      <c r="V71" s="2974"/>
      <c r="W71" s="2974"/>
      <c r="X71" s="2974"/>
      <c r="Y71" s="2974"/>
      <c r="Z71" s="2974"/>
      <c r="AA71" s="2974"/>
      <c r="AB71" s="2974"/>
      <c r="AC71" s="2974"/>
    </row>
    <row r="72" spans="1:29" s="430" customFormat="1" ht="15.75" thickTop="1">
      <c r="A72" s="510"/>
      <c r="B72" s="495">
        <f>B13</f>
        <v>111</v>
      </c>
      <c r="C72" s="511"/>
      <c r="D72" s="511"/>
      <c r="E72" s="511"/>
      <c r="F72" s="511"/>
      <c r="G72" s="511"/>
      <c r="H72" s="512"/>
      <c r="I72" s="512"/>
      <c r="J72" s="512"/>
      <c r="K72" s="512"/>
      <c r="L72" s="513"/>
      <c r="M72" s="514"/>
      <c r="N72" s="2982"/>
      <c r="O72" s="2982"/>
      <c r="P72" s="2975"/>
      <c r="Q72" s="2976"/>
      <c r="R72" s="2974"/>
      <c r="S72" s="2974"/>
      <c r="T72" s="2974"/>
      <c r="U72" s="2974"/>
      <c r="V72" s="2974"/>
      <c r="W72" s="2974"/>
      <c r="X72" s="2974"/>
      <c r="Y72" s="2974"/>
      <c r="Z72" s="2974"/>
      <c r="AA72" s="2974"/>
      <c r="AB72" s="2974"/>
      <c r="AC72" s="2974"/>
    </row>
    <row r="73" spans="1:29" s="430" customFormat="1" ht="15.75" thickBot="1">
      <c r="A73" s="510"/>
      <c r="B73" s="500"/>
      <c r="C73" s="517"/>
      <c r="D73" s="493"/>
      <c r="E73" s="493"/>
      <c r="F73" s="493"/>
      <c r="G73" s="517"/>
      <c r="H73" s="519"/>
      <c r="I73" s="519"/>
      <c r="J73" s="519"/>
      <c r="K73" s="519"/>
      <c r="L73" s="519"/>
      <c r="M73" s="520"/>
      <c r="N73" s="2982"/>
      <c r="O73" s="2982"/>
      <c r="P73" s="2972"/>
      <c r="Q73" s="2973"/>
      <c r="R73" s="2974"/>
      <c r="S73" s="2974"/>
      <c r="T73" s="2974"/>
      <c r="U73" s="2974"/>
      <c r="V73" s="2974"/>
      <c r="W73" s="2974"/>
      <c r="X73" s="2974"/>
      <c r="Y73" s="2974"/>
      <c r="Z73" s="2974"/>
      <c r="AA73" s="2974"/>
      <c r="AB73" s="2974"/>
      <c r="AC73" s="2974"/>
    </row>
    <row r="74" spans="1:29" s="430" customFormat="1" ht="15.75" thickTop="1">
      <c r="A74" s="510"/>
      <c r="B74" s="503">
        <f>B14</f>
        <v>111</v>
      </c>
      <c r="C74" s="511"/>
      <c r="D74" s="511"/>
      <c r="E74" s="511"/>
      <c r="F74" s="511"/>
      <c r="G74" s="480"/>
      <c r="H74" s="521"/>
      <c r="I74" s="521"/>
      <c r="J74" s="521"/>
      <c r="K74" s="521"/>
      <c r="L74" s="522"/>
      <c r="M74" s="523"/>
      <c r="N74" s="2982"/>
      <c r="O74" s="2982"/>
      <c r="P74" s="2977"/>
      <c r="Q74" s="2973"/>
      <c r="R74" s="2974"/>
      <c r="S74" s="2974"/>
      <c r="T74" s="2974"/>
      <c r="U74" s="2974"/>
      <c r="V74" s="2974"/>
      <c r="W74" s="2974"/>
      <c r="X74" s="2974"/>
      <c r="Y74" s="2974"/>
      <c r="Z74" s="2974"/>
      <c r="AA74" s="2974"/>
      <c r="AB74" s="2974"/>
      <c r="AC74" s="2974"/>
    </row>
    <row r="75" spans="1:29" s="430" customFormat="1" ht="15.75" thickBot="1">
      <c r="A75" s="525"/>
      <c r="B75" s="526"/>
      <c r="C75" s="527"/>
      <c r="D75" s="527"/>
      <c r="E75" s="527"/>
      <c r="F75" s="527"/>
      <c r="G75" s="527"/>
      <c r="H75" s="528"/>
      <c r="I75" s="528"/>
      <c r="J75" s="528"/>
      <c r="K75" s="528"/>
      <c r="L75" s="528"/>
      <c r="M75" s="529"/>
      <c r="N75" s="2982"/>
      <c r="O75" s="2982"/>
      <c r="P75" s="2972"/>
      <c r="Q75" s="2973"/>
      <c r="R75" s="2974"/>
      <c r="S75" s="2974"/>
      <c r="T75" s="2974"/>
      <c r="U75" s="2974"/>
      <c r="V75" s="2974"/>
      <c r="W75" s="2974"/>
      <c r="X75" s="2974"/>
      <c r="Y75" s="2974"/>
      <c r="Z75" s="2974"/>
      <c r="AA75" s="2974"/>
      <c r="AB75" s="2974"/>
      <c r="AC75" s="2974"/>
    </row>
    <row r="76" spans="1:29">
      <c r="A76" s="484" t="s">
        <v>2380</v>
      </c>
      <c r="B76" s="485" t="s">
        <v>2417</v>
      </c>
      <c r="C76" s="530" t="s">
        <v>2418</v>
      </c>
      <c r="D76" s="530" t="s">
        <v>2419</v>
      </c>
      <c r="E76" s="530" t="s">
        <v>2420</v>
      </c>
      <c r="F76" s="530" t="s">
        <v>2421</v>
      </c>
      <c r="G76" s="530" t="s">
        <v>2422</v>
      </c>
      <c r="H76" s="486"/>
      <c r="I76" s="486"/>
      <c r="J76" s="486"/>
      <c r="K76" s="531"/>
      <c r="L76" s="532"/>
      <c r="M76" s="533"/>
      <c r="N76" s="2980"/>
      <c r="O76" s="2980"/>
      <c r="P76" s="2978"/>
      <c r="Q76" s="2966"/>
      <c r="R76" s="2952"/>
      <c r="S76" s="2952"/>
      <c r="T76" s="2952"/>
      <c r="U76" s="2952"/>
      <c r="V76" s="2952"/>
      <c r="W76" s="2952"/>
      <c r="X76" s="2952"/>
      <c r="Y76" s="2952"/>
      <c r="Z76" s="2952"/>
      <c r="AA76" s="2952"/>
      <c r="AB76" s="2952"/>
      <c r="AC76" s="2952"/>
    </row>
    <row r="77" spans="1:29" ht="15.75" thickBot="1">
      <c r="A77" s="491"/>
      <c r="B77" s="500"/>
      <c r="C77" s="501">
        <v>100</v>
      </c>
      <c r="D77" s="501">
        <f>C77-$K15</f>
        <v>97</v>
      </c>
      <c r="E77" s="501">
        <f>D77-$K15</f>
        <v>94</v>
      </c>
      <c r="F77" s="501">
        <f>E77-$K15</f>
        <v>91</v>
      </c>
      <c r="G77" s="501">
        <f>F77-$K15</f>
        <v>88</v>
      </c>
      <c r="H77" s="501"/>
      <c r="I77" s="501"/>
      <c r="J77" s="501"/>
      <c r="K77" s="501"/>
      <c r="L77" s="501"/>
      <c r="M77" s="502"/>
      <c r="N77" s="2981"/>
      <c r="O77" s="2981"/>
      <c r="P77" s="2971"/>
      <c r="Q77" s="2966"/>
      <c r="R77" s="2952"/>
      <c r="S77" s="2952"/>
      <c r="T77" s="2952"/>
      <c r="U77" s="2952"/>
      <c r="V77" s="2952"/>
      <c r="W77" s="2952"/>
      <c r="X77" s="2952"/>
      <c r="Y77" s="2952"/>
      <c r="Z77" s="2952"/>
      <c r="AA77" s="2952"/>
      <c r="AB77" s="2952"/>
      <c r="AC77" s="2952"/>
    </row>
    <row r="78" spans="1:29" ht="15.75" thickTop="1">
      <c r="A78" s="491"/>
      <c r="B78" s="495" t="s">
        <v>2423</v>
      </c>
      <c r="C78" s="535" t="s">
        <v>2418</v>
      </c>
      <c r="D78" s="535" t="s">
        <v>2419</v>
      </c>
      <c r="E78" s="535" t="s">
        <v>2420</v>
      </c>
      <c r="F78" s="535" t="s">
        <v>2421</v>
      </c>
      <c r="G78" s="535" t="s">
        <v>2422</v>
      </c>
      <c r="H78" s="496"/>
      <c r="I78" s="496"/>
      <c r="J78" s="496"/>
      <c r="K78" s="497"/>
      <c r="L78" s="498"/>
      <c r="M78" s="499"/>
      <c r="N78" s="2980"/>
      <c r="O78" s="2980"/>
      <c r="P78" s="2971"/>
      <c r="Q78" s="2966"/>
      <c r="R78" s="2952"/>
      <c r="S78" s="2952"/>
      <c r="T78" s="2952"/>
      <c r="U78" s="2952"/>
      <c r="V78" s="2952"/>
      <c r="W78" s="2952"/>
      <c r="X78" s="2952"/>
      <c r="Y78" s="2952"/>
      <c r="Z78" s="2952"/>
      <c r="AA78" s="2952"/>
      <c r="AB78" s="2952"/>
      <c r="AC78" s="2952"/>
    </row>
    <row r="79" spans="1:29" ht="15.75" thickBot="1">
      <c r="A79" s="491"/>
      <c r="B79" s="500"/>
      <c r="C79" s="501">
        <v>100</v>
      </c>
      <c r="D79" s="501">
        <f>C79-$K17</f>
        <v>97</v>
      </c>
      <c r="E79" s="501">
        <f>D79-$K17</f>
        <v>94</v>
      </c>
      <c r="F79" s="501">
        <f>E79-$K17</f>
        <v>91</v>
      </c>
      <c r="G79" s="501">
        <f>F79-$K17</f>
        <v>88</v>
      </c>
      <c r="H79" s="501"/>
      <c r="I79" s="501"/>
      <c r="J79" s="501"/>
      <c r="K79" s="501"/>
      <c r="L79" s="501"/>
      <c r="M79" s="502"/>
      <c r="N79" s="2981"/>
      <c r="O79" s="2981"/>
      <c r="P79" s="2971"/>
      <c r="Q79" s="2966"/>
      <c r="R79" s="2952"/>
      <c r="S79" s="2952"/>
      <c r="T79" s="2952"/>
      <c r="U79" s="2952"/>
      <c r="V79" s="2952"/>
      <c r="W79" s="2952"/>
      <c r="X79" s="2952"/>
      <c r="Y79" s="2952"/>
      <c r="Z79" s="2952"/>
      <c r="AA79" s="2952"/>
      <c r="AB79" s="2952"/>
      <c r="AC79" s="2952"/>
    </row>
    <row r="80" spans="1:29" ht="15.75" thickTop="1">
      <c r="A80" s="491"/>
      <c r="B80" s="495" t="s">
        <v>2424</v>
      </c>
      <c r="C80" s="535" t="s">
        <v>2418</v>
      </c>
      <c r="D80" s="535" t="s">
        <v>2419</v>
      </c>
      <c r="E80" s="535" t="s">
        <v>2420</v>
      </c>
      <c r="F80" s="535" t="s">
        <v>2421</v>
      </c>
      <c r="G80" s="535" t="s">
        <v>2422</v>
      </c>
      <c r="H80" s="496"/>
      <c r="I80" s="496"/>
      <c r="J80" s="496"/>
      <c r="K80" s="497"/>
      <c r="L80" s="498"/>
      <c r="M80" s="499"/>
      <c r="N80" s="2980"/>
      <c r="O80" s="2980"/>
      <c r="P80" s="2971"/>
      <c r="Q80" s="2966"/>
      <c r="R80" s="2952"/>
      <c r="S80" s="2952"/>
      <c r="T80" s="2952"/>
      <c r="U80" s="2952"/>
      <c r="V80" s="2952"/>
      <c r="W80" s="2952"/>
      <c r="X80" s="2952"/>
      <c r="Y80" s="2952"/>
      <c r="Z80" s="2952"/>
      <c r="AA80" s="2952"/>
      <c r="AB80" s="2952"/>
      <c r="AC80" s="2952"/>
    </row>
    <row r="81" spans="1:29" ht="15.75" thickBot="1">
      <c r="A81" s="491"/>
      <c r="B81" s="500"/>
      <c r="C81" s="501">
        <v>100</v>
      </c>
      <c r="D81" s="501">
        <f>C81-$K19</f>
        <v>98</v>
      </c>
      <c r="E81" s="501">
        <f>D81-$K19</f>
        <v>96</v>
      </c>
      <c r="F81" s="501">
        <f>E81-$K19</f>
        <v>94</v>
      </c>
      <c r="G81" s="501">
        <f>F81-$K19</f>
        <v>92</v>
      </c>
      <c r="H81" s="501"/>
      <c r="I81" s="501"/>
      <c r="J81" s="501"/>
      <c r="K81" s="501"/>
      <c r="L81" s="501"/>
      <c r="M81" s="502"/>
      <c r="N81" s="2981"/>
      <c r="O81" s="2981"/>
      <c r="P81" s="2971"/>
      <c r="Q81" s="2966"/>
      <c r="R81" s="2952"/>
      <c r="S81" s="2952"/>
      <c r="T81" s="2952"/>
      <c r="U81" s="2952"/>
      <c r="V81" s="2952"/>
      <c r="W81" s="2952"/>
      <c r="X81" s="2952"/>
      <c r="Y81" s="2952"/>
      <c r="Z81" s="2952"/>
      <c r="AA81" s="2952"/>
      <c r="AB81" s="2952"/>
      <c r="AC81" s="2952"/>
    </row>
    <row r="82" spans="1:29" ht="15.75" thickTop="1">
      <c r="A82" s="491"/>
      <c r="B82" s="503" t="s">
        <v>2476</v>
      </c>
      <c r="C82" s="616" t="s">
        <v>2496</v>
      </c>
      <c r="D82" s="616" t="s">
        <v>2497</v>
      </c>
      <c r="E82" s="616" t="s">
        <v>2498</v>
      </c>
      <c r="F82" s="616" t="s">
        <v>2499</v>
      </c>
      <c r="G82" s="616" t="s">
        <v>2500</v>
      </c>
      <c r="H82" s="496"/>
      <c r="I82" s="496"/>
      <c r="J82" s="496"/>
      <c r="K82" s="496"/>
      <c r="L82" s="496"/>
      <c r="M82" s="1291"/>
      <c r="N82" s="2981"/>
      <c r="O82" s="2981"/>
      <c r="P82" s="2971"/>
      <c r="Q82" s="2966"/>
      <c r="R82" s="2952"/>
      <c r="S82" s="2952"/>
      <c r="T82" s="2952"/>
      <c r="U82" s="2952"/>
      <c r="V82" s="2952"/>
      <c r="W82" s="2952"/>
      <c r="X82" s="2952"/>
      <c r="Y82" s="2952"/>
      <c r="Z82" s="2952"/>
      <c r="AA82" s="2952"/>
      <c r="AB82" s="2952"/>
      <c r="AC82" s="2952"/>
    </row>
    <row r="83" spans="1:29" ht="15.75" thickBot="1">
      <c r="A83" s="491"/>
      <c r="B83" s="503"/>
      <c r="C83" s="501">
        <v>100</v>
      </c>
      <c r="D83" s="501">
        <f>C83-$K21</f>
        <v>98</v>
      </c>
      <c r="E83" s="501">
        <f>D83-$K21</f>
        <v>96</v>
      </c>
      <c r="F83" s="501">
        <f>E83-$K21</f>
        <v>94</v>
      </c>
      <c r="G83" s="501">
        <f>F83-$K21</f>
        <v>92</v>
      </c>
      <c r="H83" s="616"/>
      <c r="I83" s="616"/>
      <c r="J83" s="616"/>
      <c r="K83" s="616"/>
      <c r="L83" s="616"/>
      <c r="M83" s="409"/>
      <c r="N83" s="2981"/>
      <c r="O83" s="2981"/>
      <c r="P83" s="2971"/>
      <c r="Q83" s="2966"/>
      <c r="R83" s="2952"/>
      <c r="S83" s="2952"/>
      <c r="T83" s="2952"/>
      <c r="U83" s="2952"/>
      <c r="V83" s="2952"/>
      <c r="W83" s="2952"/>
      <c r="X83" s="2952"/>
      <c r="Y83" s="2952"/>
      <c r="Z83" s="2952"/>
      <c r="AA83" s="2952"/>
      <c r="AB83" s="2952"/>
      <c r="AC83" s="2952"/>
    </row>
    <row r="84" spans="1:29" ht="15.75" thickTop="1">
      <c r="A84" s="491"/>
      <c r="B84" s="495" t="s">
        <v>2430</v>
      </c>
      <c r="C84" s="535" t="s">
        <v>2418</v>
      </c>
      <c r="D84" s="535" t="s">
        <v>2419</v>
      </c>
      <c r="E84" s="535" t="s">
        <v>2420</v>
      </c>
      <c r="F84" s="535" t="s">
        <v>2421</v>
      </c>
      <c r="G84" s="535" t="s">
        <v>2422</v>
      </c>
      <c r="H84" s="496"/>
      <c r="I84" s="496"/>
      <c r="J84" s="496"/>
      <c r="K84" s="497"/>
      <c r="L84" s="498"/>
      <c r="M84" s="499"/>
      <c r="N84" s="2980"/>
      <c r="O84" s="2980"/>
      <c r="P84" s="2971"/>
      <c r="Q84" s="2966"/>
      <c r="R84" s="2952"/>
      <c r="S84" s="2952"/>
      <c r="T84" s="2952"/>
      <c r="U84" s="2952"/>
      <c r="V84" s="2952"/>
      <c r="W84" s="2952"/>
      <c r="X84" s="2952"/>
      <c r="Y84" s="2952"/>
      <c r="Z84" s="2952"/>
      <c r="AA84" s="2952"/>
      <c r="AB84" s="2952"/>
      <c r="AC84" s="2952"/>
    </row>
    <row r="85" spans="1:29" ht="15.75" thickBot="1">
      <c r="A85" s="491"/>
      <c r="B85" s="500"/>
      <c r="C85" s="501">
        <v>100</v>
      </c>
      <c r="D85" s="501">
        <f>C85-$K23</f>
        <v>98</v>
      </c>
      <c r="E85" s="501">
        <f>D85-$K23</f>
        <v>96</v>
      </c>
      <c r="F85" s="501">
        <f>E85-$K23</f>
        <v>94</v>
      </c>
      <c r="G85" s="501">
        <f>F85-$K23</f>
        <v>92</v>
      </c>
      <c r="H85" s="501"/>
      <c r="I85" s="501"/>
      <c r="J85" s="501"/>
      <c r="K85" s="501"/>
      <c r="L85" s="501"/>
      <c r="M85" s="502"/>
      <c r="N85" s="2981"/>
      <c r="O85" s="2981"/>
      <c r="P85" s="2971"/>
      <c r="Q85" s="2966"/>
      <c r="R85" s="2952"/>
      <c r="S85" s="2952"/>
      <c r="T85" s="2952"/>
      <c r="U85" s="2952"/>
      <c r="V85" s="2952"/>
      <c r="W85" s="2952"/>
      <c r="X85" s="2952"/>
      <c r="Y85" s="2952"/>
      <c r="Z85" s="2952"/>
      <c r="AA85" s="2952"/>
      <c r="AB85" s="2952"/>
      <c r="AC85" s="2952"/>
    </row>
    <row r="86" spans="1:29" s="113" customFormat="1" ht="15.75" thickTop="1">
      <c r="A86" s="536"/>
      <c r="B86" s="495" t="s">
        <v>2501</v>
      </c>
      <c r="C86" s="3168" t="s">
        <v>3481</v>
      </c>
      <c r="D86" s="3168" t="s">
        <v>3477</v>
      </c>
      <c r="E86" s="3168" t="s">
        <v>3478</v>
      </c>
      <c r="F86" s="511"/>
      <c r="G86" s="511"/>
      <c r="H86" s="511"/>
      <c r="I86" s="511"/>
      <c r="J86" s="511"/>
      <c r="K86" s="511"/>
      <c r="L86" s="537"/>
      <c r="M86" s="538"/>
      <c r="N86" s="2979"/>
      <c r="O86" s="2979"/>
      <c r="P86" s="2971"/>
      <c r="Q86" s="2966"/>
      <c r="R86" s="2886"/>
      <c r="S86" s="2886"/>
      <c r="T86" s="2886"/>
      <c r="U86" s="2886"/>
      <c r="V86" s="2886"/>
      <c r="W86" s="2886"/>
      <c r="X86" s="2886"/>
      <c r="Y86" s="2886"/>
      <c r="Z86" s="2886"/>
      <c r="AA86" s="2886"/>
      <c r="AB86" s="2886"/>
      <c r="AC86" s="2886"/>
    </row>
    <row r="87" spans="1:29" s="113" customFormat="1" ht="15.75" thickBot="1">
      <c r="A87" s="536"/>
      <c r="B87" s="500"/>
      <c r="C87" s="539">
        <v>100</v>
      </c>
      <c r="D87" s="501">
        <f t="shared" ref="D87:M87" si="16">C87-$K25</f>
        <v>95</v>
      </c>
      <c r="E87" s="501">
        <f t="shared" si="16"/>
        <v>90</v>
      </c>
      <c r="F87" s="501">
        <f t="shared" si="16"/>
        <v>85</v>
      </c>
      <c r="G87" s="501">
        <f t="shared" si="16"/>
        <v>80</v>
      </c>
      <c r="H87" s="501">
        <f t="shared" si="16"/>
        <v>75</v>
      </c>
      <c r="I87" s="501">
        <f t="shared" si="16"/>
        <v>70</v>
      </c>
      <c r="J87" s="501">
        <f t="shared" si="16"/>
        <v>65</v>
      </c>
      <c r="K87" s="501">
        <f t="shared" si="16"/>
        <v>60</v>
      </c>
      <c r="L87" s="501">
        <f t="shared" si="16"/>
        <v>55</v>
      </c>
      <c r="M87" s="501">
        <f t="shared" si="16"/>
        <v>50</v>
      </c>
      <c r="N87" s="2981"/>
      <c r="O87" s="2981"/>
      <c r="P87" s="2971"/>
      <c r="Q87" s="2966"/>
      <c r="R87" s="2886"/>
      <c r="S87" s="2886"/>
      <c r="T87" s="2886"/>
      <c r="U87" s="2886"/>
      <c r="V87" s="2886"/>
      <c r="W87" s="2886"/>
      <c r="X87" s="2886"/>
      <c r="Y87" s="2886"/>
      <c r="Z87" s="2886"/>
      <c r="AA87" s="2886"/>
      <c r="AB87" s="2886"/>
      <c r="AC87" s="2886"/>
    </row>
    <row r="88" spans="1:29" s="113" customFormat="1" ht="15.75" thickTop="1">
      <c r="A88" s="536"/>
      <c r="B88" s="495" t="str">
        <f>B26</f>
        <v>平面位置/可视性</v>
      </c>
      <c r="C88" s="511"/>
      <c r="D88" s="511"/>
      <c r="E88" s="511"/>
      <c r="F88" s="2113"/>
      <c r="G88" s="511"/>
      <c r="H88" s="511"/>
      <c r="I88" s="511"/>
      <c r="J88" s="511"/>
      <c r="K88" s="511"/>
      <c r="L88" s="511"/>
      <c r="M88" s="538"/>
      <c r="N88" s="2979"/>
      <c r="O88" s="2979"/>
      <c r="P88" s="2971"/>
      <c r="Q88" s="2966"/>
      <c r="R88" s="2886"/>
      <c r="S88" s="2886"/>
      <c r="T88" s="2886"/>
      <c r="U88" s="2886"/>
      <c r="V88" s="2886"/>
      <c r="W88" s="2886"/>
      <c r="X88" s="2886"/>
      <c r="Y88" s="2886"/>
      <c r="Z88" s="2886"/>
      <c r="AA88" s="2886"/>
      <c r="AB88" s="2886"/>
      <c r="AC88" s="2886"/>
    </row>
    <row r="89" spans="1:29" s="113" customFormat="1" ht="15.75" thickBot="1">
      <c r="A89" s="536"/>
      <c r="B89" s="500"/>
      <c r="C89" s="517"/>
      <c r="D89" s="493"/>
      <c r="E89" s="493"/>
      <c r="F89" s="493"/>
      <c r="G89" s="493"/>
      <c r="H89" s="493"/>
      <c r="I89" s="493"/>
      <c r="J89" s="493"/>
      <c r="K89" s="493"/>
      <c r="L89" s="493"/>
      <c r="M89" s="493"/>
      <c r="N89" s="2981"/>
      <c r="O89" s="2981"/>
      <c r="P89" s="2971"/>
      <c r="Q89" s="2966"/>
      <c r="R89" s="2886"/>
      <c r="S89" s="2886"/>
      <c r="T89" s="2886"/>
      <c r="U89" s="2886"/>
      <c r="V89" s="2886"/>
      <c r="W89" s="2886"/>
      <c r="X89" s="2886"/>
      <c r="Y89" s="2886"/>
      <c r="Z89" s="2886"/>
      <c r="AA89" s="2886"/>
      <c r="AB89" s="2886"/>
      <c r="AC89" s="2886"/>
    </row>
    <row r="90" spans="1:29" s="430" customFormat="1" ht="15.75" thickTop="1">
      <c r="A90" s="510"/>
      <c r="B90" s="495" t="str">
        <f>B27</f>
        <v>人流量</v>
      </c>
      <c r="C90" s="3186" t="s">
        <v>3568</v>
      </c>
      <c r="D90" s="511"/>
      <c r="E90" s="511"/>
      <c r="F90" s="511"/>
      <c r="G90" s="511"/>
      <c r="H90" s="512"/>
      <c r="I90" s="512"/>
      <c r="J90" s="512"/>
      <c r="K90" s="512"/>
      <c r="L90" s="513"/>
      <c r="M90" s="514"/>
      <c r="N90" s="2982"/>
      <c r="O90" s="2982"/>
      <c r="P90" s="2972"/>
      <c r="Q90" s="2973"/>
      <c r="R90" s="2974"/>
      <c r="S90" s="2974"/>
      <c r="T90" s="2974"/>
      <c r="U90" s="2974"/>
      <c r="V90" s="2974"/>
      <c r="W90" s="2974"/>
      <c r="X90" s="2974"/>
      <c r="Y90" s="2974"/>
      <c r="Z90" s="2974"/>
      <c r="AA90" s="2974"/>
      <c r="AB90" s="2974"/>
      <c r="AC90" s="2974"/>
    </row>
    <row r="91" spans="1:29" s="430" customFormat="1" ht="15.75" thickBot="1">
      <c r="A91" s="510"/>
      <c r="B91" s="500"/>
      <c r="C91" s="539">
        <v>100</v>
      </c>
      <c r="D91" s="501">
        <f>C91-$K27</f>
        <v>98</v>
      </c>
      <c r="E91" s="501">
        <f t="shared" ref="E91:M91" si="17">D91-$K27</f>
        <v>96</v>
      </c>
      <c r="F91" s="501">
        <f t="shared" si="17"/>
        <v>94</v>
      </c>
      <c r="G91" s="501">
        <f t="shared" si="17"/>
        <v>92</v>
      </c>
      <c r="H91" s="501">
        <f t="shared" si="17"/>
        <v>90</v>
      </c>
      <c r="I91" s="501">
        <f t="shared" si="17"/>
        <v>88</v>
      </c>
      <c r="J91" s="501">
        <f t="shared" si="17"/>
        <v>86</v>
      </c>
      <c r="K91" s="501">
        <f t="shared" si="17"/>
        <v>84</v>
      </c>
      <c r="L91" s="501">
        <f t="shared" si="17"/>
        <v>82</v>
      </c>
      <c r="M91" s="501">
        <f t="shared" si="17"/>
        <v>80</v>
      </c>
      <c r="N91" s="2982"/>
      <c r="O91" s="2982"/>
      <c r="P91" s="2972"/>
      <c r="Q91" s="2973"/>
      <c r="R91" s="2974"/>
      <c r="S91" s="2974"/>
      <c r="T91" s="2974"/>
      <c r="U91" s="2974"/>
      <c r="V91" s="2974"/>
      <c r="W91" s="2974"/>
      <c r="X91" s="2974"/>
      <c r="Y91" s="2974"/>
      <c r="Z91" s="2974"/>
      <c r="AA91" s="2974"/>
      <c r="AB91" s="2974"/>
      <c r="AC91" s="2974"/>
    </row>
    <row r="92" spans="1:29" ht="15.75" thickTop="1">
      <c r="A92" s="491"/>
      <c r="B92" s="495" t="str">
        <f>B28</f>
        <v>楼层</v>
      </c>
      <c r="C92" s="511">
        <v>1</v>
      </c>
      <c r="D92" s="511"/>
      <c r="E92" s="511"/>
      <c r="F92" s="511"/>
      <c r="G92" s="511"/>
      <c r="H92" s="511"/>
      <c r="I92" s="511"/>
      <c r="J92" s="511"/>
      <c r="K92" s="511"/>
      <c r="L92" s="537"/>
      <c r="M92" s="538"/>
      <c r="N92" s="2980"/>
      <c r="O92" s="2980"/>
      <c r="P92" s="2971"/>
      <c r="Q92" s="2966"/>
      <c r="R92" s="2952"/>
      <c r="S92" s="2952"/>
      <c r="T92" s="2952"/>
      <c r="U92" s="2952"/>
      <c r="V92" s="2952"/>
      <c r="W92" s="2952"/>
      <c r="X92" s="2952"/>
      <c r="Y92" s="2952"/>
      <c r="Z92" s="2952"/>
      <c r="AA92" s="2952"/>
      <c r="AB92" s="2952"/>
      <c r="AC92" s="2952"/>
    </row>
    <row r="93" spans="1:29" ht="15.75" thickBot="1">
      <c r="A93" s="491"/>
      <c r="B93" s="500"/>
      <c r="C93" s="493">
        <v>100</v>
      </c>
      <c r="D93" s="493"/>
      <c r="E93" s="493"/>
      <c r="F93" s="493"/>
      <c r="G93" s="493"/>
      <c r="H93" s="493"/>
      <c r="I93" s="493"/>
      <c r="J93" s="493"/>
      <c r="K93" s="493"/>
      <c r="L93" s="493"/>
      <c r="M93" s="494"/>
      <c r="N93" s="2981"/>
      <c r="O93" s="2981"/>
      <c r="P93" s="2971"/>
      <c r="Q93" s="2966"/>
      <c r="R93" s="2952"/>
      <c r="S93" s="2952"/>
      <c r="T93" s="2952"/>
      <c r="U93" s="2952"/>
      <c r="V93" s="2952"/>
      <c r="W93" s="2952"/>
      <c r="X93" s="2952"/>
      <c r="Y93" s="2952"/>
      <c r="Z93" s="2952"/>
      <c r="AA93" s="2952"/>
      <c r="AB93" s="2952"/>
      <c r="AC93" s="2952"/>
    </row>
    <row r="94" spans="1:29" ht="15.75" thickTop="1">
      <c r="A94" s="491"/>
      <c r="B94" s="495">
        <f>B29</f>
        <v>111</v>
      </c>
      <c r="C94" s="511"/>
      <c r="D94" s="511"/>
      <c r="E94" s="511"/>
      <c r="F94" s="511"/>
      <c r="G94" s="540"/>
      <c r="H94" s="540"/>
      <c r="I94" s="540"/>
      <c r="J94" s="540"/>
      <c r="K94" s="541"/>
      <c r="L94" s="542"/>
      <c r="M94" s="543"/>
      <c r="N94" s="2980"/>
      <c r="O94" s="2980"/>
      <c r="P94" s="2971"/>
      <c r="Q94" s="2966"/>
      <c r="R94" s="2952"/>
      <c r="S94" s="2952"/>
      <c r="T94" s="2952"/>
      <c r="U94" s="2952"/>
      <c r="V94" s="2952"/>
      <c r="W94" s="2952"/>
      <c r="X94" s="2952"/>
      <c r="Y94" s="2952"/>
      <c r="Z94" s="2952"/>
      <c r="AA94" s="2952"/>
      <c r="AB94" s="2952"/>
      <c r="AC94" s="2952"/>
    </row>
    <row r="95" spans="1:29" ht="15.75" thickBot="1">
      <c r="A95" s="491"/>
      <c r="B95" s="500"/>
      <c r="C95" s="517"/>
      <c r="D95" s="493"/>
      <c r="E95" s="493"/>
      <c r="F95" s="493"/>
      <c r="G95" s="493"/>
      <c r="H95" s="493"/>
      <c r="I95" s="493"/>
      <c r="J95" s="493"/>
      <c r="K95" s="493"/>
      <c r="L95" s="493"/>
      <c r="M95" s="494"/>
      <c r="N95" s="2981"/>
      <c r="O95" s="2981"/>
      <c r="P95" s="2971"/>
      <c r="Q95" s="2966"/>
      <c r="R95" s="2952"/>
      <c r="S95" s="2952"/>
      <c r="T95" s="2952"/>
      <c r="U95" s="2952"/>
      <c r="V95" s="2952"/>
      <c r="W95" s="2952"/>
      <c r="X95" s="2952"/>
      <c r="Y95" s="2952"/>
      <c r="Z95" s="2952"/>
      <c r="AA95" s="2952"/>
      <c r="AB95" s="2952"/>
      <c r="AC95" s="2952"/>
    </row>
    <row r="96" spans="1:29" ht="15.75" thickTop="1">
      <c r="A96" s="491"/>
      <c r="B96" s="495">
        <f>B30</f>
        <v>111</v>
      </c>
      <c r="C96" s="511"/>
      <c r="D96" s="511"/>
      <c r="E96" s="511"/>
      <c r="F96" s="511"/>
      <c r="G96" s="540"/>
      <c r="H96" s="540"/>
      <c r="I96" s="540"/>
      <c r="J96" s="540"/>
      <c r="K96" s="541"/>
      <c r="L96" s="542"/>
      <c r="M96" s="543"/>
      <c r="N96" s="2980"/>
      <c r="O96" s="2980"/>
      <c r="P96" s="2971"/>
      <c r="Q96" s="2966"/>
      <c r="R96" s="2952"/>
      <c r="S96" s="2952"/>
      <c r="T96" s="2952"/>
      <c r="U96" s="2952"/>
      <c r="V96" s="2952"/>
      <c r="W96" s="2952"/>
      <c r="X96" s="2952"/>
      <c r="Y96" s="2952"/>
      <c r="Z96" s="2952"/>
      <c r="AA96" s="2952"/>
      <c r="AB96" s="2952"/>
      <c r="AC96" s="2952"/>
    </row>
    <row r="97" spans="1:29" ht="15.75" thickBot="1">
      <c r="A97" s="491"/>
      <c r="B97" s="500"/>
      <c r="C97" s="517"/>
      <c r="D97" s="493"/>
      <c r="E97" s="493"/>
      <c r="F97" s="493"/>
      <c r="G97" s="493"/>
      <c r="H97" s="493"/>
      <c r="I97" s="493"/>
      <c r="J97" s="493"/>
      <c r="K97" s="493"/>
      <c r="L97" s="493"/>
      <c r="M97" s="494"/>
      <c r="N97" s="2981"/>
      <c r="O97" s="2981"/>
      <c r="P97" s="2971"/>
      <c r="Q97" s="2966"/>
      <c r="R97" s="2952"/>
      <c r="S97" s="2952"/>
      <c r="T97" s="2952"/>
      <c r="U97" s="2952"/>
      <c r="V97" s="2952"/>
      <c r="W97" s="2952"/>
      <c r="X97" s="2952"/>
      <c r="Y97" s="2952"/>
      <c r="Z97" s="2952"/>
      <c r="AA97" s="2952"/>
      <c r="AB97" s="2952"/>
      <c r="AC97" s="2952"/>
    </row>
    <row r="98" spans="1:29" ht="15.75" thickTop="1">
      <c r="A98" s="491"/>
      <c r="B98" s="503">
        <f>B31</f>
        <v>111</v>
      </c>
      <c r="C98" s="511"/>
      <c r="D98" s="511"/>
      <c r="E98" s="511"/>
      <c r="F98" s="511"/>
      <c r="G98" s="544"/>
      <c r="H98" s="544"/>
      <c r="I98" s="544"/>
      <c r="J98" s="544"/>
      <c r="K98" s="545"/>
      <c r="L98" s="546"/>
      <c r="M98" s="547"/>
      <c r="N98" s="2980"/>
      <c r="O98" s="2980"/>
      <c r="P98" s="2971"/>
      <c r="Q98" s="2966"/>
      <c r="R98" s="2952"/>
      <c r="S98" s="2952"/>
      <c r="T98" s="2952"/>
      <c r="U98" s="2952"/>
      <c r="V98" s="2952"/>
      <c r="W98" s="2952"/>
      <c r="X98" s="2952"/>
      <c r="Y98" s="2952"/>
      <c r="Z98" s="2952"/>
      <c r="AA98" s="2952"/>
      <c r="AB98" s="2952"/>
      <c r="AC98" s="2952"/>
    </row>
    <row r="99" spans="1:29" ht="15.75" thickBot="1">
      <c r="A99" s="2114"/>
      <c r="B99" s="526"/>
      <c r="C99" s="527"/>
      <c r="D99" s="527"/>
      <c r="E99" s="527"/>
      <c r="F99" s="527"/>
      <c r="G99" s="548"/>
      <c r="H99" s="548"/>
      <c r="I99" s="548"/>
      <c r="J99" s="548"/>
      <c r="K99" s="548"/>
      <c r="L99" s="548"/>
      <c r="M99" s="549"/>
      <c r="N99" s="2981"/>
      <c r="O99" s="2981"/>
      <c r="P99" s="2971"/>
      <c r="Q99" s="2966"/>
      <c r="R99" s="2952"/>
      <c r="S99" s="2952"/>
      <c r="T99" s="2952"/>
      <c r="U99" s="2952"/>
      <c r="V99" s="2952"/>
      <c r="W99" s="2952"/>
      <c r="X99" s="2952"/>
      <c r="Y99" s="2952"/>
      <c r="Z99" s="2952"/>
      <c r="AA99" s="2952"/>
      <c r="AB99" s="2952"/>
      <c r="AC99" s="2952"/>
    </row>
    <row r="100" spans="1:29">
      <c r="A100" s="484" t="s">
        <v>2384</v>
      </c>
      <c r="B100" s="485" t="s">
        <v>2502</v>
      </c>
      <c r="C100" s="3183" t="s">
        <v>3566</v>
      </c>
      <c r="D100" s="487"/>
      <c r="E100" s="487"/>
      <c r="F100" s="487"/>
      <c r="G100" s="487"/>
      <c r="H100" s="487"/>
      <c r="I100" s="487"/>
      <c r="J100" s="487"/>
      <c r="K100" s="488"/>
      <c r="L100" s="489"/>
      <c r="M100" s="490"/>
      <c r="N100" s="2980"/>
      <c r="O100" s="2980"/>
      <c r="P100" s="2971"/>
      <c r="Q100" s="2966"/>
      <c r="R100" s="2952"/>
      <c r="S100" s="2952"/>
      <c r="T100" s="2952"/>
      <c r="U100" s="2952"/>
      <c r="V100" s="2952"/>
      <c r="W100" s="2952"/>
      <c r="X100" s="2952"/>
      <c r="Y100" s="2952"/>
      <c r="Z100" s="2952"/>
      <c r="AA100" s="2952"/>
      <c r="AB100" s="2952"/>
      <c r="AC100" s="2952"/>
    </row>
    <row r="101" spans="1:29" ht="15.75" thickBot="1">
      <c r="A101" s="491"/>
      <c r="B101" s="500"/>
      <c r="C101" s="501">
        <v>100</v>
      </c>
      <c r="D101" s="501">
        <f t="shared" ref="D101:M101" si="18">C101-$K32</f>
        <v>98</v>
      </c>
      <c r="E101" s="501">
        <f t="shared" si="18"/>
        <v>96</v>
      </c>
      <c r="F101" s="501">
        <f t="shared" si="18"/>
        <v>94</v>
      </c>
      <c r="G101" s="501">
        <f t="shared" si="18"/>
        <v>92</v>
      </c>
      <c r="H101" s="501">
        <f t="shared" si="18"/>
        <v>90</v>
      </c>
      <c r="I101" s="501">
        <f t="shared" si="18"/>
        <v>88</v>
      </c>
      <c r="J101" s="501">
        <f t="shared" si="18"/>
        <v>86</v>
      </c>
      <c r="K101" s="501">
        <f t="shared" si="18"/>
        <v>84</v>
      </c>
      <c r="L101" s="501">
        <f t="shared" si="18"/>
        <v>82</v>
      </c>
      <c r="M101" s="502">
        <f t="shared" si="18"/>
        <v>80</v>
      </c>
      <c r="N101" s="2981"/>
      <c r="O101" s="2981"/>
      <c r="P101" s="2971"/>
      <c r="Q101" s="2966"/>
      <c r="R101" s="2952"/>
      <c r="S101" s="2952"/>
      <c r="T101" s="2952"/>
      <c r="U101" s="2952"/>
      <c r="V101" s="2952"/>
      <c r="W101" s="2952"/>
      <c r="X101" s="2952"/>
      <c r="Y101" s="2952"/>
      <c r="Z101" s="2952"/>
      <c r="AA101" s="2952"/>
      <c r="AB101" s="2952"/>
      <c r="AC101" s="2952"/>
    </row>
    <row r="102" spans="1:29" ht="29.25" thickTop="1">
      <c r="A102" s="491"/>
      <c r="B102" s="495" t="s">
        <v>2434</v>
      </c>
      <c r="C102" s="535" t="str">
        <f>C103&amp;"(含)"&amp;"-"&amp;D103</f>
        <v>0(含)-20000</v>
      </c>
      <c r="D102" s="535" t="str">
        <f t="shared" ref="D102:L102" si="19">D103&amp;"(含)"&amp;"-"&amp;E103</f>
        <v>20000(含)-50000</v>
      </c>
      <c r="E102" s="535" t="str">
        <f t="shared" si="19"/>
        <v>50000(含)-100000</v>
      </c>
      <c r="F102" s="535" t="str">
        <f t="shared" si="19"/>
        <v>100000(含)-150000</v>
      </c>
      <c r="G102" s="535" t="str">
        <f t="shared" si="19"/>
        <v>150000(含)-</v>
      </c>
      <c r="H102" s="535" t="str">
        <f t="shared" si="19"/>
        <v>(含)-</v>
      </c>
      <c r="I102" s="535" t="str">
        <f t="shared" si="19"/>
        <v>(含)-</v>
      </c>
      <c r="J102" s="535" t="str">
        <f t="shared" si="19"/>
        <v>(含)-</v>
      </c>
      <c r="K102" s="535" t="str">
        <f t="shared" si="19"/>
        <v>(含)-</v>
      </c>
      <c r="L102" s="535" t="str">
        <f t="shared" si="19"/>
        <v>(含)-</v>
      </c>
      <c r="M102" s="578"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30" customFormat="1">
      <c r="A103" s="550"/>
      <c r="B103" s="551"/>
      <c r="C103" s="552">
        <v>0</v>
      </c>
      <c r="D103" s="552">
        <v>20000</v>
      </c>
      <c r="E103" s="552">
        <v>50000</v>
      </c>
      <c r="F103" s="552">
        <v>100000</v>
      </c>
      <c r="G103" s="552">
        <v>150000</v>
      </c>
      <c r="H103" s="552"/>
      <c r="I103" s="552"/>
      <c r="J103" s="553"/>
      <c r="K103" s="553"/>
      <c r="L103" s="554"/>
      <c r="M103" s="555"/>
      <c r="N103" s="2982"/>
      <c r="O103" s="2982"/>
      <c r="P103" s="2972"/>
      <c r="Q103" s="2973"/>
      <c r="R103" s="2974"/>
      <c r="S103" s="2974"/>
      <c r="T103" s="2974"/>
      <c r="U103" s="2974"/>
      <c r="V103" s="2974"/>
      <c r="W103" s="2974"/>
      <c r="X103" s="2974"/>
      <c r="Y103" s="2974"/>
      <c r="Z103" s="2974"/>
      <c r="AA103" s="2974"/>
      <c r="AB103" s="2974"/>
      <c r="AC103" s="2974"/>
    </row>
    <row r="104" spans="1:29" s="430" customFormat="1" ht="15.75" thickBot="1">
      <c r="A104" s="510"/>
      <c r="B104" s="500"/>
      <c r="C104" s="517">
        <v>100</v>
      </c>
      <c r="D104" s="493">
        <v>101</v>
      </c>
      <c r="E104" s="493">
        <v>102</v>
      </c>
      <c r="F104" s="493">
        <v>103</v>
      </c>
      <c r="G104" s="493">
        <v>104</v>
      </c>
      <c r="H104" s="493"/>
      <c r="I104" s="493"/>
      <c r="J104" s="493"/>
      <c r="K104" s="493"/>
      <c r="L104" s="493"/>
      <c r="M104" s="494"/>
      <c r="N104" s="2981"/>
      <c r="O104" s="2981"/>
      <c r="P104" s="2972"/>
      <c r="Q104" s="2973"/>
      <c r="R104" s="2974"/>
      <c r="S104" s="2974"/>
      <c r="T104" s="2974"/>
      <c r="U104" s="2974"/>
      <c r="V104" s="2974"/>
      <c r="W104" s="2974"/>
      <c r="X104" s="2974"/>
      <c r="Y104" s="2974"/>
      <c r="Z104" s="2974"/>
      <c r="AA104" s="2974"/>
      <c r="AB104" s="2974"/>
      <c r="AC104" s="2974"/>
    </row>
    <row r="105" spans="1:29" ht="15" thickTop="1">
      <c r="A105" s="556"/>
      <c r="B105" s="495" t="s">
        <v>2435</v>
      </c>
      <c r="C105" s="3186" t="s">
        <v>3559</v>
      </c>
      <c r="D105" s="511"/>
      <c r="E105" s="540"/>
      <c r="F105" s="540"/>
      <c r="G105" s="540"/>
      <c r="H105" s="540"/>
      <c r="I105" s="540"/>
      <c r="J105" s="540"/>
      <c r="K105" s="541"/>
      <c r="L105" s="542"/>
      <c r="M105" s="543"/>
      <c r="N105" s="2980"/>
      <c r="O105" s="2980"/>
      <c r="P105" s="2971"/>
      <c r="Q105" s="2966"/>
      <c r="R105" s="2952"/>
      <c r="S105" s="2952"/>
      <c r="T105" s="2952"/>
      <c r="U105" s="2952"/>
      <c r="V105" s="2952"/>
      <c r="W105" s="2952"/>
      <c r="X105" s="2952"/>
      <c r="Y105" s="2952"/>
      <c r="Z105" s="2952"/>
      <c r="AA105" s="2952"/>
      <c r="AB105" s="2952"/>
      <c r="AC105" s="2952"/>
    </row>
    <row r="106" spans="1:29" ht="15.75" thickBot="1">
      <c r="A106" s="491"/>
      <c r="B106" s="500"/>
      <c r="C106" s="501">
        <v>100</v>
      </c>
      <c r="D106" s="501">
        <f t="shared" ref="D106:M106" si="20">C106-$K34</f>
        <v>98</v>
      </c>
      <c r="E106" s="501">
        <f t="shared" si="20"/>
        <v>96</v>
      </c>
      <c r="F106" s="501">
        <f t="shared" si="20"/>
        <v>94</v>
      </c>
      <c r="G106" s="501">
        <f t="shared" si="20"/>
        <v>92</v>
      </c>
      <c r="H106" s="501">
        <f t="shared" si="20"/>
        <v>90</v>
      </c>
      <c r="I106" s="501">
        <f t="shared" si="20"/>
        <v>88</v>
      </c>
      <c r="J106" s="501">
        <f t="shared" si="20"/>
        <v>86</v>
      </c>
      <c r="K106" s="501">
        <f t="shared" si="20"/>
        <v>84</v>
      </c>
      <c r="L106" s="501">
        <f t="shared" si="20"/>
        <v>82</v>
      </c>
      <c r="M106" s="502">
        <f t="shared" si="20"/>
        <v>80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6"/>
      <c r="B107" s="495" t="s">
        <v>2437</v>
      </c>
      <c r="C107" s="3168" t="s">
        <v>3483</v>
      </c>
      <c r="D107" s="3168" t="s">
        <v>3484</v>
      </c>
      <c r="E107" s="3168" t="s">
        <v>3485</v>
      </c>
      <c r="F107" s="540"/>
      <c r="G107" s="540"/>
      <c r="H107" s="540"/>
      <c r="I107" s="540"/>
      <c r="J107" s="540"/>
      <c r="K107" s="541"/>
      <c r="L107" s="542"/>
      <c r="M107" s="543"/>
      <c r="N107" s="2980"/>
      <c r="O107" s="2980"/>
      <c r="P107" s="2971"/>
      <c r="Q107" s="2966"/>
      <c r="R107" s="2952"/>
      <c r="S107" s="2952"/>
      <c r="T107" s="2952"/>
      <c r="U107" s="2952"/>
      <c r="V107" s="2952"/>
      <c r="W107" s="2952"/>
      <c r="X107" s="2952"/>
      <c r="Y107" s="2952"/>
      <c r="Z107" s="2952"/>
      <c r="AA107" s="2952"/>
      <c r="AB107" s="2952"/>
      <c r="AC107" s="2952"/>
    </row>
    <row r="108" spans="1:29" ht="15.75" thickBot="1">
      <c r="A108" s="491"/>
      <c r="B108" s="500"/>
      <c r="C108" s="501">
        <v>100</v>
      </c>
      <c r="D108" s="501">
        <f t="shared" ref="D108:M108" si="21">C108-$K35</f>
        <v>100</v>
      </c>
      <c r="E108" s="501">
        <f t="shared" si="21"/>
        <v>100</v>
      </c>
      <c r="F108" s="501">
        <f t="shared" si="21"/>
        <v>100</v>
      </c>
      <c r="G108" s="501">
        <f t="shared" si="21"/>
        <v>100</v>
      </c>
      <c r="H108" s="501">
        <f t="shared" si="21"/>
        <v>100</v>
      </c>
      <c r="I108" s="501">
        <f t="shared" si="21"/>
        <v>100</v>
      </c>
      <c r="J108" s="501">
        <f t="shared" si="21"/>
        <v>100</v>
      </c>
      <c r="K108" s="501">
        <f t="shared" si="21"/>
        <v>100</v>
      </c>
      <c r="L108" s="501">
        <f t="shared" si="21"/>
        <v>100</v>
      </c>
      <c r="M108" s="502">
        <f t="shared" si="21"/>
        <v>100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0"/>
      <c r="O109" s="2980"/>
      <c r="P109" s="2971"/>
      <c r="Q109" s="2966"/>
      <c r="R109" s="2952"/>
      <c r="S109" s="2952"/>
      <c r="T109" s="2952"/>
      <c r="U109" s="2952"/>
      <c r="V109" s="2952"/>
      <c r="W109" s="2952"/>
      <c r="X109" s="2952"/>
      <c r="Y109" s="2952"/>
      <c r="Z109" s="2952"/>
      <c r="AA109" s="2952"/>
      <c r="AB109" s="2952"/>
      <c r="AC109" s="2952"/>
    </row>
    <row r="110" spans="1:29">
      <c r="A110" s="556"/>
      <c r="B110" s="503"/>
      <c r="C110" s="560">
        <v>0.5</v>
      </c>
      <c r="D110" s="560">
        <v>0.6</v>
      </c>
      <c r="E110" s="560">
        <v>0.7</v>
      </c>
      <c r="F110" s="560">
        <v>0.8</v>
      </c>
      <c r="G110" s="560">
        <v>0.9</v>
      </c>
      <c r="H110" s="560">
        <v>1.0001</v>
      </c>
      <c r="I110" s="579"/>
      <c r="J110" s="579"/>
      <c r="K110" s="580"/>
      <c r="L110" s="581"/>
      <c r="M110" s="582"/>
      <c r="N110" s="2980"/>
      <c r="O110" s="2980"/>
      <c r="P110" s="2971"/>
      <c r="Q110" s="2966"/>
      <c r="R110" s="2952"/>
      <c r="S110" s="2952"/>
      <c r="T110" s="2952"/>
      <c r="U110" s="2952"/>
      <c r="V110" s="2952"/>
      <c r="W110" s="2952"/>
      <c r="X110" s="2952"/>
      <c r="Y110" s="2952"/>
      <c r="Z110" s="2952"/>
      <c r="AA110" s="2952"/>
      <c r="AB110" s="2952"/>
      <c r="AC110" s="2952"/>
    </row>
    <row r="111" spans="1:29" ht="15.75" thickBot="1">
      <c r="A111" s="491"/>
      <c r="B111" s="500"/>
      <c r="C111" s="539">
        <v>100</v>
      </c>
      <c r="D111" s="501">
        <f>C111+$K36</f>
        <v>102</v>
      </c>
      <c r="E111" s="501">
        <f t="shared" ref="E111:M111" si="22">D111+$K36</f>
        <v>104</v>
      </c>
      <c r="F111" s="501">
        <f t="shared" si="22"/>
        <v>106</v>
      </c>
      <c r="G111" s="501">
        <f t="shared" si="22"/>
        <v>108</v>
      </c>
      <c r="H111" s="501">
        <f t="shared" si="22"/>
        <v>110</v>
      </c>
      <c r="I111" s="501">
        <f t="shared" si="22"/>
        <v>112</v>
      </c>
      <c r="J111" s="501">
        <f t="shared" si="22"/>
        <v>114</v>
      </c>
      <c r="K111" s="501">
        <f t="shared" si="22"/>
        <v>116</v>
      </c>
      <c r="L111" s="501">
        <f t="shared" si="22"/>
        <v>118</v>
      </c>
      <c r="M111" s="501">
        <f t="shared" si="22"/>
        <v>120</v>
      </c>
      <c r="N111" s="2981"/>
      <c r="O111" s="2981"/>
      <c r="P111" s="2971"/>
      <c r="Q111" s="2966"/>
      <c r="R111" s="2952"/>
      <c r="S111" s="2952"/>
      <c r="T111" s="2952"/>
      <c r="U111" s="2952"/>
      <c r="V111" s="2952"/>
      <c r="W111" s="2952"/>
      <c r="X111" s="2952"/>
      <c r="Y111" s="2952"/>
      <c r="Z111" s="2952"/>
      <c r="AA111" s="2952"/>
      <c r="AB111" s="2952"/>
      <c r="AC111" s="2952"/>
    </row>
    <row r="112" spans="1:29" s="430" customFormat="1" ht="15" thickTop="1">
      <c r="A112" s="550"/>
      <c r="B112" s="495" t="s">
        <v>2439</v>
      </c>
      <c r="C112" s="3186" t="s">
        <v>3560</v>
      </c>
      <c r="D112" s="3186" t="s">
        <v>3561</v>
      </c>
      <c r="E112" s="3186" t="s">
        <v>3562</v>
      </c>
      <c r="F112" s="3186" t="s">
        <v>3563</v>
      </c>
      <c r="G112" s="3186" t="s">
        <v>3564</v>
      </c>
      <c r="H112" s="540"/>
      <c r="I112" s="540"/>
      <c r="J112" s="540"/>
      <c r="K112" s="541"/>
      <c r="L112" s="542"/>
      <c r="M112" s="543"/>
      <c r="N112" s="2982"/>
      <c r="O112" s="2982"/>
      <c r="P112" s="2972"/>
      <c r="Q112" s="2973"/>
      <c r="R112" s="2974"/>
      <c r="S112" s="2974"/>
      <c r="T112" s="2974"/>
      <c r="U112" s="2974"/>
      <c r="V112" s="2974"/>
      <c r="W112" s="2974"/>
      <c r="X112" s="2974"/>
      <c r="Y112" s="2974"/>
      <c r="Z112" s="2974"/>
      <c r="AA112" s="2974"/>
      <c r="AB112" s="2974"/>
      <c r="AC112" s="2974"/>
    </row>
    <row r="113" spans="1:29" s="430" customFormat="1" ht="15.75" thickBot="1">
      <c r="A113" s="510"/>
      <c r="B113" s="500"/>
      <c r="C113" s="501">
        <v>100</v>
      </c>
      <c r="D113" s="501">
        <f>C113-$K37</f>
        <v>100</v>
      </c>
      <c r="E113" s="501">
        <f t="shared" ref="E113:M113" si="23">D113-$K37</f>
        <v>100</v>
      </c>
      <c r="F113" s="501">
        <f t="shared" si="23"/>
        <v>100</v>
      </c>
      <c r="G113" s="501">
        <f t="shared" si="23"/>
        <v>100</v>
      </c>
      <c r="H113" s="501">
        <f t="shared" si="23"/>
        <v>100</v>
      </c>
      <c r="I113" s="501">
        <f t="shared" si="23"/>
        <v>100</v>
      </c>
      <c r="J113" s="501">
        <f t="shared" si="23"/>
        <v>100</v>
      </c>
      <c r="K113" s="501">
        <f t="shared" si="23"/>
        <v>100</v>
      </c>
      <c r="L113" s="501">
        <f t="shared" si="23"/>
        <v>100</v>
      </c>
      <c r="M113" s="501">
        <f t="shared" si="23"/>
        <v>100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6"/>
      <c r="B114" s="495" t="s">
        <v>2503</v>
      </c>
      <c r="C114" s="511"/>
      <c r="D114" s="511"/>
      <c r="E114" s="540"/>
      <c r="F114" s="540"/>
      <c r="G114" s="540"/>
      <c r="H114" s="540"/>
      <c r="I114" s="540"/>
      <c r="J114" s="540"/>
      <c r="K114" s="541"/>
      <c r="L114" s="542"/>
      <c r="M114" s="543"/>
      <c r="N114" s="2980"/>
      <c r="O114" s="2980"/>
      <c r="P114" s="2971"/>
      <c r="Q114" s="2966"/>
      <c r="R114" s="2952"/>
      <c r="S114" s="2952"/>
      <c r="T114" s="2952"/>
      <c r="U114" s="2952"/>
      <c r="V114" s="2952"/>
      <c r="W114" s="2952"/>
      <c r="X114" s="2952"/>
      <c r="Y114" s="2952"/>
      <c r="Z114" s="2952"/>
      <c r="AA114" s="2952"/>
      <c r="AB114" s="2952"/>
      <c r="AC114" s="2952"/>
    </row>
    <row r="115" spans="1:29" ht="15.75" thickBot="1">
      <c r="A115" s="491"/>
      <c r="B115" s="500"/>
      <c r="C115" s="501">
        <v>100</v>
      </c>
      <c r="D115" s="501">
        <f t="shared" ref="D115:M115" si="24">C115-$K38</f>
        <v>100</v>
      </c>
      <c r="E115" s="501">
        <f t="shared" si="24"/>
        <v>100</v>
      </c>
      <c r="F115" s="501">
        <f t="shared" si="24"/>
        <v>100</v>
      </c>
      <c r="G115" s="501">
        <f t="shared" si="24"/>
        <v>100</v>
      </c>
      <c r="H115" s="501">
        <f t="shared" si="24"/>
        <v>100</v>
      </c>
      <c r="I115" s="501">
        <f t="shared" si="24"/>
        <v>100</v>
      </c>
      <c r="J115" s="501">
        <f t="shared" si="24"/>
        <v>100</v>
      </c>
      <c r="K115" s="501">
        <f t="shared" si="24"/>
        <v>100</v>
      </c>
      <c r="L115" s="501">
        <f t="shared" si="24"/>
        <v>100</v>
      </c>
      <c r="M115" s="502">
        <f t="shared" si="24"/>
        <v>100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6"/>
      <c r="B116" s="495" t="s">
        <v>2504</v>
      </c>
      <c r="C116" s="511"/>
      <c r="D116" s="511"/>
      <c r="E116" s="511"/>
      <c r="F116" s="511"/>
      <c r="G116" s="511"/>
      <c r="H116" s="540"/>
      <c r="I116" s="540"/>
      <c r="J116" s="540"/>
      <c r="K116" s="541"/>
      <c r="L116" s="542"/>
      <c r="M116" s="543"/>
      <c r="N116" s="2980"/>
      <c r="O116" s="2980"/>
      <c r="P116" s="2971"/>
      <c r="Q116" s="2966"/>
      <c r="R116" s="2952"/>
      <c r="S116" s="2952"/>
      <c r="T116" s="2952"/>
      <c r="U116" s="2952"/>
      <c r="V116" s="2952"/>
      <c r="W116" s="2952"/>
      <c r="X116" s="2952"/>
      <c r="Y116" s="2952"/>
      <c r="Z116" s="2952"/>
      <c r="AA116" s="2952"/>
      <c r="AB116" s="2952"/>
      <c r="AC116" s="295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1"/>
      <c r="O117" s="2981"/>
      <c r="P117" s="2971"/>
      <c r="Q117" s="2966"/>
      <c r="R117" s="2952"/>
      <c r="S117" s="2952"/>
      <c r="T117" s="2952"/>
      <c r="U117" s="2952"/>
      <c r="V117" s="2952"/>
      <c r="W117" s="2952"/>
      <c r="X117" s="2952"/>
      <c r="Y117" s="2952"/>
      <c r="Z117" s="2952"/>
      <c r="AA117" s="2952"/>
      <c r="AB117" s="2952"/>
      <c r="AC117" s="2952"/>
    </row>
    <row r="118" spans="1:29" ht="15" thickTop="1">
      <c r="A118" s="556"/>
      <c r="B118" s="495" t="s">
        <v>2505</v>
      </c>
      <c r="C118" s="583"/>
      <c r="D118" s="583"/>
      <c r="E118" s="583"/>
      <c r="F118" s="583"/>
      <c r="G118" s="583"/>
      <c r="H118" s="512"/>
      <c r="I118" s="512"/>
      <c r="J118" s="512"/>
      <c r="K118" s="512"/>
      <c r="L118" s="513"/>
      <c r="M118" s="514"/>
      <c r="N118" s="2980"/>
      <c r="O118" s="2980"/>
      <c r="P118" s="2971"/>
      <c r="Q118" s="2966"/>
      <c r="R118" s="2952"/>
      <c r="S118" s="2952"/>
      <c r="T118" s="2952"/>
      <c r="U118" s="2952"/>
      <c r="V118" s="2952"/>
      <c r="W118" s="2952"/>
      <c r="X118" s="2952"/>
      <c r="Y118" s="2952"/>
      <c r="Z118" s="2952"/>
      <c r="AA118" s="2952"/>
      <c r="AB118" s="2952"/>
      <c r="AC118" s="2952"/>
    </row>
    <row r="119" spans="1:29" ht="15.75" thickBot="1">
      <c r="A119" s="491"/>
      <c r="B119" s="500"/>
      <c r="C119" s="517"/>
      <c r="D119" s="493"/>
      <c r="E119" s="493"/>
      <c r="F119" s="493"/>
      <c r="G119" s="493"/>
      <c r="H119" s="493"/>
      <c r="I119" s="493"/>
      <c r="J119" s="493"/>
      <c r="K119" s="493"/>
      <c r="L119" s="493"/>
      <c r="M119" s="494"/>
      <c r="N119" s="2981"/>
      <c r="O119" s="2981"/>
      <c r="P119" s="2971"/>
      <c r="Q119" s="2966"/>
      <c r="R119" s="2952"/>
      <c r="S119" s="2952"/>
      <c r="T119" s="2952"/>
      <c r="U119" s="2952"/>
      <c r="V119" s="2952"/>
      <c r="W119" s="2952"/>
      <c r="X119" s="2952"/>
      <c r="Y119" s="2952"/>
      <c r="Z119" s="2952"/>
      <c r="AA119" s="2952"/>
      <c r="AB119" s="2952"/>
      <c r="AC119" s="2952"/>
    </row>
    <row r="120" spans="1:29" s="430" customFormat="1" ht="15" thickTop="1">
      <c r="A120" s="550"/>
      <c r="B120" s="495" t="s">
        <v>2506</v>
      </c>
      <c r="C120" s="540"/>
      <c r="D120" s="540"/>
      <c r="E120" s="540"/>
      <c r="F120" s="540"/>
      <c r="G120" s="512"/>
      <c r="H120" s="512"/>
      <c r="I120" s="512"/>
      <c r="J120" s="512"/>
      <c r="K120" s="512"/>
      <c r="L120" s="513"/>
      <c r="M120" s="514"/>
      <c r="N120" s="2982"/>
      <c r="O120" s="2982"/>
      <c r="P120" s="2972"/>
      <c r="Q120" s="2973"/>
      <c r="R120" s="2974"/>
      <c r="S120" s="2974"/>
      <c r="T120" s="2974"/>
      <c r="U120" s="2974"/>
      <c r="V120" s="2974"/>
      <c r="W120" s="2974"/>
      <c r="X120" s="2974"/>
      <c r="Y120" s="2974"/>
      <c r="Z120" s="2974"/>
      <c r="AA120" s="2974"/>
      <c r="AB120" s="2974"/>
      <c r="AC120" s="2974"/>
    </row>
    <row r="121" spans="1:29" s="430" customFormat="1" ht="15.75" thickBot="1">
      <c r="A121" s="510"/>
      <c r="B121" s="492"/>
      <c r="C121" s="539">
        <v>100</v>
      </c>
      <c r="D121" s="501">
        <f>C121-$K41</f>
        <v>100</v>
      </c>
      <c r="E121" s="501">
        <f t="shared" ref="E121:M121" si="25">D121-$K41</f>
        <v>100</v>
      </c>
      <c r="F121" s="501">
        <f t="shared" si="25"/>
        <v>100</v>
      </c>
      <c r="G121" s="501">
        <f t="shared" si="25"/>
        <v>100</v>
      </c>
      <c r="H121" s="501">
        <f t="shared" si="25"/>
        <v>100</v>
      </c>
      <c r="I121" s="501">
        <f t="shared" si="25"/>
        <v>100</v>
      </c>
      <c r="J121" s="501">
        <f t="shared" si="25"/>
        <v>100</v>
      </c>
      <c r="K121" s="501">
        <f t="shared" si="25"/>
        <v>100</v>
      </c>
      <c r="L121" s="501">
        <f t="shared" si="25"/>
        <v>100</v>
      </c>
      <c r="M121" s="502">
        <f t="shared" si="25"/>
        <v>100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6"/>
      <c r="B122" s="495" t="s">
        <v>2441</v>
      </c>
      <c r="C122" s="3168" t="s">
        <v>3483</v>
      </c>
      <c r="D122" s="3168" t="s">
        <v>3484</v>
      </c>
      <c r="E122" s="3168" t="s">
        <v>3485</v>
      </c>
      <c r="F122" s="540"/>
      <c r="G122" s="540"/>
      <c r="H122" s="540"/>
      <c r="I122" s="540"/>
      <c r="J122" s="540"/>
      <c r="K122" s="541"/>
      <c r="L122" s="542"/>
      <c r="M122" s="543"/>
      <c r="N122" s="2980"/>
      <c r="O122" s="2980"/>
      <c r="P122" s="2971"/>
      <c r="Q122" s="2966"/>
      <c r="R122" s="2952"/>
      <c r="S122" s="2952"/>
      <c r="T122" s="2952"/>
      <c r="U122" s="2952"/>
      <c r="V122" s="2952"/>
      <c r="W122" s="2952"/>
      <c r="X122" s="2952"/>
      <c r="Y122" s="2952"/>
      <c r="Z122" s="2952"/>
      <c r="AA122" s="2952"/>
      <c r="AB122" s="2952"/>
      <c r="AC122" s="2952"/>
    </row>
    <row r="123" spans="1:29" ht="15.75" thickBot="1">
      <c r="A123" s="491"/>
      <c r="B123" s="500"/>
      <c r="C123" s="501">
        <v>100</v>
      </c>
      <c r="D123" s="501">
        <f t="shared" ref="D123:M123" si="26">C123-$K42</f>
        <v>98</v>
      </c>
      <c r="E123" s="501">
        <f t="shared" si="26"/>
        <v>96</v>
      </c>
      <c r="F123" s="501">
        <f t="shared" si="26"/>
        <v>94</v>
      </c>
      <c r="G123" s="501">
        <f t="shared" si="26"/>
        <v>92</v>
      </c>
      <c r="H123" s="501">
        <f t="shared" si="26"/>
        <v>90</v>
      </c>
      <c r="I123" s="501">
        <f t="shared" si="26"/>
        <v>88</v>
      </c>
      <c r="J123" s="501">
        <f t="shared" si="26"/>
        <v>86</v>
      </c>
      <c r="K123" s="501">
        <f t="shared" si="26"/>
        <v>84</v>
      </c>
      <c r="L123" s="501">
        <f t="shared" si="26"/>
        <v>82</v>
      </c>
      <c r="M123" s="502">
        <f t="shared" si="26"/>
        <v>80</v>
      </c>
      <c r="N123" s="2981"/>
      <c r="O123" s="2981"/>
      <c r="P123" s="2971"/>
      <c r="Q123" s="2966"/>
      <c r="R123" s="2952"/>
      <c r="S123" s="2952"/>
      <c r="T123" s="2952"/>
      <c r="U123" s="2952"/>
      <c r="V123" s="2952"/>
      <c r="W123" s="2952"/>
      <c r="X123" s="2952"/>
      <c r="Y123" s="2952"/>
      <c r="Z123" s="2952"/>
      <c r="AA123" s="2952"/>
      <c r="AB123" s="2952"/>
      <c r="AC123" s="2952"/>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0"/>
      <c r="O124" s="2980"/>
      <c r="P124" s="2972"/>
      <c r="Q124" s="2966"/>
      <c r="R124" s="2952"/>
      <c r="S124" s="2952"/>
      <c r="T124" s="2952"/>
      <c r="U124" s="2952"/>
      <c r="V124" s="2952"/>
      <c r="W124" s="2952"/>
      <c r="X124" s="2952"/>
      <c r="Y124" s="2952"/>
      <c r="Z124" s="2952"/>
      <c r="AA124" s="2952"/>
      <c r="AB124" s="2952"/>
      <c r="AC124" s="2952"/>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81"/>
      <c r="O125" s="2981"/>
      <c r="P125" s="2971"/>
      <c r="Q125" s="2966"/>
      <c r="R125" s="2952"/>
      <c r="S125" s="2952"/>
      <c r="T125" s="2952"/>
      <c r="U125" s="2952"/>
      <c r="V125" s="2952"/>
      <c r="W125" s="2952"/>
      <c r="X125" s="2952"/>
      <c r="Y125" s="2952"/>
      <c r="Z125" s="2952"/>
      <c r="AA125" s="2952"/>
      <c r="AB125" s="2952"/>
      <c r="AC125" s="2952"/>
    </row>
    <row r="126" spans="1:29" s="430" customFormat="1" ht="15" thickTop="1">
      <c r="A126" s="550"/>
      <c r="B126" s="495">
        <f>B44</f>
        <v>111</v>
      </c>
      <c r="C126" s="511"/>
      <c r="D126" s="511"/>
      <c r="E126" s="511"/>
      <c r="F126" s="511"/>
      <c r="G126" s="511"/>
      <c r="H126" s="512"/>
      <c r="I126" s="512"/>
      <c r="J126" s="512"/>
      <c r="K126" s="512"/>
      <c r="L126" s="513"/>
      <c r="M126" s="514"/>
      <c r="N126" s="2982"/>
      <c r="O126" s="2982"/>
      <c r="P126" s="2972"/>
      <c r="Q126" s="2973"/>
      <c r="R126" s="2974"/>
      <c r="S126" s="2974"/>
      <c r="T126" s="2974"/>
      <c r="U126" s="2974"/>
      <c r="V126" s="2974"/>
      <c r="W126" s="2974"/>
      <c r="X126" s="2974"/>
      <c r="Y126" s="2974"/>
      <c r="Z126" s="2974"/>
      <c r="AA126" s="2974"/>
      <c r="AB126" s="2974"/>
      <c r="AC126" s="2974"/>
    </row>
    <row r="127" spans="1:29" s="430" customFormat="1" ht="15.75" thickBot="1">
      <c r="A127" s="510"/>
      <c r="B127" s="500"/>
      <c r="C127" s="517"/>
      <c r="D127" s="493"/>
      <c r="E127" s="493"/>
      <c r="F127" s="493"/>
      <c r="G127" s="517"/>
      <c r="H127" s="519"/>
      <c r="I127" s="519"/>
      <c r="J127" s="519"/>
      <c r="K127" s="519"/>
      <c r="L127" s="519"/>
      <c r="M127" s="520"/>
      <c r="N127" s="2982"/>
      <c r="O127" s="2982"/>
      <c r="P127" s="2972"/>
      <c r="Q127" s="2973"/>
      <c r="R127" s="2974"/>
      <c r="S127" s="2974"/>
      <c r="T127" s="2974"/>
      <c r="U127" s="2974"/>
      <c r="V127" s="2974"/>
      <c r="W127" s="2974"/>
      <c r="X127" s="2974"/>
      <c r="Y127" s="2974"/>
      <c r="Z127" s="2974"/>
      <c r="AA127" s="2974"/>
      <c r="AB127" s="2974"/>
      <c r="AC127" s="2974"/>
    </row>
    <row r="128" spans="1:29" ht="15" thickTop="1">
      <c r="A128" s="556"/>
      <c r="B128" s="495">
        <f>B45</f>
        <v>111</v>
      </c>
      <c r="C128" s="511"/>
      <c r="D128" s="511"/>
      <c r="E128" s="511"/>
      <c r="F128" s="511"/>
      <c r="G128" s="540"/>
      <c r="H128" s="540"/>
      <c r="I128" s="540"/>
      <c r="J128" s="540"/>
      <c r="K128" s="541"/>
      <c r="L128" s="542"/>
      <c r="M128" s="543"/>
      <c r="N128" s="2980"/>
      <c r="O128" s="2980"/>
      <c r="P128" s="2971"/>
      <c r="Q128" s="2966"/>
      <c r="R128" s="2952"/>
      <c r="S128" s="2952"/>
      <c r="T128" s="2952"/>
      <c r="U128" s="2952"/>
      <c r="V128" s="2952"/>
      <c r="W128" s="2952"/>
      <c r="X128" s="2952"/>
      <c r="Y128" s="2952"/>
      <c r="Z128" s="2952"/>
      <c r="AA128" s="2952"/>
      <c r="AB128" s="2952"/>
      <c r="AC128" s="2952"/>
    </row>
    <row r="129" spans="1:29" ht="15.75" thickBot="1">
      <c r="A129" s="491"/>
      <c r="B129" s="500"/>
      <c r="C129" s="517"/>
      <c r="D129" s="493"/>
      <c r="E129" s="493"/>
      <c r="F129" s="493"/>
      <c r="G129" s="493"/>
      <c r="H129" s="493"/>
      <c r="I129" s="493"/>
      <c r="J129" s="493"/>
      <c r="K129" s="493"/>
      <c r="L129" s="493"/>
      <c r="M129" s="494"/>
      <c r="N129" s="2981"/>
      <c r="O129" s="2981"/>
      <c r="P129" s="2971"/>
      <c r="Q129" s="2966"/>
      <c r="R129" s="2952"/>
      <c r="S129" s="2952"/>
      <c r="T129" s="2952"/>
      <c r="U129" s="2952"/>
      <c r="V129" s="2952"/>
      <c r="W129" s="2952"/>
      <c r="X129" s="2952"/>
      <c r="Y129" s="2952"/>
      <c r="Z129" s="2952"/>
      <c r="AA129" s="2952"/>
      <c r="AB129" s="2952"/>
      <c r="AC129" s="2952"/>
    </row>
    <row r="130" spans="1:29" ht="15" thickTop="1">
      <c r="A130" s="556"/>
      <c r="B130" s="503">
        <f>B46</f>
        <v>111</v>
      </c>
      <c r="C130" s="511"/>
      <c r="D130" s="511"/>
      <c r="E130" s="511"/>
      <c r="F130" s="511"/>
      <c r="G130" s="544"/>
      <c r="H130" s="544"/>
      <c r="I130" s="544"/>
      <c r="J130" s="544"/>
      <c r="K130" s="480"/>
      <c r="L130" s="481"/>
      <c r="M130" s="547"/>
      <c r="N130" s="2980"/>
      <c r="O130" s="2980"/>
      <c r="P130" s="2971"/>
      <c r="Q130" s="2966"/>
      <c r="R130" s="2952"/>
      <c r="S130" s="2952"/>
      <c r="T130" s="2952"/>
      <c r="U130" s="2952"/>
      <c r="V130" s="2952"/>
      <c r="W130" s="2952"/>
      <c r="X130" s="2952"/>
      <c r="Y130" s="2952"/>
      <c r="Z130" s="2952"/>
      <c r="AA130" s="2952"/>
      <c r="AB130" s="2952"/>
      <c r="AC130" s="2952"/>
    </row>
    <row r="131" spans="1:29" ht="15.75" thickBot="1">
      <c r="A131" s="2114"/>
      <c r="B131" s="526"/>
      <c r="C131" s="527"/>
      <c r="D131" s="527"/>
      <c r="E131" s="527"/>
      <c r="F131" s="527"/>
      <c r="G131" s="548"/>
      <c r="H131" s="548"/>
      <c r="I131" s="548"/>
      <c r="J131" s="548"/>
      <c r="K131" s="548"/>
      <c r="L131" s="548"/>
      <c r="M131" s="549"/>
      <c r="N131" s="2981"/>
      <c r="O131" s="2981"/>
      <c r="P131" s="2971"/>
      <c r="Q131" s="2966"/>
      <c r="R131" s="2952"/>
      <c r="S131" s="2952"/>
      <c r="T131" s="2952"/>
      <c r="U131" s="2952"/>
      <c r="V131" s="2952"/>
      <c r="W131" s="2952"/>
      <c r="X131" s="2952"/>
      <c r="Y131" s="2952"/>
      <c r="Z131" s="2952"/>
      <c r="AA131" s="2952"/>
      <c r="AB131" s="2952"/>
      <c r="AC131" s="2952"/>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1" type="noConversion"/>
  <conditionalFormatting sqref="F52 H52">
    <cfRule type="containsText" dxfId="118" priority="20"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48" xr:uid="{00000000-0002-0000-2400-000000000000}">
      <formula1>"简单平均,加权平均"</formula1>
    </dataValidation>
    <dataValidation type="list" allowBlank="1" showInputMessage="1" showErrorMessage="1" sqref="F2" xr:uid="{00000000-0002-0000-2400-000001000000}">
      <formula1>估价方法</formula1>
    </dataValidation>
    <dataValidation type="list" allowBlank="1" showInputMessage="1" showErrorMessage="1" sqref="C2" xr:uid="{00000000-0002-0000-2400-000002000000}">
      <formula1>"需扣减承租人权益,——"</formula1>
    </dataValidation>
    <dataValidation type="list" allowBlank="1" showInputMessage="1" showErrorMessage="1" sqref="F1" xr:uid="{00000000-0002-0000-2400-000003000000}">
      <formula1>"售价,租金"</formula1>
    </dataValidation>
    <dataValidation type="list" allowBlank="1" showInputMessage="1" showErrorMessage="1" sqref="C22 E22 G22 I22" xr:uid="{00000000-0002-0000-2400-000004000000}">
      <formula1>基础设施水平</formula1>
    </dataValidation>
    <dataValidation type="list" allowBlank="1" showInputMessage="1" showErrorMessage="1" sqref="C16 E16 G16 I16" xr:uid="{00000000-0002-0000-2400-000005000000}">
      <formula1>商业繁华度</formula1>
    </dataValidation>
    <dataValidation type="list" allowBlank="1" showInputMessage="1" showErrorMessage="1" sqref="C8 E8 G8 I8" xr:uid="{00000000-0002-0000-2400-000006000000}">
      <formula1>商业交易情况</formula1>
    </dataValidation>
    <dataValidation type="list" allowBlank="1" showInputMessage="1" showErrorMessage="1" sqref="C39 E39 G39 I39" xr:uid="{00000000-0002-0000-2400-000007000000}">
      <formula1>商业层高</formula1>
    </dataValidation>
    <dataValidation type="list" allowBlank="1" showInputMessage="1" showErrorMessage="1" sqref="C38 E38 G38 I38" xr:uid="{00000000-0002-0000-2400-000008000000}">
      <formula1>商业业态</formula1>
    </dataValidation>
    <dataValidation type="list" allowBlank="1" showInputMessage="1" showErrorMessage="1" sqref="E9 G9 I9" xr:uid="{00000000-0002-0000-2400-000009000000}">
      <formula1>商业用途</formula1>
    </dataValidation>
    <dataValidation type="list" allowBlank="1" showInputMessage="1" showErrorMessage="1" sqref="C42 E42 G42 I42" xr:uid="{00000000-0002-0000-2400-00000A000000}">
      <formula1>商业内部装修</formula1>
    </dataValidation>
    <dataValidation type="list" allowBlank="1" showInputMessage="1" showErrorMessage="1" sqref="C41 E41 G41 I41" xr:uid="{00000000-0002-0000-2400-00000B000000}">
      <formula1>商业进深比</formula1>
    </dataValidation>
    <dataValidation type="list" allowBlank="1" showInputMessage="1" showErrorMessage="1" sqref="C37 E37 G37 I37" xr:uid="{00000000-0002-0000-2400-00000C000000}">
      <formula1>商业基础设施水平</formula1>
    </dataValidation>
    <dataValidation type="list" allowBlank="1" showInputMessage="1" showErrorMessage="1" sqref="C35 E35 G35 I35" xr:uid="{00000000-0002-0000-2400-00000D000000}">
      <formula1>商业公共部分装修</formula1>
    </dataValidation>
    <dataValidation type="list" allowBlank="1" showInputMessage="1" showErrorMessage="1" sqref="C34 E34 G34 I34" xr:uid="{00000000-0002-0000-2400-00000E000000}">
      <formula1>商业建筑结构</formula1>
    </dataValidation>
    <dataValidation type="list" allowBlank="1" showInputMessage="1" showErrorMessage="1" sqref="C32 E32 G32 I32" xr:uid="{00000000-0002-0000-2400-00000F000000}">
      <formula1>商业类型</formula1>
    </dataValidation>
    <dataValidation type="list" allowBlank="1" showInputMessage="1" showErrorMessage="1" sqref="C28 E28 G28 I28" xr:uid="{00000000-0002-0000-2400-000010000000}">
      <formula1>商业楼层</formula1>
    </dataValidation>
    <dataValidation type="list" allowBlank="1" showInputMessage="1" showErrorMessage="1" sqref="C27 E27 G27 I27" xr:uid="{00000000-0002-0000-2400-000011000000}">
      <formula1>商业人流量</formula1>
    </dataValidation>
    <dataValidation type="list" allowBlank="1" showInputMessage="1" showErrorMessage="1" sqref="C25 E25 G25 I25" xr:uid="{00000000-0002-0000-2400-000012000000}">
      <formula1>商业临街状况</formula1>
    </dataValidation>
    <dataValidation type="list" allowBlank="1" showInputMessage="1" showErrorMessage="1" sqref="E24 G24 I24 C24" xr:uid="{00000000-0002-0000-2400-000013000000}">
      <formula1>环境</formula1>
    </dataValidation>
    <dataValidation type="list" allowBlank="1" showInputMessage="1" showErrorMessage="1" sqref="E18 G18 I18 C18" xr:uid="{00000000-0002-0000-2400-000014000000}">
      <formula1>交通便捷度</formula1>
    </dataValidation>
    <dataValidation type="list" allowBlank="1" showInputMessage="1" showErrorMessage="1" sqref="E20 I20 G20 C20" xr:uid="{00000000-0002-0000-2400-000015000000}">
      <formula1>公共配套设施</formula1>
    </dataValidation>
    <dataValidation type="list" allowBlank="1" showInputMessage="1" showErrorMessage="1" sqref="C43 E43 G43 I43" xr:uid="{00000000-0002-0000-2400-000016000000}">
      <formula1>内部装修维护情况</formula1>
    </dataValidation>
    <dataValidation type="list" allowBlank="1" showInputMessage="1" showErrorMessage="1" sqref="D1" xr:uid="{00000000-0002-0000-2400-000017000000}">
      <formula1>项目类型</formula1>
    </dataValidation>
    <dataValidation type="list" allowBlank="1" showInputMessage="1" showErrorMessage="1" sqref="C10 E10 G10 I10" xr:uid="{00000000-0002-0000-2400-000018000000}">
      <formula1>土地年限区间</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pageSetUpPr fitToPage="1"/>
  </sheetPr>
  <dimension ref="A1:AC132"/>
  <sheetViews>
    <sheetView view="pageBreakPreview" topLeftCell="A29" zoomScale="90" zoomScaleNormal="70" zoomScaleSheetLayoutView="90" workbookViewId="0">
      <selection activeCell="L49" sqref="L49"/>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5.25" style="363" customWidth="1"/>
    <col min="6" max="6" width="12.25" style="363" customWidth="1"/>
    <col min="7" max="7" width="17.125" style="363" customWidth="1"/>
    <col min="8" max="8" width="12.25" style="363" customWidth="1"/>
    <col min="9" max="9" width="16.5" style="363" customWidth="1"/>
    <col min="10" max="10" width="12.25" style="363" customWidth="1"/>
    <col min="11" max="11" width="12.25" style="452" customWidth="1"/>
    <col min="12" max="12" width="17.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2507</v>
      </c>
      <c r="C1" s="1392" t="s">
        <v>2351</v>
      </c>
      <c r="D1" s="1393"/>
      <c r="E1" s="1402"/>
      <c r="F1" s="2065" t="s">
        <v>3755</v>
      </c>
      <c r="G1" s="1403" t="s">
        <v>2353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1359</v>
      </c>
      <c r="B2" s="1326">
        <f>IF(C2="——",ROUND(C50*D3/10000,0),ROUND(C50*D3/10000,0)-D2)</f>
        <v>176841</v>
      </c>
      <c r="C2" s="2067" t="s">
        <v>70</v>
      </c>
      <c r="D2" s="1275" t="e">
        <f ca="1">SUMIF(INDIRECT("'"&amp;F2&amp;"'"&amp;"!A:A"),"承租人权益价值",INDIRECT("'"&amp;F2&amp;"'"&amp;"!c:c"))</f>
        <v>#REF!</v>
      </c>
      <c r="E2" s="2068" t="s">
        <v>2149</v>
      </c>
      <c r="F2" s="2069"/>
      <c r="G2" s="1039"/>
      <c r="H2" s="1039"/>
      <c r="I2" s="1039"/>
      <c r="J2" s="1039"/>
      <c r="K2" s="1039"/>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1360</v>
      </c>
      <c r="B3" s="566">
        <f>IF(C2="——",C50,ROUND(B2*10000/D3,0))</f>
        <v>37082</v>
      </c>
      <c r="C3" s="360" t="s">
        <v>2355</v>
      </c>
      <c r="D3" s="359">
        <f>IF(D1="",'数据-汇总表'!E3,SUMIF('数据-汇总表'!$C19:$C33,D1,'数据-汇总表'!$E19:$E33))</f>
        <v>47689.05</v>
      </c>
      <c r="E3" s="2140"/>
      <c r="F3" s="1040"/>
      <c r="G3" s="1039"/>
      <c r="H3" s="1039"/>
      <c r="I3" s="1039"/>
      <c r="J3" s="1039"/>
      <c r="K3" s="1041"/>
      <c r="L3" s="2961"/>
      <c r="M3" s="2962"/>
      <c r="N3" s="2962"/>
      <c r="O3" s="2962"/>
      <c r="P3" s="708"/>
      <c r="Q3" s="708"/>
      <c r="R3" s="708"/>
      <c r="S3" s="708"/>
      <c r="T3" s="708"/>
      <c r="U3" s="708"/>
      <c r="V3" s="708"/>
      <c r="W3" s="708"/>
      <c r="X3" s="708"/>
      <c r="Y3" s="708"/>
      <c r="Z3" s="708"/>
      <c r="AA3" s="708"/>
      <c r="AB3" s="708"/>
      <c r="AC3" s="709"/>
    </row>
    <row r="4" spans="1:29" ht="15">
      <c r="A4" s="361" t="s">
        <v>2356</v>
      </c>
      <c r="B4" s="362"/>
      <c r="C4" s="3781" t="s">
        <v>2357</v>
      </c>
      <c r="D4" s="3782"/>
      <c r="E4" s="3783" t="s">
        <v>2358</v>
      </c>
      <c r="F4" s="3784"/>
      <c r="G4" s="3781" t="s">
        <v>2359</v>
      </c>
      <c r="H4" s="3782"/>
      <c r="I4" s="3781" t="s">
        <v>2360</v>
      </c>
      <c r="J4" s="3782"/>
      <c r="K4" s="567" t="s">
        <v>2361</v>
      </c>
      <c r="L4" s="2942"/>
      <c r="M4" s="2943"/>
      <c r="N4" s="2943"/>
      <c r="O4" s="2943"/>
      <c r="P4" s="3859" t="s">
        <v>2362</v>
      </c>
      <c r="Q4" s="3860"/>
      <c r="R4" s="3853" t="s">
        <v>2358</v>
      </c>
      <c r="S4" s="3854"/>
      <c r="T4" s="3853" t="s">
        <v>2359</v>
      </c>
      <c r="U4" s="3854"/>
      <c r="V4" s="3852" t="s">
        <v>2360</v>
      </c>
      <c r="W4" s="3852"/>
      <c r="X4" s="3179"/>
      <c r="Y4" s="3853" t="s">
        <v>2362</v>
      </c>
      <c r="Z4" s="3854"/>
      <c r="AA4" s="3855" t="s">
        <v>2358</v>
      </c>
      <c r="AB4" s="3855" t="s">
        <v>2359</v>
      </c>
      <c r="AC4" s="3856" t="s">
        <v>2360</v>
      </c>
    </row>
    <row r="5" spans="1:29" ht="15">
      <c r="A5" s="364"/>
      <c r="B5" s="365"/>
      <c r="C5" s="3846" t="s">
        <v>3756</v>
      </c>
      <c r="D5" s="3775"/>
      <c r="E5" s="3863" t="str">
        <f>'案例-销售'!B6</f>
        <v>恒基中心</v>
      </c>
      <c r="F5" s="3773"/>
      <c r="G5" s="3846" t="str">
        <f>'案例-销售'!B11</f>
        <v>北京长安街W酒店</v>
      </c>
      <c r="H5" s="3775"/>
      <c r="I5" s="3846" t="str">
        <f>'案例-销售'!B8</f>
        <v>九和大厦</v>
      </c>
      <c r="J5" s="3775"/>
      <c r="K5" s="567"/>
      <c r="L5" s="2942"/>
      <c r="M5" s="2943"/>
      <c r="N5" s="2943"/>
      <c r="O5" s="2943"/>
      <c r="P5" s="3861"/>
      <c r="Q5" s="3788"/>
      <c r="R5" s="3770"/>
      <c r="S5" s="3771"/>
      <c r="T5" s="3770"/>
      <c r="U5" s="3771"/>
      <c r="V5" s="3793"/>
      <c r="W5" s="3793"/>
      <c r="X5" s="3174"/>
      <c r="Y5" s="3770"/>
      <c r="Z5" s="3771"/>
      <c r="AA5" s="3764"/>
      <c r="AB5" s="3764"/>
      <c r="AC5" s="3857"/>
    </row>
    <row r="6" spans="1:29" ht="15.75" thickBot="1">
      <c r="A6" s="366"/>
      <c r="B6" s="367"/>
      <c r="C6" s="3847" t="s">
        <v>3482</v>
      </c>
      <c r="D6" s="3777"/>
      <c r="E6" s="3864" t="s">
        <v>4306</v>
      </c>
      <c r="F6" s="3779"/>
      <c r="G6" s="3847" t="s">
        <v>4305</v>
      </c>
      <c r="H6" s="3777"/>
      <c r="I6" s="3865" t="s">
        <v>4304</v>
      </c>
      <c r="J6" s="3777"/>
      <c r="K6" s="567" t="s">
        <v>2368</v>
      </c>
      <c r="L6" s="2942"/>
      <c r="M6" s="2943"/>
      <c r="N6" s="2943"/>
      <c r="O6" s="2943"/>
      <c r="P6" s="3862"/>
      <c r="Q6" s="3790"/>
      <c r="R6" s="3770"/>
      <c r="S6" s="3771"/>
      <c r="T6" s="3791"/>
      <c r="U6" s="3792"/>
      <c r="V6" s="3793"/>
      <c r="W6" s="3793"/>
      <c r="X6" s="3174"/>
      <c r="Y6" s="3791"/>
      <c r="Z6" s="3792"/>
      <c r="AA6" s="3765"/>
      <c r="AB6" s="3765"/>
      <c r="AC6" s="3858"/>
    </row>
    <row r="7" spans="1:29" s="113" customFormat="1" ht="15.75" thickBot="1">
      <c r="A7" s="368" t="s">
        <v>2369</v>
      </c>
      <c r="B7" s="369"/>
      <c r="C7" s="370">
        <f>'数据-取费表'!B2</f>
        <v>42914</v>
      </c>
      <c r="D7" s="371">
        <v>100</v>
      </c>
      <c r="E7" s="372">
        <v>42705</v>
      </c>
      <c r="F7" s="373">
        <f>SUMIF(59:59,YEAR(E7)&amp;"-"&amp;MONTH(E7),60:60)</f>
        <v>99</v>
      </c>
      <c r="G7" s="372">
        <v>42826</v>
      </c>
      <c r="H7" s="371">
        <f>SUMIF(59:59,YEAR(G7)&amp;"-"&amp;MONTH(G7),60:60)</f>
        <v>100</v>
      </c>
      <c r="I7" s="372">
        <v>42887</v>
      </c>
      <c r="J7" s="371">
        <f>SUMIF(59:59,YEAR(I7)&amp;"-"&amp;MONTH(I7),60:60)</f>
        <v>100</v>
      </c>
      <c r="K7" s="568"/>
      <c r="L7" s="2944"/>
      <c r="M7" s="2945"/>
      <c r="N7" s="2945"/>
      <c r="O7" s="2945"/>
      <c r="P7" s="3851" t="s">
        <v>2370</v>
      </c>
      <c r="Q7" s="3794"/>
      <c r="R7" s="710" t="s">
        <v>17</v>
      </c>
      <c r="S7" s="711">
        <f t="shared" ref="S7:S15" si="0">F7</f>
        <v>99</v>
      </c>
      <c r="T7" s="710" t="s">
        <v>17</v>
      </c>
      <c r="U7" s="711">
        <f t="shared" ref="U7:U15" si="1">H7</f>
        <v>100</v>
      </c>
      <c r="V7" s="710" t="s">
        <v>17</v>
      </c>
      <c r="W7" s="711">
        <f t="shared" ref="W7:W15" si="2">J7</f>
        <v>100</v>
      </c>
      <c r="X7" s="712"/>
      <c r="Y7" s="3766" t="s">
        <v>2370</v>
      </c>
      <c r="Z7" s="3767"/>
      <c r="AA7" s="713">
        <f>D7/F7</f>
        <v>1.0101010101010102</v>
      </c>
      <c r="AB7" s="713">
        <f>D7/H7</f>
        <v>1</v>
      </c>
      <c r="AC7" s="2145">
        <f>D7/J7</f>
        <v>1</v>
      </c>
    </row>
    <row r="8" spans="1:29" s="113" customFormat="1" ht="15.75" thickBot="1">
      <c r="A8" s="368" t="s">
        <v>2371</v>
      </c>
      <c r="B8" s="369"/>
      <c r="C8" s="374" t="s">
        <v>2408</v>
      </c>
      <c r="D8" s="371">
        <v>100</v>
      </c>
      <c r="E8" s="374" t="s">
        <v>3461</v>
      </c>
      <c r="F8" s="373">
        <f>SUMIF(62:62,E8,63:63)-SUMIF(62:62,C8,63:63)+100</f>
        <v>100</v>
      </c>
      <c r="G8" s="374" t="s">
        <v>3461</v>
      </c>
      <c r="H8" s="371">
        <f>SUMIF(62:62,G8,63:63)-SUMIF(62:62,C8,63:63)+100</f>
        <v>100</v>
      </c>
      <c r="I8" s="374" t="s">
        <v>3461</v>
      </c>
      <c r="J8" s="371">
        <f>SUMIF(62:62,I8,63:63)-SUMIF(62:62,C8,63:63)+100</f>
        <v>100</v>
      </c>
      <c r="K8" s="568"/>
      <c r="L8" s="2944"/>
      <c r="M8" s="2945"/>
      <c r="N8" s="2945"/>
      <c r="O8" s="2945"/>
      <c r="P8" s="3851" t="s">
        <v>2373</v>
      </c>
      <c r="Q8" s="3767"/>
      <c r="R8" s="710" t="s">
        <v>17</v>
      </c>
      <c r="S8" s="711">
        <f t="shared" si="0"/>
        <v>100</v>
      </c>
      <c r="T8" s="710" t="s">
        <v>17</v>
      </c>
      <c r="U8" s="711">
        <f t="shared" si="1"/>
        <v>100</v>
      </c>
      <c r="V8" s="710" t="s">
        <v>17</v>
      </c>
      <c r="W8" s="711">
        <f t="shared" si="2"/>
        <v>100</v>
      </c>
      <c r="X8" s="712"/>
      <c r="Y8" s="3766" t="s">
        <v>2373</v>
      </c>
      <c r="Z8" s="3767"/>
      <c r="AA8" s="713">
        <f t="shared" ref="AA8:AA47" si="3">D8/F8</f>
        <v>1</v>
      </c>
      <c r="AB8" s="713">
        <f t="shared" ref="AB8:AB47" si="4">D8/H8</f>
        <v>1</v>
      </c>
      <c r="AC8" s="2145">
        <f t="shared" ref="AC8:AC47" si="5">D8/J8</f>
        <v>1</v>
      </c>
    </row>
    <row r="9" spans="1:29" s="113" customFormat="1" ht="15.75" thickBot="1">
      <c r="A9" s="375" t="s">
        <v>2374</v>
      </c>
      <c r="B9" s="67" t="s">
        <v>2375</v>
      </c>
      <c r="C9" s="3167" t="s">
        <v>3473</v>
      </c>
      <c r="D9" s="131">
        <v>100</v>
      </c>
      <c r="E9" s="379" t="s">
        <v>27</v>
      </c>
      <c r="F9" s="131">
        <f>SUMIF(64:64,E9,65:65)-SUMIF(64:64,C9,65:65)+100</f>
        <v>100</v>
      </c>
      <c r="G9" s="379" t="s">
        <v>4307</v>
      </c>
      <c r="H9" s="131">
        <f>SUMIF(64:64,G9,65:65)-SUMIF(64:64,C9,65:65)+100</f>
        <v>95</v>
      </c>
      <c r="I9" s="379" t="s">
        <v>27</v>
      </c>
      <c r="J9" s="131">
        <f>SUMIF(64:64,I9,65:65)-SUMIF(64:64,C9,65:65)+100</f>
        <v>100</v>
      </c>
      <c r="K9" s="568"/>
      <c r="L9" s="2944"/>
      <c r="M9" s="2945"/>
      <c r="N9" s="2945"/>
      <c r="O9" s="2945"/>
      <c r="P9" s="3780" t="s">
        <v>2376</v>
      </c>
      <c r="Q9" s="3173" t="str">
        <f t="shared" ref="Q9:Q15" si="6">B9</f>
        <v>用途</v>
      </c>
      <c r="R9" s="710" t="s">
        <v>17</v>
      </c>
      <c r="S9" s="711">
        <f t="shared" si="0"/>
        <v>100</v>
      </c>
      <c r="T9" s="710" t="s">
        <v>17</v>
      </c>
      <c r="U9" s="711">
        <f t="shared" si="1"/>
        <v>95</v>
      </c>
      <c r="V9" s="710" t="s">
        <v>17</v>
      </c>
      <c r="W9" s="711">
        <f t="shared" si="2"/>
        <v>100</v>
      </c>
      <c r="X9" s="712"/>
      <c r="Y9" s="3708" t="s">
        <v>2377</v>
      </c>
      <c r="Z9" s="3172" t="str">
        <f t="shared" ref="Z9:Z15" si="7">Q9</f>
        <v>用途</v>
      </c>
      <c r="AA9" s="713">
        <f t="shared" si="3"/>
        <v>1</v>
      </c>
      <c r="AB9" s="713">
        <f t="shared" si="4"/>
        <v>1.0526315789473684</v>
      </c>
      <c r="AC9" s="2145">
        <f t="shared" si="5"/>
        <v>1</v>
      </c>
    </row>
    <row r="10" spans="1:29" s="386" customFormat="1" ht="27" hidden="1">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6"/>
      <c r="M10" s="2947"/>
      <c r="N10" s="2947"/>
      <c r="O10" s="2947"/>
      <c r="P10" s="3780"/>
      <c r="Q10" s="3173" t="str">
        <f t="shared" si="6"/>
        <v>土地使用年限（年）</v>
      </c>
      <c r="R10" s="710" t="s">
        <v>17</v>
      </c>
      <c r="S10" s="711">
        <f t="shared" si="0"/>
        <v>100</v>
      </c>
      <c r="T10" s="710" t="s">
        <v>17</v>
      </c>
      <c r="U10" s="711">
        <f t="shared" si="1"/>
        <v>100</v>
      </c>
      <c r="V10" s="710" t="s">
        <v>17</v>
      </c>
      <c r="W10" s="711">
        <f t="shared" si="2"/>
        <v>100</v>
      </c>
      <c r="X10" s="712"/>
      <c r="Y10" s="3708"/>
      <c r="Z10" s="3172" t="str">
        <f t="shared" si="7"/>
        <v>土地使用年限（年）</v>
      </c>
      <c r="AA10" s="713">
        <f t="shared" si="3"/>
        <v>1</v>
      </c>
      <c r="AB10" s="713">
        <f t="shared" si="4"/>
        <v>1</v>
      </c>
      <c r="AC10" s="2145">
        <f t="shared" si="5"/>
        <v>1</v>
      </c>
    </row>
    <row r="11" spans="1:29" ht="15" hidden="1">
      <c r="A11" s="387"/>
      <c r="B11" s="381" t="s">
        <v>2379</v>
      </c>
      <c r="C11" s="388"/>
      <c r="D11" s="132">
        <v>100</v>
      </c>
      <c r="E11" s="388"/>
      <c r="F11" s="132">
        <f>LOOKUP(E11,69:69,70:70)-LOOKUP(C11,69:69,70:70)+100</f>
        <v>100</v>
      </c>
      <c r="G11" s="389"/>
      <c r="H11" s="132">
        <f>LOOKUP(G11,69:69,70:70)-LOOKUP(C11,69:69,70:70)+100</f>
        <v>100</v>
      </c>
      <c r="I11" s="388"/>
      <c r="J11" s="132">
        <f>LOOKUP(I11,69:69,70:70)-LOOKUP(C11,69:69,70:70)+100</f>
        <v>100</v>
      </c>
      <c r="K11" s="569"/>
      <c r="L11" s="2948"/>
      <c r="M11" s="2943"/>
      <c r="N11" s="2943"/>
      <c r="O11" s="2943"/>
      <c r="P11" s="3780"/>
      <c r="Q11" s="3173" t="str">
        <f t="shared" si="6"/>
        <v>容积率</v>
      </c>
      <c r="R11" s="710" t="s">
        <v>17</v>
      </c>
      <c r="S11" s="711">
        <f t="shared" si="0"/>
        <v>100</v>
      </c>
      <c r="T11" s="710" t="s">
        <v>17</v>
      </c>
      <c r="U11" s="711">
        <f t="shared" si="1"/>
        <v>100</v>
      </c>
      <c r="V11" s="710" t="s">
        <v>17</v>
      </c>
      <c r="W11" s="711">
        <f t="shared" si="2"/>
        <v>100</v>
      </c>
      <c r="X11" s="712"/>
      <c r="Y11" s="3708"/>
      <c r="Z11" s="3172" t="str">
        <f t="shared" si="7"/>
        <v>容积率</v>
      </c>
      <c r="AA11" s="713">
        <f t="shared" si="3"/>
        <v>1</v>
      </c>
      <c r="AB11" s="713">
        <f t="shared" si="4"/>
        <v>1</v>
      </c>
      <c r="AC11" s="2145">
        <f t="shared" si="5"/>
        <v>1</v>
      </c>
    </row>
    <row r="12" spans="1:29" s="113" customFormat="1" ht="15" hidden="1">
      <c r="A12" s="390"/>
      <c r="B12" s="3315" t="s">
        <v>4207</v>
      </c>
      <c r="C12" s="3313" t="s">
        <v>4208</v>
      </c>
      <c r="D12" s="392">
        <v>100</v>
      </c>
      <c r="E12" s="3313" t="s">
        <v>4208</v>
      </c>
      <c r="F12" s="132">
        <f>SUMIF(71:71,E12,72:72)-SUMIF(71:71,C12,72:72)+100</f>
        <v>100</v>
      </c>
      <c r="G12" s="3313" t="s">
        <v>4208</v>
      </c>
      <c r="H12" s="132">
        <f>SUMIF(71:71,G12,72:72)-SUMIF(71:71,C12,72:72)+100</f>
        <v>100</v>
      </c>
      <c r="I12" s="3313" t="s">
        <v>4208</v>
      </c>
      <c r="J12" s="132">
        <f>SUMIF(71:71,I12,72:72)-SUMIF(71:71,C12,72:72)+100</f>
        <v>100</v>
      </c>
      <c r="K12" s="570"/>
      <c r="L12" s="2944"/>
      <c r="M12" s="2945"/>
      <c r="N12" s="2945"/>
      <c r="O12" s="2945"/>
      <c r="P12" s="3780"/>
      <c r="Q12" s="3173" t="str">
        <f t="shared" si="6"/>
        <v>产权</v>
      </c>
      <c r="R12" s="710" t="s">
        <v>17</v>
      </c>
      <c r="S12" s="711">
        <f t="shared" si="0"/>
        <v>100</v>
      </c>
      <c r="T12" s="710" t="s">
        <v>17</v>
      </c>
      <c r="U12" s="711">
        <f t="shared" si="1"/>
        <v>100</v>
      </c>
      <c r="V12" s="710" t="s">
        <v>17</v>
      </c>
      <c r="W12" s="711">
        <f t="shared" si="2"/>
        <v>100</v>
      </c>
      <c r="X12" s="712"/>
      <c r="Y12" s="3708"/>
      <c r="Z12" s="3172" t="str">
        <f t="shared" si="7"/>
        <v>产权</v>
      </c>
      <c r="AA12" s="713">
        <f>D12/F12</f>
        <v>1</v>
      </c>
      <c r="AB12" s="713">
        <f>D12/H12</f>
        <v>1</v>
      </c>
      <c r="AC12" s="2145">
        <f>D12/J12</f>
        <v>1</v>
      </c>
    </row>
    <row r="13" spans="1:29" ht="15" hidden="1">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49"/>
      <c r="M13" s="2943"/>
      <c r="N13" s="2943"/>
      <c r="O13" s="2943"/>
      <c r="P13" s="3780"/>
      <c r="Q13" s="3173">
        <f t="shared" si="6"/>
        <v>111</v>
      </c>
      <c r="R13" s="710" t="s">
        <v>17</v>
      </c>
      <c r="S13" s="711">
        <f t="shared" si="0"/>
        <v>100</v>
      </c>
      <c r="T13" s="710" t="s">
        <v>17</v>
      </c>
      <c r="U13" s="711">
        <f t="shared" si="1"/>
        <v>100</v>
      </c>
      <c r="V13" s="710" t="s">
        <v>17</v>
      </c>
      <c r="W13" s="711">
        <f t="shared" si="2"/>
        <v>100</v>
      </c>
      <c r="X13" s="712"/>
      <c r="Y13" s="3708"/>
      <c r="Z13" s="3172">
        <f t="shared" si="7"/>
        <v>111</v>
      </c>
      <c r="AA13" s="713">
        <f t="shared" si="3"/>
        <v>1</v>
      </c>
      <c r="AB13" s="713">
        <f t="shared" si="4"/>
        <v>1</v>
      </c>
      <c r="AC13" s="2145">
        <f t="shared" si="5"/>
        <v>1</v>
      </c>
    </row>
    <row r="14" spans="1:29" ht="15.75" hidden="1"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49"/>
      <c r="M14" s="2943"/>
      <c r="N14" s="2943"/>
      <c r="O14" s="2943"/>
      <c r="P14" s="3780"/>
      <c r="Q14" s="3173">
        <f t="shared" si="6"/>
        <v>111</v>
      </c>
      <c r="R14" s="710" t="s">
        <v>17</v>
      </c>
      <c r="S14" s="711">
        <f t="shared" si="0"/>
        <v>100</v>
      </c>
      <c r="T14" s="710" t="s">
        <v>17</v>
      </c>
      <c r="U14" s="711">
        <f t="shared" si="1"/>
        <v>100</v>
      </c>
      <c r="V14" s="710" t="s">
        <v>17</v>
      </c>
      <c r="W14" s="711">
        <f t="shared" si="2"/>
        <v>100</v>
      </c>
      <c r="X14" s="712"/>
      <c r="Y14" s="3708"/>
      <c r="Z14" s="3172">
        <f t="shared" si="7"/>
        <v>111</v>
      </c>
      <c r="AA14" s="713">
        <f t="shared" si="3"/>
        <v>1</v>
      </c>
      <c r="AB14" s="713">
        <f t="shared" si="4"/>
        <v>1</v>
      </c>
      <c r="AC14" s="2145">
        <f t="shared" si="5"/>
        <v>1</v>
      </c>
    </row>
    <row r="15" spans="1:29" ht="40.9" customHeight="1">
      <c r="A15" s="399" t="s">
        <v>2380</v>
      </c>
      <c r="B15" s="585" t="s">
        <v>2508</v>
      </c>
      <c r="C15" s="2147" t="str">
        <f>估价对象房地状况!C5</f>
        <v>估价对象位于东四商圈，位于办公类一级地价区，有国家民航总局、国务院发展研究中心机关办公楼、隆福大厦由商场主体改写字楼，周边商业写字楼项目较少，没有形成聚集的写字楼办公区，办公集聚度一般。</v>
      </c>
      <c r="D15" s="400">
        <v>100</v>
      </c>
      <c r="E15" s="3434" t="s">
        <v>4203</v>
      </c>
      <c r="F15" s="400">
        <f>SUMIF(77:77,E16,78:78)-SUMIF(77:77,C16,78:78)+100</f>
        <v>100</v>
      </c>
      <c r="G15" s="3434" t="s">
        <v>4210</v>
      </c>
      <c r="H15" s="400">
        <f>SUMIF(77:77,G16,78:78)-SUMIF(77:77,C16,78:78)+100</f>
        <v>100</v>
      </c>
      <c r="I15" s="3225" t="s">
        <v>4264</v>
      </c>
      <c r="J15" s="400">
        <f>SUMIF(77:77,I16,78:78)-SUMIF(77:77,C16,78:78)+100</f>
        <v>100</v>
      </c>
      <c r="K15" s="571">
        <v>5</v>
      </c>
      <c r="L15" s="2949"/>
      <c r="M15" s="2943"/>
      <c r="N15" s="2943"/>
      <c r="O15" s="2943"/>
      <c r="P15" s="3807" t="s">
        <v>2381</v>
      </c>
      <c r="Q15" s="3177" t="str">
        <f t="shared" si="6"/>
        <v>办公集聚程度</v>
      </c>
      <c r="R15" s="714" t="s">
        <v>17</v>
      </c>
      <c r="S15" s="715">
        <f t="shared" si="0"/>
        <v>100</v>
      </c>
      <c r="T15" s="714" t="s">
        <v>17</v>
      </c>
      <c r="U15" s="715">
        <f t="shared" si="1"/>
        <v>100</v>
      </c>
      <c r="V15" s="714" t="s">
        <v>17</v>
      </c>
      <c r="W15" s="715">
        <f t="shared" si="2"/>
        <v>100</v>
      </c>
      <c r="X15" s="3174"/>
      <c r="Y15" s="3800" t="s">
        <v>2381</v>
      </c>
      <c r="Z15" s="3175" t="str">
        <f t="shared" si="7"/>
        <v>办公集聚程度</v>
      </c>
      <c r="AA15" s="3178">
        <f t="shared" si="3"/>
        <v>1</v>
      </c>
      <c r="AB15" s="3178">
        <f t="shared" si="4"/>
        <v>1</v>
      </c>
      <c r="AC15" s="2148">
        <f t="shared" si="5"/>
        <v>1</v>
      </c>
    </row>
    <row r="16" spans="1:29" ht="15">
      <c r="A16" s="387"/>
      <c r="B16" s="586"/>
      <c r="C16" s="2090" t="s">
        <v>3474</v>
      </c>
      <c r="D16" s="407"/>
      <c r="E16" s="406" t="s">
        <v>3474</v>
      </c>
      <c r="F16" s="407"/>
      <c r="G16" s="406" t="s">
        <v>3474</v>
      </c>
      <c r="H16" s="409"/>
      <c r="I16" s="406" t="s">
        <v>3474</v>
      </c>
      <c r="J16" s="407"/>
      <c r="K16" s="572"/>
      <c r="L16" s="2949"/>
      <c r="M16" s="2943"/>
      <c r="N16" s="2943"/>
      <c r="O16" s="2943"/>
      <c r="P16" s="3808"/>
      <c r="Q16" s="3177"/>
      <c r="R16" s="714"/>
      <c r="S16" s="715"/>
      <c r="T16" s="714"/>
      <c r="U16" s="715"/>
      <c r="V16" s="714"/>
      <c r="W16" s="715"/>
      <c r="X16" s="3174"/>
      <c r="Y16" s="3801"/>
      <c r="Z16" s="3175"/>
      <c r="AA16" s="3178">
        <v>1</v>
      </c>
      <c r="AB16" s="3178">
        <v>1</v>
      </c>
      <c r="AC16" s="2148">
        <v>1</v>
      </c>
    </row>
    <row r="17" spans="1:29" ht="78.599999999999994" customHeight="1">
      <c r="A17" s="387"/>
      <c r="B17" s="587" t="s">
        <v>1945</v>
      </c>
      <c r="C17" s="2149" t="str">
        <f>估价对象房地状况!C6</f>
        <v>估价对象位于东四路口的东南角，紧临城市主干道-朝阳门内大街，西距东四南大街100米，距离地铁5号线（2007年通车）与6号线（2012年通车）东四站75米，多条公交线路通达，公共交通便利，停车便捷度好，综合评价交通便捷度较好。</v>
      </c>
      <c r="D17" s="409">
        <v>100</v>
      </c>
      <c r="E17" s="3435" t="s">
        <v>4209</v>
      </c>
      <c r="F17" s="409">
        <f>SUMIF(79:79,E18,80:80)-SUMIF(79:79,C18,80:80)+100</f>
        <v>97</v>
      </c>
      <c r="G17" s="3435" t="s">
        <v>4214</v>
      </c>
      <c r="H17" s="414">
        <f>SUMIF(79:79,G18,80:80)-SUMIF(79:79,C18,80:80)+100</f>
        <v>97</v>
      </c>
      <c r="I17" s="3226" t="s">
        <v>4162</v>
      </c>
      <c r="J17" s="414">
        <f>SUMIF(79:79,I18,80:80)-SUMIF(79:79,C18,80:80)+100</f>
        <v>100</v>
      </c>
      <c r="K17" s="571">
        <v>3</v>
      </c>
      <c r="L17" s="2949"/>
      <c r="M17" s="2943"/>
      <c r="N17" s="2943"/>
      <c r="O17" s="2943"/>
      <c r="P17" s="3808"/>
      <c r="Q17" s="3177" t="str">
        <f>B17</f>
        <v>交通便捷度</v>
      </c>
      <c r="R17" s="714" t="s">
        <v>17</v>
      </c>
      <c r="S17" s="715">
        <f>F17</f>
        <v>97</v>
      </c>
      <c r="T17" s="714" t="s">
        <v>17</v>
      </c>
      <c r="U17" s="715">
        <f>H17</f>
        <v>97</v>
      </c>
      <c r="V17" s="714" t="s">
        <v>17</v>
      </c>
      <c r="W17" s="715">
        <f>J17</f>
        <v>100</v>
      </c>
      <c r="X17" s="3174"/>
      <c r="Y17" s="3801"/>
      <c r="Z17" s="3175" t="str">
        <f>Q17</f>
        <v>交通便捷度</v>
      </c>
      <c r="AA17" s="3178">
        <f t="shared" si="3"/>
        <v>1.0309278350515463</v>
      </c>
      <c r="AB17" s="3178">
        <f t="shared" si="4"/>
        <v>1.0309278350515463</v>
      </c>
      <c r="AC17" s="2148">
        <f t="shared" si="5"/>
        <v>1</v>
      </c>
    </row>
    <row r="18" spans="1:29" ht="15">
      <c r="A18" s="387"/>
      <c r="B18" s="588"/>
      <c r="C18" s="2150" t="s">
        <v>3095</v>
      </c>
      <c r="D18" s="409"/>
      <c r="E18" s="2150" t="s">
        <v>3094</v>
      </c>
      <c r="F18" s="409"/>
      <c r="G18" s="2150" t="s">
        <v>3094</v>
      </c>
      <c r="H18" s="407"/>
      <c r="I18" s="2150" t="s">
        <v>3095</v>
      </c>
      <c r="J18" s="407"/>
      <c r="K18" s="572"/>
      <c r="L18" s="2949"/>
      <c r="M18" s="2943"/>
      <c r="N18" s="2943"/>
      <c r="O18" s="2943"/>
      <c r="P18" s="3808"/>
      <c r="Q18" s="3177"/>
      <c r="R18" s="714"/>
      <c r="S18" s="715"/>
      <c r="T18" s="714"/>
      <c r="U18" s="715"/>
      <c r="V18" s="714"/>
      <c r="W18" s="715"/>
      <c r="X18" s="3174"/>
      <c r="Y18" s="3801"/>
      <c r="Z18" s="3175"/>
      <c r="AA18" s="3178">
        <v>1</v>
      </c>
      <c r="AB18" s="3178">
        <v>1</v>
      </c>
      <c r="AC18" s="2148">
        <v>1</v>
      </c>
    </row>
    <row r="19" spans="1:29" ht="68.45" customHeight="1">
      <c r="A19" s="387"/>
      <c r="B19" s="587" t="s">
        <v>2509</v>
      </c>
      <c r="C19" s="2149" t="str">
        <f>估价对象房地状况!C7</f>
        <v>估价对象所在区域有购物场所（隆福广场、物美超市等），教育机构（灯市口小学、北京市第一六六中学），医疗网点（北京市东城区口腔医院、北京市东城区朝阳门社区卫生服务中心），金融网点（中国邮政储蓄银行、中国工商银行、北京农商银行、广发银行），综合分析，公共配套设施齐备程度较好。</v>
      </c>
      <c r="D19" s="414">
        <v>100</v>
      </c>
      <c r="E19" s="3436" t="s">
        <v>4204</v>
      </c>
      <c r="F19" s="414">
        <f>SUMIF(81:81,E20,82:82)-SUMIF(81:81,C20,82:82)+100</f>
        <v>100</v>
      </c>
      <c r="G19" s="3436" t="s">
        <v>4205</v>
      </c>
      <c r="H19" s="409">
        <f>SUMIF(81:81,G20,82:82)-SUMIF(81:81,C20,82:82)+100</f>
        <v>100</v>
      </c>
      <c r="I19" s="3224" t="s">
        <v>4156</v>
      </c>
      <c r="J19" s="409">
        <f>SUMIF(81:81,I20,82:82)-SUMIF(81:81,C20,82:82)+100</f>
        <v>100</v>
      </c>
      <c r="K19" s="571">
        <v>3</v>
      </c>
      <c r="L19" s="2949"/>
      <c r="M19" s="2943"/>
      <c r="N19" s="2943"/>
      <c r="O19" s="2943"/>
      <c r="P19" s="3808"/>
      <c r="Q19" s="3177" t="str">
        <f>B19</f>
        <v>公共配套设施</v>
      </c>
      <c r="R19" s="714" t="s">
        <v>17</v>
      </c>
      <c r="S19" s="715">
        <f>F19</f>
        <v>100</v>
      </c>
      <c r="T19" s="714" t="s">
        <v>17</v>
      </c>
      <c r="U19" s="715">
        <f>H19</f>
        <v>100</v>
      </c>
      <c r="V19" s="714" t="s">
        <v>17</v>
      </c>
      <c r="W19" s="715">
        <f>J19</f>
        <v>100</v>
      </c>
      <c r="X19" s="3174"/>
      <c r="Y19" s="3801"/>
      <c r="Z19" s="3175" t="str">
        <f>Q19</f>
        <v>公共配套设施</v>
      </c>
      <c r="AA19" s="3178">
        <f t="shared" si="3"/>
        <v>1</v>
      </c>
      <c r="AB19" s="3178">
        <f t="shared" si="4"/>
        <v>1</v>
      </c>
      <c r="AC19" s="2148">
        <f t="shared" si="5"/>
        <v>1</v>
      </c>
    </row>
    <row r="20" spans="1:29" ht="16.5">
      <c r="A20" s="387"/>
      <c r="B20" s="588"/>
      <c r="C20" s="2090" t="s">
        <v>3094</v>
      </c>
      <c r="D20" s="407"/>
      <c r="E20" s="3400" t="s">
        <v>3094</v>
      </c>
      <c r="F20" s="407"/>
      <c r="G20" s="2150" t="s">
        <v>3094</v>
      </c>
      <c r="H20" s="407"/>
      <c r="I20" s="2150" t="s">
        <v>3094</v>
      </c>
      <c r="J20" s="407"/>
      <c r="K20" s="572"/>
      <c r="L20" s="2949"/>
      <c r="M20" s="2943"/>
      <c r="N20" s="2943"/>
      <c r="O20" s="2943"/>
      <c r="P20" s="3808"/>
      <c r="Q20" s="3177"/>
      <c r="R20" s="714"/>
      <c r="S20" s="715"/>
      <c r="T20" s="714"/>
      <c r="U20" s="715"/>
      <c r="V20" s="714"/>
      <c r="W20" s="715"/>
      <c r="X20" s="3174"/>
      <c r="Y20" s="3801"/>
      <c r="Z20" s="3175"/>
      <c r="AA20" s="3178">
        <v>1</v>
      </c>
      <c r="AB20" s="3178">
        <v>1</v>
      </c>
      <c r="AC20" s="2148">
        <v>1</v>
      </c>
    </row>
    <row r="21" spans="1:29" ht="18.600000000000001" customHeight="1">
      <c r="A21" s="387"/>
      <c r="B21" s="589" t="s">
        <v>2510</v>
      </c>
      <c r="C21" s="2149" t="str">
        <f>估价对象房地状况!C8</f>
        <v>估价对象所在区域基础设施水平-七通</v>
      </c>
      <c r="D21" s="409">
        <v>100</v>
      </c>
      <c r="E21" s="418"/>
      <c r="F21" s="414">
        <f>SUMIF(83:83,E22,84:84)-SUMIF(83:83,C22,84:84)+100</f>
        <v>100</v>
      </c>
      <c r="G21" s="416"/>
      <c r="H21" s="409">
        <f>SUMIF(83:83,G22,84:84)-SUMIF(83:83,C22,84:84)+100</f>
        <v>100</v>
      </c>
      <c r="I21" s="416"/>
      <c r="J21" s="409">
        <f>SUMIF(83:83,I22,84:84)-SUMIF(83:83,C22,84:84)+100</f>
        <v>100</v>
      </c>
      <c r="K21" s="571">
        <v>2</v>
      </c>
      <c r="L21" s="2949"/>
      <c r="M21" s="2943"/>
      <c r="N21" s="2943"/>
      <c r="O21" s="2943"/>
      <c r="P21" s="3808"/>
      <c r="Q21" s="3177" t="str">
        <f>B21</f>
        <v>基础设施水平</v>
      </c>
      <c r="R21" s="714" t="s">
        <v>17</v>
      </c>
      <c r="S21" s="715">
        <f>F21</f>
        <v>100</v>
      </c>
      <c r="T21" s="714" t="s">
        <v>17</v>
      </c>
      <c r="U21" s="715">
        <f>H21</f>
        <v>100</v>
      </c>
      <c r="V21" s="714" t="s">
        <v>17</v>
      </c>
      <c r="W21" s="715">
        <f>J21</f>
        <v>100</v>
      </c>
      <c r="X21" s="3174"/>
      <c r="Y21" s="3801"/>
      <c r="Z21" s="3175" t="str">
        <f>Q21</f>
        <v>基础设施水平</v>
      </c>
      <c r="AA21" s="3178">
        <f>D21/F21</f>
        <v>1</v>
      </c>
      <c r="AB21" s="3178">
        <f>D21/H21</f>
        <v>1</v>
      </c>
      <c r="AC21" s="2148">
        <f>D21/J21</f>
        <v>1</v>
      </c>
    </row>
    <row r="22" spans="1:29" ht="15">
      <c r="A22" s="387"/>
      <c r="B22" s="589"/>
      <c r="C22" s="2150" t="s">
        <v>3475</v>
      </c>
      <c r="D22" s="407"/>
      <c r="E22" s="2150" t="s">
        <v>3475</v>
      </c>
      <c r="F22" s="407"/>
      <c r="G22" s="2150" t="s">
        <v>3475</v>
      </c>
      <c r="H22" s="407"/>
      <c r="I22" s="2150" t="s">
        <v>3475</v>
      </c>
      <c r="J22" s="407"/>
      <c r="K22" s="1292"/>
      <c r="L22" s="2949"/>
      <c r="M22" s="2943"/>
      <c r="N22" s="2943"/>
      <c r="O22" s="2943"/>
      <c r="P22" s="3808"/>
      <c r="Q22" s="3177"/>
      <c r="R22" s="714"/>
      <c r="S22" s="715"/>
      <c r="T22" s="714"/>
      <c r="U22" s="715"/>
      <c r="V22" s="714"/>
      <c r="W22" s="715"/>
      <c r="X22" s="3174"/>
      <c r="Y22" s="3801"/>
      <c r="Z22" s="3175"/>
      <c r="AA22" s="3178">
        <v>1</v>
      </c>
      <c r="AB22" s="3178">
        <v>1</v>
      </c>
      <c r="AC22" s="2148">
        <v>1</v>
      </c>
    </row>
    <row r="23" spans="1:29" ht="34.9" customHeight="1">
      <c r="A23" s="387"/>
      <c r="B23" s="587" t="s">
        <v>2511</v>
      </c>
      <c r="C23" s="2149" t="str">
        <f>估价对象房地状况!C9</f>
        <v>周边有隆福寺广场、东四清真寺等，自然及人文环境较好</v>
      </c>
      <c r="D23" s="409">
        <v>100</v>
      </c>
      <c r="E23" s="3437" t="s">
        <v>3765</v>
      </c>
      <c r="F23" s="409">
        <f>SUMIF(85:85,E24,86:86)-SUMIF(85:85,C24,86:86)+100</f>
        <v>100</v>
      </c>
      <c r="G23" s="3437" t="s">
        <v>3765</v>
      </c>
      <c r="H23" s="409">
        <f>SUMIF(85:85,G24,86:86)-SUMIF(85:85,C24,86:86)+100</f>
        <v>100</v>
      </c>
      <c r="I23" s="3223" t="s">
        <v>4157</v>
      </c>
      <c r="J23" s="409">
        <f>SUMIF(85:85,I24,86:86)-SUMIF(85:85,C24,86:86)+100</f>
        <v>100</v>
      </c>
      <c r="K23" s="571">
        <v>2</v>
      </c>
      <c r="L23" s="2949"/>
      <c r="M23" s="2943"/>
      <c r="N23" s="2943"/>
      <c r="O23" s="2943"/>
      <c r="P23" s="3808"/>
      <c r="Q23" s="3177" t="str">
        <f>B23</f>
        <v>环境质量</v>
      </c>
      <c r="R23" s="714" t="s">
        <v>17</v>
      </c>
      <c r="S23" s="715">
        <f>F23</f>
        <v>100</v>
      </c>
      <c r="T23" s="714" t="s">
        <v>17</v>
      </c>
      <c r="U23" s="715">
        <f>H23</f>
        <v>100</v>
      </c>
      <c r="V23" s="714" t="s">
        <v>17</v>
      </c>
      <c r="W23" s="715">
        <f>J23</f>
        <v>100</v>
      </c>
      <c r="X23" s="3174"/>
      <c r="Y23" s="3801"/>
      <c r="Z23" s="3175" t="str">
        <f>Q23</f>
        <v>环境质量</v>
      </c>
      <c r="AA23" s="3178">
        <f t="shared" si="3"/>
        <v>1</v>
      </c>
      <c r="AB23" s="3178">
        <f t="shared" si="4"/>
        <v>1</v>
      </c>
      <c r="AC23" s="2148">
        <f t="shared" si="5"/>
        <v>1</v>
      </c>
    </row>
    <row r="24" spans="1:29" ht="15">
      <c r="A24" s="387"/>
      <c r="B24" s="589"/>
      <c r="C24" s="2090" t="s">
        <v>3094</v>
      </c>
      <c r="D24" s="407"/>
      <c r="E24" s="2150" t="s">
        <v>3094</v>
      </c>
      <c r="F24" s="407"/>
      <c r="G24" s="2150" t="s">
        <v>3094</v>
      </c>
      <c r="H24" s="407"/>
      <c r="I24" s="2150" t="s">
        <v>3094</v>
      </c>
      <c r="J24" s="407"/>
      <c r="K24" s="572"/>
      <c r="L24" s="2949"/>
      <c r="M24" s="2943"/>
      <c r="N24" s="2943"/>
      <c r="O24" s="2943"/>
      <c r="P24" s="3808"/>
      <c r="Q24" s="3177"/>
      <c r="R24" s="714"/>
      <c r="S24" s="715"/>
      <c r="T24" s="714"/>
      <c r="U24" s="715"/>
      <c r="V24" s="714"/>
      <c r="W24" s="715"/>
      <c r="X24" s="3174"/>
      <c r="Y24" s="3801"/>
      <c r="Z24" s="3175"/>
      <c r="AA24" s="3178">
        <v>1</v>
      </c>
      <c r="AB24" s="3178">
        <v>1</v>
      </c>
      <c r="AC24" s="2148">
        <v>1</v>
      </c>
    </row>
    <row r="25" spans="1:29" ht="27">
      <c r="A25" s="364"/>
      <c r="B25" s="587" t="s">
        <v>2512</v>
      </c>
      <c r="C25" s="3169" t="s">
        <v>3479</v>
      </c>
      <c r="D25" s="394">
        <v>100</v>
      </c>
      <c r="E25" s="3438" t="s">
        <v>629</v>
      </c>
      <c r="F25" s="394">
        <f>SUMIF(87:87,E26,88:88)-SUMIF(87:87,C26,88:88)+100</f>
        <v>97.5</v>
      </c>
      <c r="G25" s="3438" t="s">
        <v>689</v>
      </c>
      <c r="H25" s="394">
        <f>SUMIF(87:87,G26,88:88)-SUMIF(87:87,C26,88:88)+100</f>
        <v>100</v>
      </c>
      <c r="I25" s="3170" t="s">
        <v>4155</v>
      </c>
      <c r="J25" s="394">
        <f>SUMIF(87:87,I26,88:88)-SUMIF(87:87,C26,88:88)+100</f>
        <v>97.5</v>
      </c>
      <c r="K25" s="571">
        <v>2.5</v>
      </c>
      <c r="L25" s="2949"/>
      <c r="M25" s="2943"/>
      <c r="N25" s="2943"/>
      <c r="O25" s="2943"/>
      <c r="P25" s="3808"/>
      <c r="Q25" s="3177" t="str">
        <f>B25</f>
        <v>毗邻道路的类型与等级</v>
      </c>
      <c r="R25" s="714" t="s">
        <v>17</v>
      </c>
      <c r="S25" s="715">
        <f>F25</f>
        <v>97.5</v>
      </c>
      <c r="T25" s="714" t="s">
        <v>17</v>
      </c>
      <c r="U25" s="715">
        <f>H25</f>
        <v>100</v>
      </c>
      <c r="V25" s="714" t="s">
        <v>17</v>
      </c>
      <c r="W25" s="715">
        <f>J25</f>
        <v>97.5</v>
      </c>
      <c r="X25" s="3174"/>
      <c r="Y25" s="3801"/>
      <c r="Z25" s="3175" t="str">
        <f>Q25</f>
        <v>毗邻道路的类型与等级</v>
      </c>
      <c r="AA25" s="3178">
        <f t="shared" si="3"/>
        <v>1.0256410256410255</v>
      </c>
      <c r="AB25" s="3178">
        <f t="shared" si="4"/>
        <v>1</v>
      </c>
      <c r="AC25" s="2148">
        <f t="shared" si="5"/>
        <v>1.0256410256410255</v>
      </c>
    </row>
    <row r="26" spans="1:29" ht="15">
      <c r="A26" s="364"/>
      <c r="B26" s="588"/>
      <c r="C26" s="590" t="s">
        <v>3476</v>
      </c>
      <c r="D26" s="394"/>
      <c r="E26" s="573" t="s">
        <v>3763</v>
      </c>
      <c r="F26" s="394"/>
      <c r="G26" s="573" t="s">
        <v>3476</v>
      </c>
      <c r="H26" s="394"/>
      <c r="I26" s="573" t="s">
        <v>3763</v>
      </c>
      <c r="J26" s="394"/>
      <c r="K26" s="572"/>
      <c r="L26" s="2949"/>
      <c r="M26" s="2943"/>
      <c r="N26" s="2943"/>
      <c r="O26" s="2943"/>
      <c r="P26" s="3808"/>
      <c r="Q26" s="3177"/>
      <c r="R26" s="714"/>
      <c r="S26" s="715"/>
      <c r="T26" s="714"/>
      <c r="U26" s="715"/>
      <c r="V26" s="714"/>
      <c r="W26" s="715"/>
      <c r="X26" s="3174"/>
      <c r="Y26" s="3801"/>
      <c r="Z26" s="3175"/>
      <c r="AA26" s="3178">
        <v>1</v>
      </c>
      <c r="AB26" s="3178">
        <v>1</v>
      </c>
      <c r="AC26" s="2148">
        <v>1</v>
      </c>
    </row>
    <row r="27" spans="1:29" ht="15" hidden="1">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49"/>
      <c r="M27" s="2943"/>
      <c r="N27" s="2943"/>
      <c r="O27" s="2943"/>
      <c r="P27" s="3808"/>
      <c r="Q27" s="3177" t="str">
        <f t="shared" ref="Q27:Q47" si="8">B27</f>
        <v>楼层</v>
      </c>
      <c r="R27" s="714" t="s">
        <v>17</v>
      </c>
      <c r="S27" s="715">
        <f>F27</f>
        <v>100</v>
      </c>
      <c r="T27" s="714" t="s">
        <v>17</v>
      </c>
      <c r="U27" s="715">
        <f>H27</f>
        <v>100</v>
      </c>
      <c r="V27" s="714" t="s">
        <v>17</v>
      </c>
      <c r="W27" s="715">
        <f>J27</f>
        <v>100</v>
      </c>
      <c r="X27" s="3174"/>
      <c r="Y27" s="3801"/>
      <c r="Z27" s="3175" t="str">
        <f>Q27</f>
        <v>楼层</v>
      </c>
      <c r="AA27" s="3178">
        <f t="shared" si="3"/>
        <v>1</v>
      </c>
      <c r="AB27" s="3178">
        <f t="shared" si="4"/>
        <v>1</v>
      </c>
      <c r="AC27" s="2148">
        <f t="shared" si="5"/>
        <v>1</v>
      </c>
    </row>
    <row r="28" spans="1:29" s="113" customFormat="1" ht="15" hidden="1">
      <c r="A28" s="390"/>
      <c r="B28" s="587" t="s">
        <v>2513</v>
      </c>
      <c r="C28" s="2151"/>
      <c r="D28" s="421">
        <v>100</v>
      </c>
      <c r="E28" s="2142"/>
      <c r="F28" s="421">
        <f>SUMIF(91:91,E28,92:92)-SUMIF(91:91,C28,92:92)+100</f>
        <v>100</v>
      </c>
      <c r="G28" s="2151"/>
      <c r="H28" s="421">
        <f>SUMIF(91:91,G28,92:92)-SUMIF(91:91,C28,92:92)+100</f>
        <v>100</v>
      </c>
      <c r="I28" s="2142"/>
      <c r="J28" s="421">
        <f>SUMIF(91:91,I28,92:92)-SUMIF(91:91,C28,92:92)+100</f>
        <v>100</v>
      </c>
      <c r="K28" s="569"/>
      <c r="L28" s="2944"/>
      <c r="M28" s="2945"/>
      <c r="N28" s="2945"/>
      <c r="O28" s="2945"/>
      <c r="P28" s="3808"/>
      <c r="Q28" s="3173" t="str">
        <f t="shared" si="8"/>
        <v>朝向</v>
      </c>
      <c r="R28" s="710" t="s">
        <v>17</v>
      </c>
      <c r="S28" s="711">
        <f>F28</f>
        <v>100</v>
      </c>
      <c r="T28" s="710" t="s">
        <v>17</v>
      </c>
      <c r="U28" s="711">
        <f>H28</f>
        <v>100</v>
      </c>
      <c r="V28" s="710" t="s">
        <v>17</v>
      </c>
      <c r="W28" s="711">
        <f>J28</f>
        <v>100</v>
      </c>
      <c r="X28" s="712"/>
      <c r="Y28" s="3801"/>
      <c r="Z28" s="3172" t="str">
        <f>Q28</f>
        <v>朝向</v>
      </c>
      <c r="AA28" s="3178">
        <f>D28/F28</f>
        <v>1</v>
      </c>
      <c r="AB28" s="3178">
        <f>D28/H28</f>
        <v>1</v>
      </c>
      <c r="AC28" s="2148">
        <f>D28/J28</f>
        <v>1</v>
      </c>
    </row>
    <row r="29" spans="1:29" ht="15">
      <c r="A29" s="387"/>
      <c r="B29" s="3439" t="s">
        <v>4211</v>
      </c>
      <c r="C29" s="3169" t="s">
        <v>4212</v>
      </c>
      <c r="D29" s="394">
        <v>100</v>
      </c>
      <c r="E29" s="3313" t="s">
        <v>4212</v>
      </c>
      <c r="F29" s="394">
        <f>SUMIF(93:93,E29,94:94)-SUMIF(93:93,C29,94:94)+100</f>
        <v>100</v>
      </c>
      <c r="G29" s="3314" t="s">
        <v>4213</v>
      </c>
      <c r="H29" s="394">
        <f>SUMIF(93:93,G29,94:94)-SUMIF(93:93,C29,94:94)+100</f>
        <v>90</v>
      </c>
      <c r="I29" s="3313" t="s">
        <v>4212</v>
      </c>
      <c r="J29" s="394">
        <f>SUMIF(93:93,I29,94:94)-SUMIF(93:93,C29,94:94)+100</f>
        <v>100</v>
      </c>
      <c r="K29" s="570"/>
      <c r="L29" s="2949"/>
      <c r="M29" s="2943"/>
      <c r="N29" s="2943"/>
      <c r="O29" s="2943"/>
      <c r="P29" s="3808"/>
      <c r="Q29" s="3177" t="str">
        <f t="shared" si="8"/>
        <v>外部可视性</v>
      </c>
      <c r="R29" s="714" t="s">
        <v>17</v>
      </c>
      <c r="S29" s="715">
        <f t="shared" ref="S29:S47" si="9">F29</f>
        <v>100</v>
      </c>
      <c r="T29" s="714" t="s">
        <v>17</v>
      </c>
      <c r="U29" s="715">
        <f t="shared" ref="U29:U47" si="10">H29</f>
        <v>90</v>
      </c>
      <c r="V29" s="714" t="s">
        <v>17</v>
      </c>
      <c r="W29" s="715">
        <f t="shared" ref="W29:W47" si="11">J29</f>
        <v>100</v>
      </c>
      <c r="X29" s="3174"/>
      <c r="Y29" s="3801"/>
      <c r="Z29" s="3175" t="str">
        <f t="shared" ref="Z29:Z47" si="12">Q29</f>
        <v>外部可视性</v>
      </c>
      <c r="AA29" s="3178">
        <f t="shared" si="3"/>
        <v>1</v>
      </c>
      <c r="AB29" s="3178">
        <f t="shared" si="4"/>
        <v>1.1111111111111112</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49"/>
      <c r="M30" s="2943"/>
      <c r="N30" s="2943"/>
      <c r="O30" s="2943"/>
      <c r="P30" s="3808"/>
      <c r="Q30" s="3177">
        <f t="shared" si="8"/>
        <v>111</v>
      </c>
      <c r="R30" s="714" t="s">
        <v>17</v>
      </c>
      <c r="S30" s="715">
        <f t="shared" si="9"/>
        <v>100</v>
      </c>
      <c r="T30" s="714" t="s">
        <v>17</v>
      </c>
      <c r="U30" s="715">
        <f t="shared" si="10"/>
        <v>100</v>
      </c>
      <c r="V30" s="714" t="s">
        <v>17</v>
      </c>
      <c r="W30" s="715">
        <f t="shared" si="11"/>
        <v>100</v>
      </c>
      <c r="X30" s="3174"/>
      <c r="Y30" s="3801"/>
      <c r="Z30" s="3175">
        <f t="shared" si="12"/>
        <v>111</v>
      </c>
      <c r="AA30" s="3178">
        <f t="shared" si="3"/>
        <v>1</v>
      </c>
      <c r="AB30" s="3178">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49"/>
      <c r="M31" s="2943"/>
      <c r="N31" s="2943"/>
      <c r="O31" s="2943"/>
      <c r="P31" s="3808"/>
      <c r="Q31" s="3177">
        <f t="shared" si="8"/>
        <v>111</v>
      </c>
      <c r="R31" s="714" t="s">
        <v>17</v>
      </c>
      <c r="S31" s="715">
        <f t="shared" si="9"/>
        <v>100</v>
      </c>
      <c r="T31" s="714" t="s">
        <v>17</v>
      </c>
      <c r="U31" s="715">
        <f t="shared" si="10"/>
        <v>100</v>
      </c>
      <c r="V31" s="714" t="s">
        <v>17</v>
      </c>
      <c r="W31" s="715">
        <f t="shared" si="11"/>
        <v>100</v>
      </c>
      <c r="X31" s="3174"/>
      <c r="Y31" s="3801"/>
      <c r="Z31" s="3175">
        <f t="shared" si="12"/>
        <v>111</v>
      </c>
      <c r="AA31" s="3178">
        <f t="shared" si="3"/>
        <v>1</v>
      </c>
      <c r="AB31" s="3178">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49"/>
      <c r="M32" s="2943"/>
      <c r="N32" s="2943"/>
      <c r="O32" s="2943"/>
      <c r="P32" s="3808"/>
      <c r="Q32" s="3177">
        <f t="shared" si="8"/>
        <v>111</v>
      </c>
      <c r="R32" s="714" t="s">
        <v>17</v>
      </c>
      <c r="S32" s="715">
        <f t="shared" si="9"/>
        <v>100</v>
      </c>
      <c r="T32" s="714" t="s">
        <v>17</v>
      </c>
      <c r="U32" s="715">
        <f t="shared" si="10"/>
        <v>100</v>
      </c>
      <c r="V32" s="714" t="s">
        <v>17</v>
      </c>
      <c r="W32" s="715">
        <f t="shared" si="11"/>
        <v>100</v>
      </c>
      <c r="X32" s="3174"/>
      <c r="Y32" s="3801"/>
      <c r="Z32" s="3175">
        <f t="shared" si="12"/>
        <v>111</v>
      </c>
      <c r="AA32" s="3178">
        <f t="shared" si="3"/>
        <v>1</v>
      </c>
      <c r="AB32" s="3178">
        <f t="shared" si="4"/>
        <v>1</v>
      </c>
      <c r="AC32" s="2148">
        <f t="shared" si="5"/>
        <v>1</v>
      </c>
    </row>
    <row r="33" spans="1:29" ht="15">
      <c r="A33" s="399" t="s">
        <v>2384</v>
      </c>
      <c r="B33" s="67" t="s">
        <v>2514</v>
      </c>
      <c r="C33" s="2153" t="s">
        <v>4201</v>
      </c>
      <c r="D33" s="426">
        <v>100</v>
      </c>
      <c r="E33" s="2153" t="s">
        <v>4201</v>
      </c>
      <c r="F33" s="420">
        <f>SUMIF(101:101,E33,102:102)-SUMIF(101:101,C33,102:102)+100</f>
        <v>100</v>
      </c>
      <c r="G33" s="2153" t="s">
        <v>4201</v>
      </c>
      <c r="H33" s="394">
        <f>SUMIF(101:101,G33,102:102)-SUMIF(101:101,C33,102:102)+100</f>
        <v>100</v>
      </c>
      <c r="I33" s="2153" t="s">
        <v>4201</v>
      </c>
      <c r="J33" s="426">
        <f>SUMIF(101:101,I33,102:102)-SUMIF(101:101,C33,102:102)+100</f>
        <v>100</v>
      </c>
      <c r="K33" s="569">
        <v>5</v>
      </c>
      <c r="L33" s="2949"/>
      <c r="M33" s="2943"/>
      <c r="N33" s="2943"/>
      <c r="O33" s="2943"/>
      <c r="P33" s="3802" t="s">
        <v>2386</v>
      </c>
      <c r="Q33" s="3177" t="str">
        <f t="shared" si="8"/>
        <v>建筑类型</v>
      </c>
      <c r="R33" s="714" t="s">
        <v>17</v>
      </c>
      <c r="S33" s="715">
        <f t="shared" si="9"/>
        <v>100</v>
      </c>
      <c r="T33" s="714" t="s">
        <v>17</v>
      </c>
      <c r="U33" s="715">
        <f t="shared" si="10"/>
        <v>100</v>
      </c>
      <c r="V33" s="714" t="s">
        <v>17</v>
      </c>
      <c r="W33" s="715">
        <f t="shared" si="11"/>
        <v>100</v>
      </c>
      <c r="X33" s="3174"/>
      <c r="Y33" s="3805" t="s">
        <v>2386</v>
      </c>
      <c r="Z33" s="3175" t="str">
        <f t="shared" si="12"/>
        <v>建筑类型</v>
      </c>
      <c r="AA33" s="3178">
        <f t="shared" si="3"/>
        <v>1</v>
      </c>
      <c r="AB33" s="3178">
        <f t="shared" si="4"/>
        <v>1</v>
      </c>
      <c r="AC33" s="2148">
        <f t="shared" si="5"/>
        <v>1</v>
      </c>
    </row>
    <row r="34" spans="1:29" s="430" customFormat="1" ht="15">
      <c r="A34" s="427"/>
      <c r="B34" s="381" t="s">
        <v>2387</v>
      </c>
      <c r="C34" s="428">
        <f>面积表及结果!H20</f>
        <v>46189.05</v>
      </c>
      <c r="D34" s="132">
        <v>100</v>
      </c>
      <c r="E34" s="3171">
        <f>'案例-销售'!I6</f>
        <v>85690.34</v>
      </c>
      <c r="F34" s="384">
        <f>LOOKUP(E34,104:104,105:105)-LOOKUP(C34,104:104,105:105)+100</f>
        <v>101</v>
      </c>
      <c r="G34" s="388">
        <f>'案例-销售'!I11</f>
        <v>62805</v>
      </c>
      <c r="H34" s="132">
        <f>LOOKUP(G34,104:104,105:105)-LOOKUP(C34,104:104,105:105)+100</f>
        <v>100.5</v>
      </c>
      <c r="I34" s="388">
        <f>'案例-销售'!I8</f>
        <v>17558</v>
      </c>
      <c r="J34" s="132">
        <f>LOOKUP(I34,104:104,105:105)-LOOKUP(C34,104:104,105:105)+100</f>
        <v>99</v>
      </c>
      <c r="K34" s="570"/>
      <c r="L34" s="2948"/>
      <c r="M34" s="2950"/>
      <c r="N34" s="2950"/>
      <c r="O34" s="2950"/>
      <c r="P34" s="3803"/>
      <c r="Q34" s="716" t="str">
        <f t="shared" si="8"/>
        <v>项目建筑规模</v>
      </c>
      <c r="R34" s="717" t="s">
        <v>17</v>
      </c>
      <c r="S34" s="718">
        <f t="shared" si="9"/>
        <v>101</v>
      </c>
      <c r="T34" s="717" t="s">
        <v>17</v>
      </c>
      <c r="U34" s="718">
        <f t="shared" si="10"/>
        <v>100.5</v>
      </c>
      <c r="V34" s="717" t="s">
        <v>17</v>
      </c>
      <c r="W34" s="718">
        <f t="shared" si="11"/>
        <v>99</v>
      </c>
      <c r="X34" s="719"/>
      <c r="Y34" s="3805"/>
      <c r="Z34" s="720" t="str">
        <f t="shared" si="12"/>
        <v>项目建筑规模</v>
      </c>
      <c r="AA34" s="3178">
        <f t="shared" si="3"/>
        <v>0.99009900990099009</v>
      </c>
      <c r="AB34" s="3178">
        <f t="shared" si="4"/>
        <v>0.99502487562189057</v>
      </c>
      <c r="AC34" s="2148">
        <f t="shared" si="5"/>
        <v>1.0101010101010102</v>
      </c>
    </row>
    <row r="35" spans="1:29" ht="15">
      <c r="A35" s="431"/>
      <c r="B35" s="381" t="s">
        <v>2388</v>
      </c>
      <c r="C35" s="419" t="s">
        <v>3499</v>
      </c>
      <c r="D35" s="394">
        <v>100</v>
      </c>
      <c r="E35" s="419" t="s">
        <v>3499</v>
      </c>
      <c r="F35" s="420">
        <f>SUMIF(106:106,E35,107:107)-SUMIF(106:106,C35,107:107)+100</f>
        <v>100</v>
      </c>
      <c r="G35" s="419" t="s">
        <v>3499</v>
      </c>
      <c r="H35" s="394">
        <f>SUMIF(106:106,G35,107:107)-SUMIF(106:106,C35,107:107)+100</f>
        <v>100</v>
      </c>
      <c r="I35" s="419" t="s">
        <v>3499</v>
      </c>
      <c r="J35" s="394">
        <f>SUMIF(106:106,I35,107:107)-SUMIF(106:106,C35,107:107)+100</f>
        <v>100</v>
      </c>
      <c r="K35" s="569">
        <v>2</v>
      </c>
      <c r="L35" s="2949"/>
      <c r="M35" s="2943"/>
      <c r="N35" s="2943"/>
      <c r="O35" s="2943"/>
      <c r="P35" s="3803"/>
      <c r="Q35" s="3177" t="str">
        <f t="shared" si="8"/>
        <v>建筑结构</v>
      </c>
      <c r="R35" s="714" t="s">
        <v>17</v>
      </c>
      <c r="S35" s="715">
        <f t="shared" si="9"/>
        <v>100</v>
      </c>
      <c r="T35" s="714" t="s">
        <v>17</v>
      </c>
      <c r="U35" s="715">
        <f t="shared" si="10"/>
        <v>100</v>
      </c>
      <c r="V35" s="714" t="s">
        <v>17</v>
      </c>
      <c r="W35" s="715">
        <f t="shared" si="11"/>
        <v>100</v>
      </c>
      <c r="X35" s="3174"/>
      <c r="Y35" s="3805"/>
      <c r="Z35" s="3175" t="str">
        <f t="shared" si="12"/>
        <v>建筑结构</v>
      </c>
      <c r="AA35" s="3178">
        <f t="shared" si="3"/>
        <v>1</v>
      </c>
      <c r="AB35" s="3178">
        <f t="shared" si="4"/>
        <v>1</v>
      </c>
      <c r="AC35" s="2148">
        <f t="shared" si="5"/>
        <v>1</v>
      </c>
    </row>
    <row r="36" spans="1:29" ht="15">
      <c r="A36" s="431"/>
      <c r="B36" s="381" t="s">
        <v>2482</v>
      </c>
      <c r="C36" s="419" t="s">
        <v>3503</v>
      </c>
      <c r="D36" s="394">
        <v>100</v>
      </c>
      <c r="E36" s="419" t="s">
        <v>3500</v>
      </c>
      <c r="F36" s="420">
        <f>SUMIF(108:108,E36,109:109)-SUMIF(108:108,C36,109:109)+100</f>
        <v>107</v>
      </c>
      <c r="G36" s="419" t="s">
        <v>3500</v>
      </c>
      <c r="H36" s="394">
        <f>SUMIF(108:108,G36,109:109)-SUMIF(108:108,C36,109:109)+100</f>
        <v>107</v>
      </c>
      <c r="I36" s="419" t="s">
        <v>3500</v>
      </c>
      <c r="J36" s="394">
        <f>SUMIF(108:108,I36,109:109)-SUMIF(108:108,C36,109:109)+100</f>
        <v>107</v>
      </c>
      <c r="K36" s="569">
        <v>3.5</v>
      </c>
      <c r="L36" s="2949"/>
      <c r="M36" s="2943"/>
      <c r="N36" s="2943"/>
      <c r="O36" s="2943"/>
      <c r="P36" s="3803"/>
      <c r="Q36" s="3177" t="str">
        <f t="shared" si="8"/>
        <v>公共部分装修</v>
      </c>
      <c r="R36" s="714" t="s">
        <v>17</v>
      </c>
      <c r="S36" s="715">
        <f t="shared" si="9"/>
        <v>107</v>
      </c>
      <c r="T36" s="714" t="s">
        <v>17</v>
      </c>
      <c r="U36" s="715">
        <f t="shared" si="10"/>
        <v>107</v>
      </c>
      <c r="V36" s="714" t="s">
        <v>17</v>
      </c>
      <c r="W36" s="715">
        <f t="shared" si="11"/>
        <v>107</v>
      </c>
      <c r="X36" s="3174"/>
      <c r="Y36" s="3805"/>
      <c r="Z36" s="3175" t="str">
        <f t="shared" si="12"/>
        <v>公共部分装修</v>
      </c>
      <c r="AA36" s="3178">
        <f t="shared" si="3"/>
        <v>0.93457943925233644</v>
      </c>
      <c r="AB36" s="3178">
        <f t="shared" si="4"/>
        <v>0.93457943925233644</v>
      </c>
      <c r="AC36" s="2148">
        <f t="shared" si="5"/>
        <v>0.93457943925233644</v>
      </c>
    </row>
    <row r="37" spans="1:29" ht="15">
      <c r="A37" s="431"/>
      <c r="B37" s="381" t="s">
        <v>2483</v>
      </c>
      <c r="C37" s="433">
        <v>0.8</v>
      </c>
      <c r="D37" s="394">
        <v>100</v>
      </c>
      <c r="E37" s="433">
        <v>0.8</v>
      </c>
      <c r="F37" s="420">
        <f>LOOKUP(E37,111:111,112:112)-LOOKUP(C37,111:111,112:112)+100</f>
        <v>100</v>
      </c>
      <c r="G37" s="433">
        <v>0.8</v>
      </c>
      <c r="H37" s="420">
        <f>LOOKUP(G37,111:111,112:112)-LOOKUP(C37,111:111,112:112)+100</f>
        <v>100</v>
      </c>
      <c r="I37" s="433">
        <v>1</v>
      </c>
      <c r="J37" s="394">
        <f>LOOKUP(I37,111:111,112:112)-LOOKUP(C37,111:111,112:112)+100</f>
        <v>103</v>
      </c>
      <c r="K37" s="569">
        <v>3</v>
      </c>
      <c r="L37" s="2949"/>
      <c r="M37" s="2943"/>
      <c r="N37" s="2943"/>
      <c r="O37" s="2943"/>
      <c r="P37" s="3803"/>
      <c r="Q37" s="3177" t="str">
        <f t="shared" si="8"/>
        <v>成新度</v>
      </c>
      <c r="R37" s="714" t="s">
        <v>17</v>
      </c>
      <c r="S37" s="715">
        <f t="shared" si="9"/>
        <v>100</v>
      </c>
      <c r="T37" s="714" t="s">
        <v>17</v>
      </c>
      <c r="U37" s="715">
        <f t="shared" si="10"/>
        <v>100</v>
      </c>
      <c r="V37" s="714" t="s">
        <v>17</v>
      </c>
      <c r="W37" s="715">
        <f t="shared" si="11"/>
        <v>103</v>
      </c>
      <c r="X37" s="3174"/>
      <c r="Y37" s="3805"/>
      <c r="Z37" s="3175" t="str">
        <f t="shared" si="12"/>
        <v>成新度</v>
      </c>
      <c r="AA37" s="3178">
        <f t="shared" si="3"/>
        <v>1</v>
      </c>
      <c r="AB37" s="3178">
        <f t="shared" si="4"/>
        <v>1</v>
      </c>
      <c r="AC37" s="2148">
        <f t="shared" si="5"/>
        <v>0.970873786407767</v>
      </c>
    </row>
    <row r="38" spans="1:29" s="113" customFormat="1" ht="15">
      <c r="A38" s="432"/>
      <c r="B38" s="381" t="s">
        <v>2515</v>
      </c>
      <c r="C38" s="419" t="s">
        <v>3501</v>
      </c>
      <c r="D38" s="132">
        <v>100</v>
      </c>
      <c r="E38" s="419" t="s">
        <v>3501</v>
      </c>
      <c r="F38" s="420">
        <f>SUMIF(113:113,E38,114:114)-SUMIF(113:113,C38,114:114)+100</f>
        <v>100</v>
      </c>
      <c r="G38" s="419" t="s">
        <v>3501</v>
      </c>
      <c r="H38" s="394">
        <f>SUMIF(113:113,G38,114:114)-SUMIF(113:113,C38,114:114)+100</f>
        <v>100</v>
      </c>
      <c r="I38" s="419" t="s">
        <v>3501</v>
      </c>
      <c r="J38" s="394">
        <f>SUMIF(113:113,I38,114:114)-SUMIF(113:113,C38,114:114)+100</f>
        <v>100</v>
      </c>
      <c r="K38" s="569">
        <v>2</v>
      </c>
      <c r="L38" s="2944"/>
      <c r="M38" s="2945"/>
      <c r="N38" s="2945"/>
      <c r="O38" s="2945"/>
      <c r="P38" s="3803"/>
      <c r="Q38" s="3173" t="str">
        <f t="shared" si="8"/>
        <v>写字楼等级</v>
      </c>
      <c r="R38" s="710" t="s">
        <v>17</v>
      </c>
      <c r="S38" s="711">
        <f t="shared" si="9"/>
        <v>100</v>
      </c>
      <c r="T38" s="710" t="s">
        <v>17</v>
      </c>
      <c r="U38" s="711">
        <f t="shared" si="10"/>
        <v>100</v>
      </c>
      <c r="V38" s="710" t="s">
        <v>17</v>
      </c>
      <c r="W38" s="711">
        <f t="shared" si="11"/>
        <v>100</v>
      </c>
      <c r="X38" s="712"/>
      <c r="Y38" s="3805"/>
      <c r="Z38" s="3172" t="str">
        <f t="shared" si="12"/>
        <v>写字楼等级</v>
      </c>
      <c r="AA38" s="713">
        <f t="shared" si="3"/>
        <v>1</v>
      </c>
      <c r="AB38" s="713">
        <f t="shared" si="4"/>
        <v>1</v>
      </c>
      <c r="AC38" s="2145">
        <f t="shared" si="5"/>
        <v>1</v>
      </c>
    </row>
    <row r="39" spans="1:29" ht="15">
      <c r="A39" s="431"/>
      <c r="B39" s="381" t="s">
        <v>2516</v>
      </c>
      <c r="C39" s="419" t="s">
        <v>3557</v>
      </c>
      <c r="D39" s="394">
        <v>100</v>
      </c>
      <c r="E39" s="419" t="s">
        <v>3502</v>
      </c>
      <c r="F39" s="420">
        <f>SUMIF(115:115,E39,116:116)-SUMIF(115:115,C39,116:116)+100</f>
        <v>100</v>
      </c>
      <c r="G39" s="419" t="s">
        <v>3502</v>
      </c>
      <c r="H39" s="394">
        <f>SUMIF(115:115,G39,116:116)-SUMIF(115:115,C39,116:116)+100</f>
        <v>100</v>
      </c>
      <c r="I39" s="419" t="s">
        <v>3502</v>
      </c>
      <c r="J39" s="394">
        <f>SUMIF(115:115,I39,116:116)-SUMIF(115:115,C39,116:116)+100</f>
        <v>100</v>
      </c>
      <c r="K39" s="569">
        <v>0</v>
      </c>
      <c r="L39" s="2949"/>
      <c r="M39" s="2943"/>
      <c r="N39" s="2943"/>
      <c r="O39" s="2943"/>
      <c r="P39" s="3803" t="s">
        <v>2386</v>
      </c>
      <c r="Q39" s="3177" t="str">
        <f t="shared" si="8"/>
        <v>物业管理</v>
      </c>
      <c r="R39" s="714" t="s">
        <v>17</v>
      </c>
      <c r="S39" s="715">
        <f t="shared" si="9"/>
        <v>100</v>
      </c>
      <c r="T39" s="714" t="s">
        <v>17</v>
      </c>
      <c r="U39" s="715">
        <f t="shared" si="10"/>
        <v>100</v>
      </c>
      <c r="V39" s="714" t="s">
        <v>17</v>
      </c>
      <c r="W39" s="715">
        <f t="shared" si="11"/>
        <v>100</v>
      </c>
      <c r="X39" s="3174"/>
      <c r="Y39" s="3805" t="s">
        <v>2386</v>
      </c>
      <c r="Z39" s="3175" t="str">
        <f t="shared" si="12"/>
        <v>物业管理</v>
      </c>
      <c r="AA39" s="3178">
        <f t="shared" si="3"/>
        <v>1</v>
      </c>
      <c r="AB39" s="3178">
        <f t="shared" si="4"/>
        <v>1</v>
      </c>
      <c r="AC39" s="2148">
        <f t="shared" si="5"/>
        <v>1</v>
      </c>
    </row>
    <row r="40" spans="1:29" ht="15">
      <c r="A40" s="431"/>
      <c r="B40" s="381" t="s">
        <v>2484</v>
      </c>
      <c r="C40" s="419" t="s">
        <v>3475</v>
      </c>
      <c r="D40" s="394">
        <v>100</v>
      </c>
      <c r="E40" s="419" t="s">
        <v>3475</v>
      </c>
      <c r="F40" s="420">
        <f>SUMIF(117:117,E40,118:118)-SUMIF(117:117,C40,118:118)+100</f>
        <v>100</v>
      </c>
      <c r="G40" s="419" t="s">
        <v>3475</v>
      </c>
      <c r="H40" s="394">
        <f>SUMIF(117:117,G40,118:118)-SUMIF(117:117,C40,118:118)+100</f>
        <v>100</v>
      </c>
      <c r="I40" s="419" t="s">
        <v>3475</v>
      </c>
      <c r="J40" s="394">
        <f>SUMIF(117:117,I40,118:118)-SUMIF(117:117,C40,118:118)+100</f>
        <v>100</v>
      </c>
      <c r="K40" s="569">
        <v>2</v>
      </c>
      <c r="L40" s="2949"/>
      <c r="M40" s="2943"/>
      <c r="N40" s="2943"/>
      <c r="O40" s="2943"/>
      <c r="P40" s="3803"/>
      <c r="Q40" s="3177" t="str">
        <f t="shared" si="8"/>
        <v>市政基础设施</v>
      </c>
      <c r="R40" s="714" t="s">
        <v>17</v>
      </c>
      <c r="S40" s="715">
        <f t="shared" si="9"/>
        <v>100</v>
      </c>
      <c r="T40" s="714" t="s">
        <v>17</v>
      </c>
      <c r="U40" s="715">
        <f t="shared" si="10"/>
        <v>100</v>
      </c>
      <c r="V40" s="714" t="s">
        <v>17</v>
      </c>
      <c r="W40" s="715">
        <f t="shared" si="11"/>
        <v>100</v>
      </c>
      <c r="X40" s="3174"/>
      <c r="Y40" s="3805"/>
      <c r="Z40" s="3175" t="str">
        <f t="shared" si="12"/>
        <v>市政基础设施</v>
      </c>
      <c r="AA40" s="3178">
        <f t="shared" si="3"/>
        <v>1</v>
      </c>
      <c r="AB40" s="3178">
        <f t="shared" si="4"/>
        <v>1</v>
      </c>
      <c r="AC40" s="2148">
        <f t="shared" si="5"/>
        <v>1</v>
      </c>
    </row>
    <row r="41" spans="1:29" ht="15">
      <c r="A41" s="431"/>
      <c r="B41" s="381" t="s">
        <v>2486</v>
      </c>
      <c r="C41" s="573">
        <v>2.5</v>
      </c>
      <c r="D41" s="394">
        <v>100</v>
      </c>
      <c r="E41" s="573">
        <v>2.75</v>
      </c>
      <c r="F41" s="420">
        <f>SUMIF(119:119,E41,120:120)-SUMIF(119:119,C41,120:120)+100</f>
        <v>100</v>
      </c>
      <c r="G41" s="573">
        <v>3</v>
      </c>
      <c r="H41" s="394">
        <f>SUMIF(119:119,G41,120:120)-SUMIF(119:119,C41,120:120)+100</f>
        <v>100</v>
      </c>
      <c r="I41" s="573">
        <v>3</v>
      </c>
      <c r="J41" s="394">
        <f>SUMIF(119:119,I41,120:120)-SUMIF(119:119,C41,120:120)+100</f>
        <v>100</v>
      </c>
      <c r="K41" s="569">
        <v>0</v>
      </c>
      <c r="L41" s="2949"/>
      <c r="M41" s="2943"/>
      <c r="N41" s="2943"/>
      <c r="O41" s="2943"/>
      <c r="P41" s="3803"/>
      <c r="Q41" s="3177" t="str">
        <f t="shared" si="8"/>
        <v>层高</v>
      </c>
      <c r="R41" s="714" t="s">
        <v>17</v>
      </c>
      <c r="S41" s="715">
        <f t="shared" si="9"/>
        <v>100</v>
      </c>
      <c r="T41" s="714" t="s">
        <v>17</v>
      </c>
      <c r="U41" s="715">
        <f t="shared" si="10"/>
        <v>100</v>
      </c>
      <c r="V41" s="714" t="s">
        <v>17</v>
      </c>
      <c r="W41" s="715">
        <f t="shared" si="11"/>
        <v>100</v>
      </c>
      <c r="X41" s="3174"/>
      <c r="Y41" s="3805"/>
      <c r="Z41" s="3175" t="str">
        <f t="shared" si="12"/>
        <v>层高</v>
      </c>
      <c r="AA41" s="3178">
        <f t="shared" si="3"/>
        <v>1</v>
      </c>
      <c r="AB41" s="3178">
        <f t="shared" si="4"/>
        <v>1</v>
      </c>
      <c r="AC41" s="2148">
        <f t="shared" si="5"/>
        <v>1</v>
      </c>
    </row>
    <row r="42" spans="1:29" s="430" customFormat="1" ht="15">
      <c r="A42" s="427"/>
      <c r="B42" s="3394" t="s">
        <v>4153</v>
      </c>
      <c r="C42" s="393">
        <f>'数据-基础表'!I21</f>
        <v>3684.9</v>
      </c>
      <c r="D42" s="394">
        <v>100</v>
      </c>
      <c r="E42" s="393">
        <v>1020.87</v>
      </c>
      <c r="F42" s="420">
        <f>SUMIF(121:121,E42,122:122)-SUMIF(121:121,C42,122:122)+100</f>
        <v>100</v>
      </c>
      <c r="G42" s="393">
        <v>1867.59</v>
      </c>
      <c r="H42" s="394">
        <f>SUMIF(121:121,G42,122:122)-SUMIF(121:121,C42,122:122)+100</f>
        <v>100</v>
      </c>
      <c r="I42" s="393">
        <v>1200</v>
      </c>
      <c r="J42" s="394">
        <f>SUMIF(121:121,I42,122:122)-SUMIF(121:121,C42,122:122)+100</f>
        <v>100</v>
      </c>
      <c r="K42" s="570"/>
      <c r="L42" s="2948"/>
      <c r="M42" s="2950"/>
      <c r="N42" s="2950"/>
      <c r="O42" s="2950"/>
      <c r="P42" s="3803"/>
      <c r="Q42" s="716" t="str">
        <f t="shared" si="8"/>
        <v>标准层面积</v>
      </c>
      <c r="R42" s="717" t="s">
        <v>17</v>
      </c>
      <c r="S42" s="718">
        <f t="shared" si="9"/>
        <v>100</v>
      </c>
      <c r="T42" s="717" t="s">
        <v>17</v>
      </c>
      <c r="U42" s="718">
        <f t="shared" si="10"/>
        <v>100</v>
      </c>
      <c r="V42" s="717" t="s">
        <v>17</v>
      </c>
      <c r="W42" s="718">
        <f t="shared" si="11"/>
        <v>100</v>
      </c>
      <c r="X42" s="719"/>
      <c r="Y42" s="3805"/>
      <c r="Z42" s="720" t="str">
        <f t="shared" si="12"/>
        <v>标准层面积</v>
      </c>
      <c r="AA42" s="3178">
        <f t="shared" si="3"/>
        <v>1</v>
      </c>
      <c r="AB42" s="3178">
        <f t="shared" si="4"/>
        <v>1</v>
      </c>
      <c r="AC42" s="2148">
        <f t="shared" si="5"/>
        <v>1</v>
      </c>
    </row>
    <row r="43" spans="1:29" ht="15">
      <c r="A43" s="431"/>
      <c r="B43" s="381" t="s">
        <v>2489</v>
      </c>
      <c r="C43" s="419" t="s">
        <v>3503</v>
      </c>
      <c r="D43" s="394">
        <v>100</v>
      </c>
      <c r="E43" s="419" t="s">
        <v>3503</v>
      </c>
      <c r="F43" s="420">
        <f>SUMIF(123:123,E43,124:124)-SUMIF(123:123,C43,124:124)+100</f>
        <v>100</v>
      </c>
      <c r="G43" s="419" t="s">
        <v>3503</v>
      </c>
      <c r="H43" s="394">
        <f>SUMIF(123:123,G43,124:124)-SUMIF(123:123,C43,124:124)+100</f>
        <v>100</v>
      </c>
      <c r="I43" s="419" t="s">
        <v>3503</v>
      </c>
      <c r="J43" s="394">
        <f>SUMIF(123:123,I43,124:124)-SUMIF(123:123,C43,124:124)+100</f>
        <v>100</v>
      </c>
      <c r="K43" s="569">
        <v>1</v>
      </c>
      <c r="L43" s="2949"/>
      <c r="M43" s="2943"/>
      <c r="N43" s="2943"/>
      <c r="O43" s="2943"/>
      <c r="P43" s="3803"/>
      <c r="Q43" s="3177" t="str">
        <f t="shared" si="8"/>
        <v>内部装修</v>
      </c>
      <c r="R43" s="714" t="s">
        <v>17</v>
      </c>
      <c r="S43" s="715">
        <f t="shared" si="9"/>
        <v>100</v>
      </c>
      <c r="T43" s="714" t="s">
        <v>17</v>
      </c>
      <c r="U43" s="715">
        <f t="shared" si="10"/>
        <v>100</v>
      </c>
      <c r="V43" s="714" t="s">
        <v>17</v>
      </c>
      <c r="W43" s="715">
        <f t="shared" si="11"/>
        <v>100</v>
      </c>
      <c r="X43" s="3174"/>
      <c r="Y43" s="3805"/>
      <c r="Z43" s="3175" t="str">
        <f t="shared" si="12"/>
        <v>内部装修</v>
      </c>
      <c r="AA43" s="3178">
        <f t="shared" si="3"/>
        <v>1</v>
      </c>
      <c r="AB43" s="3178">
        <f t="shared" si="4"/>
        <v>1</v>
      </c>
      <c r="AC43" s="2148">
        <f t="shared" si="5"/>
        <v>1</v>
      </c>
    </row>
    <row r="44" spans="1:29" ht="15">
      <c r="A44" s="431"/>
      <c r="B44" s="381" t="s">
        <v>2397</v>
      </c>
      <c r="C44" s="419" t="s">
        <v>3094</v>
      </c>
      <c r="D44" s="394">
        <v>100</v>
      </c>
      <c r="E44" s="419" t="s">
        <v>3094</v>
      </c>
      <c r="F44" s="420">
        <f>SUMIF(125:125,E44,126:126)-SUMIF(125:125,C44,126:126)+100</f>
        <v>100</v>
      </c>
      <c r="G44" s="419" t="s">
        <v>3094</v>
      </c>
      <c r="H44" s="394">
        <f>SUMIF(125:125,G44,126:126)-SUMIF(125:125,C44,126:126)+100</f>
        <v>100</v>
      </c>
      <c r="I44" s="419" t="s">
        <v>3094</v>
      </c>
      <c r="J44" s="394">
        <f>SUMIF(125:125,I44,126:126)-SUMIF(125:125,C44,126:126)+100</f>
        <v>100</v>
      </c>
      <c r="K44" s="569">
        <v>2</v>
      </c>
      <c r="L44" s="2949"/>
      <c r="M44" s="2943"/>
      <c r="N44" s="2943"/>
      <c r="O44" s="2943"/>
      <c r="P44" s="3803"/>
      <c r="Q44" s="3177" t="str">
        <f t="shared" si="8"/>
        <v>内部装修维护情况</v>
      </c>
      <c r="R44" s="714" t="s">
        <v>17</v>
      </c>
      <c r="S44" s="715">
        <f t="shared" si="9"/>
        <v>100</v>
      </c>
      <c r="T44" s="714" t="s">
        <v>17</v>
      </c>
      <c r="U44" s="715">
        <f t="shared" si="10"/>
        <v>100</v>
      </c>
      <c r="V44" s="714" t="s">
        <v>17</v>
      </c>
      <c r="W44" s="715">
        <f t="shared" si="11"/>
        <v>100</v>
      </c>
      <c r="X44" s="3174"/>
      <c r="Y44" s="3805"/>
      <c r="Z44" s="3175" t="str">
        <f t="shared" si="12"/>
        <v>内部装修维护情况</v>
      </c>
      <c r="AA44" s="3178">
        <f t="shared" si="3"/>
        <v>1</v>
      </c>
      <c r="AB44" s="3178">
        <f t="shared" si="4"/>
        <v>1</v>
      </c>
      <c r="AC44" s="2148">
        <f t="shared" si="5"/>
        <v>1</v>
      </c>
    </row>
    <row r="45" spans="1:29" s="113" customFormat="1" ht="15">
      <c r="A45" s="432"/>
      <c r="B45" s="3154"/>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4"/>
      <c r="M45" s="2945"/>
      <c r="N45" s="2945"/>
      <c r="O45" s="2945"/>
      <c r="P45" s="3803"/>
      <c r="Q45" s="3173">
        <f t="shared" si="8"/>
        <v>0</v>
      </c>
      <c r="R45" s="710" t="s">
        <v>17</v>
      </c>
      <c r="S45" s="711">
        <f t="shared" si="9"/>
        <v>100</v>
      </c>
      <c r="T45" s="710" t="s">
        <v>17</v>
      </c>
      <c r="U45" s="711">
        <f t="shared" si="10"/>
        <v>100</v>
      </c>
      <c r="V45" s="710" t="s">
        <v>17</v>
      </c>
      <c r="W45" s="711">
        <f t="shared" si="11"/>
        <v>100</v>
      </c>
      <c r="X45" s="712"/>
      <c r="Y45" s="3805"/>
      <c r="Z45" s="3172">
        <f t="shared" si="12"/>
        <v>0</v>
      </c>
      <c r="AA45" s="713">
        <f t="shared" si="3"/>
        <v>1</v>
      </c>
      <c r="AB45" s="713">
        <f t="shared" si="4"/>
        <v>1</v>
      </c>
      <c r="AC45" s="2145">
        <f t="shared" si="5"/>
        <v>1</v>
      </c>
    </row>
    <row r="46" spans="1:29" ht="15">
      <c r="A46" s="431"/>
      <c r="B46" s="3154"/>
      <c r="C46" s="3184"/>
      <c r="D46" s="394">
        <v>100</v>
      </c>
      <c r="E46" s="3184"/>
      <c r="F46" s="420">
        <f>SUMIF(129:129,E46,130:130)-SUMIF(129:129,C46,130:130)+100</f>
        <v>100</v>
      </c>
      <c r="G46" s="3184"/>
      <c r="H46" s="394">
        <f>SUMIF(129:129,G46,130:130)-SUMIF(129:129,C46,130:130)+100</f>
        <v>100</v>
      </c>
      <c r="I46" s="3184"/>
      <c r="J46" s="394">
        <f>SUMIF(129:129,I46,130:130)-SUMIF(129:129,C46,130:130)+100</f>
        <v>100</v>
      </c>
      <c r="K46" s="570"/>
      <c r="L46" s="2949"/>
      <c r="M46" s="2943"/>
      <c r="N46" s="2943"/>
      <c r="O46" s="2943"/>
      <c r="P46" s="3803"/>
      <c r="Q46" s="3177">
        <f t="shared" si="8"/>
        <v>0</v>
      </c>
      <c r="R46" s="714" t="s">
        <v>17</v>
      </c>
      <c r="S46" s="715">
        <f t="shared" si="9"/>
        <v>100</v>
      </c>
      <c r="T46" s="714" t="s">
        <v>17</v>
      </c>
      <c r="U46" s="715">
        <f t="shared" si="10"/>
        <v>100</v>
      </c>
      <c r="V46" s="714" t="s">
        <v>17</v>
      </c>
      <c r="W46" s="715">
        <f t="shared" si="11"/>
        <v>100</v>
      </c>
      <c r="X46" s="3174"/>
      <c r="Y46" s="3805"/>
      <c r="Z46" s="3175">
        <f t="shared" si="12"/>
        <v>0</v>
      </c>
      <c r="AA46" s="3178">
        <f t="shared" si="3"/>
        <v>1</v>
      </c>
      <c r="AB46" s="3178">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9"/>
      <c r="M47" s="2943"/>
      <c r="N47" s="2943"/>
      <c r="O47" s="2943"/>
      <c r="P47" s="3804"/>
      <c r="Q47" s="3177">
        <f t="shared" si="8"/>
        <v>111</v>
      </c>
      <c r="R47" s="714" t="s">
        <v>17</v>
      </c>
      <c r="S47" s="715">
        <f t="shared" si="9"/>
        <v>100</v>
      </c>
      <c r="T47" s="714" t="s">
        <v>17</v>
      </c>
      <c r="U47" s="715">
        <f t="shared" si="10"/>
        <v>100</v>
      </c>
      <c r="V47" s="714" t="s">
        <v>17</v>
      </c>
      <c r="W47" s="715">
        <f t="shared" si="11"/>
        <v>100</v>
      </c>
      <c r="X47" s="3174"/>
      <c r="Y47" s="3806"/>
      <c r="Z47" s="3175">
        <f t="shared" si="12"/>
        <v>111</v>
      </c>
      <c r="AA47" s="3178">
        <f t="shared" si="3"/>
        <v>1</v>
      </c>
      <c r="AB47" s="3178">
        <f t="shared" si="4"/>
        <v>1</v>
      </c>
      <c r="AC47" s="2148">
        <f t="shared" si="5"/>
        <v>1</v>
      </c>
    </row>
    <row r="48" spans="1:29" ht="15">
      <c r="A48" s="438" t="s">
        <v>2398</v>
      </c>
      <c r="B48" s="439"/>
      <c r="C48" s="1316" t="s">
        <v>1</v>
      </c>
      <c r="D48" s="1317"/>
      <c r="E48" s="3398">
        <f>'案例-销售'!M6</f>
        <v>35010</v>
      </c>
      <c r="F48" s="1319"/>
      <c r="G48" s="3399">
        <f>'案例-销售'!M11</f>
        <v>31590</v>
      </c>
      <c r="H48" s="1321"/>
      <c r="I48" s="3398">
        <f>'案例-销售'!M8</f>
        <v>43855</v>
      </c>
      <c r="J48" s="444"/>
      <c r="K48" s="723"/>
      <c r="L48" s="2951"/>
      <c r="M48" s="2943"/>
      <c r="N48" s="2943"/>
      <c r="O48" s="2943"/>
      <c r="P48" s="3780" t="str">
        <f>A48</f>
        <v>成交单价（元/平方米）</v>
      </c>
      <c r="Q48" s="3798"/>
      <c r="R48" s="3799">
        <f>E48</f>
        <v>35010</v>
      </c>
      <c r="S48" s="3799"/>
      <c r="T48" s="3799">
        <f>G48</f>
        <v>31590</v>
      </c>
      <c r="U48" s="3799"/>
      <c r="V48" s="3799">
        <f>I48</f>
        <v>43855</v>
      </c>
      <c r="W48" s="3799"/>
      <c r="X48" s="405"/>
      <c r="Y48" s="721"/>
      <c r="Z48" s="405"/>
      <c r="AA48" s="405"/>
      <c r="AB48" s="405"/>
      <c r="AC48" s="586"/>
    </row>
    <row r="49" spans="1:29" ht="15.75" thickBot="1">
      <c r="A49" s="445" t="s">
        <v>2399</v>
      </c>
      <c r="B49" s="446"/>
      <c r="C49" s="1322">
        <f>R50</f>
        <v>37082</v>
      </c>
      <c r="D49" s="2538" t="s">
        <v>2877</v>
      </c>
      <c r="E49" s="1323">
        <f>R49</f>
        <v>34600</v>
      </c>
      <c r="F49" s="2539"/>
      <c r="G49" s="1322">
        <f>T49</f>
        <v>35421</v>
      </c>
      <c r="H49" s="2539"/>
      <c r="I49" s="1323">
        <f>V49</f>
        <v>41225</v>
      </c>
      <c r="J49" s="2539"/>
      <c r="K49" s="2541">
        <f>F49+H49+J49</f>
        <v>0</v>
      </c>
      <c r="L49" s="3461">
        <f>C49*面积表及结果!E21/10000</f>
        <v>171278.23521000007</v>
      </c>
      <c r="M49" s="2943">
        <f>L49/面积表及结果!E22</f>
        <v>5.3005803282321002</v>
      </c>
      <c r="N49" s="2943"/>
      <c r="O49" s="2943"/>
      <c r="P49" s="3780" t="str">
        <f>A49</f>
        <v>比较价值（元/平方米）</v>
      </c>
      <c r="Q49" s="3798"/>
      <c r="R49" s="3799">
        <f>IF(F1="售价",ROUND(PRODUCT(R48,AA7:AA47),0),ROUND(PRODUCT(R48,AA7:AA47),1))</f>
        <v>34600</v>
      </c>
      <c r="S49" s="3799"/>
      <c r="T49" s="3799">
        <f>IF(F1="售价",ROUND(PRODUCT(T48,AB7:AB47),0),ROUND(PRODUCT(T48,AB7:AB47),1))</f>
        <v>35421</v>
      </c>
      <c r="U49" s="3799"/>
      <c r="V49" s="3799">
        <f>IF(F1="售价",ROUND(PRODUCT(V48,AC7:AC47),0),ROUND(PRODUCT(V48,AC7:AC47),1))</f>
        <v>41225</v>
      </c>
      <c r="W49" s="3799"/>
      <c r="X49" s="405"/>
      <c r="Y49" s="405"/>
      <c r="Z49" s="405"/>
      <c r="AA49" s="405"/>
      <c r="AB49" s="405"/>
      <c r="AC49" s="586"/>
    </row>
    <row r="50" spans="1:29" ht="15.75" thickBot="1">
      <c r="A50" s="449" t="s">
        <v>2400</v>
      </c>
      <c r="B50" s="450"/>
      <c r="C50" s="1325">
        <f>R50</f>
        <v>37082</v>
      </c>
      <c r="D50" s="1325"/>
      <c r="E50" s="1325"/>
      <c r="F50" s="1325"/>
      <c r="G50" s="1325"/>
      <c r="H50" s="1325"/>
      <c r="I50" s="1325"/>
      <c r="J50" s="451"/>
      <c r="K50" s="724"/>
      <c r="L50" s="3461">
        <f>C49*面积表及结果!E22/10000</f>
        <v>119823.47450200007</v>
      </c>
      <c r="M50" s="2943"/>
      <c r="N50" s="2943"/>
      <c r="O50" s="2943"/>
      <c r="P50" s="3848" t="str">
        <f>A50</f>
        <v>估价对象XX用房的比较价值（楼面单价，元/平方米）</v>
      </c>
      <c r="Q50" s="3849"/>
      <c r="R50" s="3850">
        <f>IF(F1="售价",ROUND(IF(D49="简单平均",AVERAGE(R49:V49),R49*F49+T49*H49+V49*J49),0),ROUND(IF(D49="简单平均",AVERAGE(R49:V49),R49*F49+T49*H49+V49*J49),1))</f>
        <v>37082</v>
      </c>
      <c r="S50" s="3850"/>
      <c r="T50" s="3850"/>
      <c r="U50" s="3850"/>
      <c r="V50" s="3850"/>
      <c r="W50" s="3850"/>
      <c r="X50" s="2132"/>
      <c r="Y50" s="2132"/>
      <c r="Z50" s="2132"/>
      <c r="AA50" s="2132"/>
      <c r="AB50" s="2132"/>
      <c r="AC50" s="2133"/>
    </row>
    <row r="51" spans="1:29">
      <c r="A51" s="2952"/>
      <c r="B51" s="2952"/>
      <c r="C51" s="2952">
        <v>2004</v>
      </c>
      <c r="D51" s="2952"/>
      <c r="E51" s="2952">
        <v>2008</v>
      </c>
      <c r="F51" s="2952"/>
      <c r="G51" s="2956">
        <v>20.07</v>
      </c>
      <c r="H51" s="2952"/>
      <c r="I51" s="2952">
        <v>2008</v>
      </c>
      <c r="J51" s="2952"/>
      <c r="K51" s="2957"/>
      <c r="L51" s="2953"/>
      <c r="M51" s="2952"/>
      <c r="N51" s="2952"/>
      <c r="O51" s="2952"/>
      <c r="P51" s="2983"/>
      <c r="Q51" s="2952"/>
      <c r="R51" s="2952"/>
      <c r="S51" s="2952"/>
      <c r="T51" s="2952"/>
      <c r="U51" s="2952"/>
      <c r="V51" s="2952"/>
      <c r="W51" s="2952"/>
      <c r="X51" s="2952"/>
      <c r="Y51" s="2952"/>
      <c r="Z51" s="2952"/>
      <c r="AA51" s="2952"/>
      <c r="AB51" s="2952"/>
      <c r="AC51" s="2952"/>
    </row>
    <row r="52" spans="1:29">
      <c r="A52" s="2952"/>
      <c r="B52" s="2952"/>
      <c r="C52" s="2952"/>
      <c r="D52" s="2952"/>
      <c r="E52" s="2952"/>
      <c r="F52" s="2952"/>
      <c r="G52" s="2952"/>
      <c r="H52" s="2952"/>
      <c r="I52" s="2952"/>
      <c r="J52" s="2952"/>
      <c r="K52" s="2957"/>
      <c r="L52" s="2953"/>
      <c r="M52" s="2952"/>
      <c r="N52" s="2952"/>
      <c r="O52" s="2952"/>
      <c r="P52" s="2983"/>
      <c r="Q52" s="2952"/>
      <c r="R52" s="2952"/>
      <c r="S52" s="2952"/>
      <c r="T52" s="2952"/>
      <c r="U52" s="2952"/>
      <c r="V52" s="2952"/>
      <c r="W52" s="2952"/>
      <c r="X52" s="2952"/>
      <c r="Y52" s="2952"/>
      <c r="Z52" s="2952"/>
      <c r="AA52" s="2952"/>
      <c r="AB52" s="2952"/>
      <c r="AC52" s="2952"/>
    </row>
    <row r="53" spans="1:29" ht="13.5" customHeight="1">
      <c r="A53" s="2952"/>
      <c r="B53" s="2952"/>
      <c r="C53" s="454" t="s">
        <v>2401</v>
      </c>
      <c r="D53" s="455"/>
      <c r="E53" s="456">
        <f>IF(E48&lt;E49,E49/E48-1,E48/E49-1)</f>
        <v>1.1849710982658967E-2</v>
      </c>
      <c r="F53" s="457" t="str">
        <f>IF(OR(E53&gt;=0.3,E53&lt;=-0.3),"超过30%","")</f>
        <v/>
      </c>
      <c r="G53" s="456">
        <f>IF(G48&lt;G49,G49/G48-1,G48/G49-1)</f>
        <v>0.12127255460588793</v>
      </c>
      <c r="H53" s="457" t="str">
        <f>IF(OR(G53&gt;=0.3,G53&lt;=-0.3),"超过30%","")</f>
        <v/>
      </c>
      <c r="I53" s="456">
        <f>IF(I48&lt;I49,I49/I48-1,I48/I49-1)</f>
        <v>6.3796240145542749E-2</v>
      </c>
      <c r="J53" s="457" t="str">
        <f>IF(OR(I53&gt;=0.3,I53&lt;=-0.3),"超过30%","")</f>
        <v/>
      </c>
      <c r="K53" s="2957"/>
      <c r="L53" s="2953"/>
      <c r="M53" s="2952"/>
      <c r="N53" s="2952"/>
      <c r="O53" s="2952"/>
      <c r="P53" s="2983"/>
      <c r="Q53" s="2952"/>
      <c r="R53" s="2952"/>
      <c r="S53" s="2952"/>
      <c r="T53" s="2952"/>
      <c r="U53" s="2952"/>
      <c r="V53" s="2952"/>
      <c r="W53" s="2952"/>
      <c r="X53" s="2952"/>
      <c r="Y53" s="2952"/>
      <c r="Z53" s="2952"/>
      <c r="AA53" s="2952"/>
      <c r="AB53" s="2952"/>
      <c r="AC53" s="2952"/>
    </row>
    <row r="54" spans="1:29" ht="13.5" customHeight="1">
      <c r="A54" s="2952"/>
      <c r="B54" s="2952"/>
      <c r="C54" s="454" t="s">
        <v>2402</v>
      </c>
      <c r="D54" s="458"/>
      <c r="E54" s="456">
        <f>IF(E49&lt;G49,G49/E49-1,E49/G49-1)</f>
        <v>2.3728323699421905E-2</v>
      </c>
      <c r="F54" s="457" t="str">
        <f>IF(OR(E54&gt;=0.2,E54&lt;=-0.2),"超过20%","")</f>
        <v/>
      </c>
      <c r="G54" s="456">
        <f>IF(G49&lt;I49,I49/G49-1,G49/I49-1)</f>
        <v>0.16385759859970084</v>
      </c>
      <c r="H54" s="457" t="str">
        <f>IF(OR(G54&gt;=0.2,G54&lt;=-0.2),"超过20%","")</f>
        <v/>
      </c>
      <c r="I54" s="456">
        <f>IF(I49&lt;E49,E49/I49-1,I49/E49-1)</f>
        <v>0.19147398843930641</v>
      </c>
      <c r="J54" s="457" t="str">
        <f>IF(OR(I54&gt;=0.2,I54&lt;=-0.2),"超过20%","")</f>
        <v/>
      </c>
      <c r="K54" s="2957"/>
      <c r="L54" s="2953"/>
      <c r="M54" s="2952"/>
      <c r="N54" s="2952"/>
      <c r="O54" s="2952"/>
      <c r="P54" s="2983"/>
      <c r="Q54" s="2952"/>
      <c r="R54" s="2952"/>
      <c r="S54" s="2952"/>
      <c r="T54" s="2952"/>
      <c r="U54" s="2952"/>
      <c r="V54" s="2952"/>
      <c r="W54" s="2952"/>
      <c r="X54" s="2952"/>
      <c r="Y54" s="2952"/>
      <c r="Z54" s="2952"/>
      <c r="AA54" s="2952"/>
      <c r="AB54" s="2952"/>
      <c r="AC54" s="2952"/>
    </row>
    <row r="55" spans="1:29" s="459" customFormat="1" ht="13.5" customHeight="1">
      <c r="A55" s="2955"/>
      <c r="B55" s="2955"/>
      <c r="C55" s="454" t="s">
        <v>2403</v>
      </c>
      <c r="D55" s="458"/>
      <c r="E55" s="456">
        <f>IF(E48&lt;G48,G48/E48-1,E48/G48-1)</f>
        <v>0.10826210826210825</v>
      </c>
      <c r="F55" s="457" t="str">
        <f>IF(OR(E55&gt;=0.3,E55&lt;=-0.3),"超过30%","")</f>
        <v/>
      </c>
      <c r="G55" s="456">
        <f>IF(G48&lt;I48,I48/G48-1,G48/I48-1)</f>
        <v>0.38825577714466597</v>
      </c>
      <c r="H55" s="457" t="str">
        <f>IF(OR(G55&gt;=0.3,G55&lt;=-0.3),"超过30%","")</f>
        <v>超过30%</v>
      </c>
      <c r="I55" s="456">
        <f>IF(I48&lt;E48,E48/I48-1,I48/E48-1)</f>
        <v>0.25264210225649819</v>
      </c>
      <c r="J55" s="457" t="str">
        <f>IF(OR(I55&gt;=0.3,I55&lt;=-0.3),"超过30%","")</f>
        <v/>
      </c>
      <c r="K55" s="2960"/>
      <c r="L55" s="2954"/>
      <c r="M55" s="2955"/>
      <c r="N55" s="2955"/>
      <c r="O55" s="2955"/>
      <c r="P55" s="2984"/>
      <c r="Q55" s="2955"/>
      <c r="R55" s="2955"/>
      <c r="S55" s="2955"/>
      <c r="T55" s="2955"/>
      <c r="U55" s="2955"/>
      <c r="V55" s="2955"/>
      <c r="W55" s="2955"/>
      <c r="X55" s="2955"/>
      <c r="Y55" s="2955"/>
      <c r="Z55" s="2955"/>
      <c r="AA55" s="2955"/>
      <c r="AB55" s="2955"/>
      <c r="AC55" s="2955"/>
    </row>
    <row r="56" spans="1:29" s="459" customFormat="1">
      <c r="A56" s="2955"/>
      <c r="B56" s="2958"/>
      <c r="C56" s="2959"/>
      <c r="D56" s="2955"/>
      <c r="E56" s="2955"/>
      <c r="F56" s="2955"/>
      <c r="G56" s="2955"/>
      <c r="H56" s="2955"/>
      <c r="I56" s="2955"/>
      <c r="J56" s="2955"/>
      <c r="K56" s="2960"/>
      <c r="L56" s="2954"/>
      <c r="M56" s="2955"/>
      <c r="N56" s="2955"/>
      <c r="O56" s="2955"/>
      <c r="P56" s="2984"/>
      <c r="Q56" s="2955"/>
      <c r="R56" s="2955"/>
      <c r="S56" s="2955"/>
      <c r="T56" s="2955"/>
      <c r="U56" s="2955"/>
      <c r="V56" s="2955"/>
      <c r="W56" s="2955"/>
      <c r="X56" s="2955"/>
      <c r="Y56" s="2955"/>
      <c r="Z56" s="2955"/>
      <c r="AA56" s="2955"/>
      <c r="AB56" s="2955"/>
      <c r="AC56" s="2955"/>
    </row>
    <row r="57" spans="1:29">
      <c r="A57" s="2952"/>
      <c r="B57" s="2958"/>
      <c r="C57" s="2959"/>
      <c r="D57" s="2952"/>
      <c r="E57" s="2952"/>
      <c r="F57" s="2952"/>
      <c r="G57" s="2952"/>
      <c r="H57" s="2952"/>
      <c r="I57" s="2952"/>
      <c r="J57" s="2952"/>
      <c r="K57" s="2957"/>
      <c r="L57" s="2953"/>
      <c r="M57" s="2952"/>
      <c r="N57" s="2952"/>
      <c r="O57" s="2952"/>
      <c r="P57" s="2983"/>
      <c r="Q57" s="2952"/>
      <c r="R57" s="2952"/>
      <c r="S57" s="2952"/>
      <c r="T57" s="2952"/>
      <c r="U57" s="2952"/>
      <c r="V57" s="2952"/>
      <c r="W57" s="2952"/>
      <c r="X57" s="2952"/>
      <c r="Y57" s="2952"/>
      <c r="Z57" s="2952"/>
      <c r="AA57" s="2952"/>
      <c r="AB57" s="2952"/>
      <c r="AC57" s="2952"/>
    </row>
    <row r="58" spans="1:29" ht="21.75" thickBot="1">
      <c r="A58" s="703" t="s">
        <v>2404</v>
      </c>
      <c r="B58" s="699"/>
      <c r="C58" s="704"/>
      <c r="D58" s="704"/>
      <c r="E58" s="704"/>
      <c r="F58" s="705"/>
      <c r="G58" s="705"/>
      <c r="H58" s="704"/>
      <c r="I58" s="704"/>
      <c r="J58" s="704"/>
      <c r="K58" s="706"/>
      <c r="L58" s="1073"/>
      <c r="M58" s="1071"/>
      <c r="N58" s="2996"/>
      <c r="O58" s="2996"/>
      <c r="P58" s="2985"/>
      <c r="Q58" s="2966"/>
      <c r="R58" s="2952"/>
      <c r="S58" s="2952"/>
      <c r="T58" s="2952"/>
      <c r="U58" s="2952"/>
      <c r="V58" s="2952"/>
      <c r="W58" s="2952"/>
      <c r="X58" s="2952"/>
      <c r="Y58" s="2952"/>
      <c r="Z58" s="2952"/>
      <c r="AA58" s="2952"/>
      <c r="AB58" s="2952"/>
      <c r="AC58" s="2952"/>
    </row>
    <row r="59" spans="1:29" s="465" customFormat="1" ht="15">
      <c r="A59" s="462" t="s">
        <v>2369</v>
      </c>
      <c r="B59" s="463"/>
      <c r="C59" s="1346" t="str">
        <f>YEAR(C7)&amp;"-"&amp;MONTH(C7)</f>
        <v>2017-6</v>
      </c>
      <c r="D59" s="1347">
        <f>EDATE(C59,-1)</f>
        <v>42856</v>
      </c>
      <c r="E59" s="1347">
        <f>EDATE(D59,-1)</f>
        <v>42826</v>
      </c>
      <c r="F59" s="1347">
        <f t="shared" ref="F59:O59" si="13">EDATE(E59,-1)</f>
        <v>42795</v>
      </c>
      <c r="G59" s="1347">
        <f t="shared" si="13"/>
        <v>42767</v>
      </c>
      <c r="H59" s="1347">
        <f t="shared" si="13"/>
        <v>42736</v>
      </c>
      <c r="I59" s="1347">
        <f t="shared" si="13"/>
        <v>42705</v>
      </c>
      <c r="J59" s="1347">
        <f t="shared" si="13"/>
        <v>42675</v>
      </c>
      <c r="K59" s="1347">
        <f t="shared" si="13"/>
        <v>42644</v>
      </c>
      <c r="L59" s="1347">
        <f t="shared" si="13"/>
        <v>42614</v>
      </c>
      <c r="M59" s="1347">
        <f t="shared" si="13"/>
        <v>42583</v>
      </c>
      <c r="N59" s="1347">
        <f t="shared" si="13"/>
        <v>42552</v>
      </c>
      <c r="O59" s="1347">
        <f t="shared" si="13"/>
        <v>42522</v>
      </c>
      <c r="P59" s="2986"/>
      <c r="Q59" s="2968"/>
      <c r="R59" s="2968"/>
      <c r="S59" s="2968"/>
      <c r="T59" s="2968"/>
      <c r="U59" s="2968"/>
      <c r="V59" s="2968"/>
      <c r="W59" s="2968"/>
      <c r="X59" s="2968"/>
      <c r="Y59" s="2968"/>
      <c r="Z59" s="2968"/>
      <c r="AA59" s="2968"/>
      <c r="AB59" s="2968"/>
      <c r="AC59" s="2968"/>
    </row>
    <row r="60" spans="1:29" s="113" customFormat="1" ht="15">
      <c r="A60" s="466"/>
      <c r="B60" s="467"/>
      <c r="C60" s="1345">
        <v>100</v>
      </c>
      <c r="D60" s="469">
        <v>100</v>
      </c>
      <c r="E60" s="469">
        <v>100</v>
      </c>
      <c r="F60" s="469">
        <v>99.8</v>
      </c>
      <c r="G60" s="469">
        <v>99.8</v>
      </c>
      <c r="H60" s="469">
        <v>99.8</v>
      </c>
      <c r="I60" s="469">
        <v>99</v>
      </c>
      <c r="J60" s="469">
        <v>99.6</v>
      </c>
      <c r="K60" s="469">
        <v>99.6</v>
      </c>
      <c r="L60" s="469">
        <v>99.4</v>
      </c>
      <c r="M60" s="470">
        <v>99.4</v>
      </c>
      <c r="N60" s="469">
        <v>99.4</v>
      </c>
      <c r="O60" s="470">
        <v>99.2</v>
      </c>
      <c r="P60" s="2987"/>
      <c r="Q60" s="2886"/>
      <c r="R60" s="2886"/>
      <c r="S60" s="2886"/>
      <c r="T60" s="2886"/>
      <c r="U60" s="2886"/>
      <c r="V60" s="2886"/>
      <c r="W60" s="2886"/>
      <c r="X60" s="2886"/>
      <c r="Y60" s="2886"/>
      <c r="Z60" s="2886"/>
      <c r="AA60" s="2886"/>
      <c r="AB60" s="2886"/>
      <c r="AC60" s="2886"/>
    </row>
    <row r="61" spans="1:29" s="113" customFormat="1" ht="15.75" thickBot="1">
      <c r="A61" s="472" t="s">
        <v>2406</v>
      </c>
      <c r="B61" s="473"/>
      <c r="C61" s="474"/>
      <c r="D61" s="475"/>
      <c r="E61" s="475"/>
      <c r="F61" s="475"/>
      <c r="G61" s="475"/>
      <c r="H61" s="475"/>
      <c r="I61" s="475"/>
      <c r="J61" s="475"/>
      <c r="K61" s="475"/>
      <c r="L61" s="475"/>
      <c r="M61" s="476"/>
      <c r="N61" s="475"/>
      <c r="O61" s="476"/>
      <c r="P61" s="2987"/>
      <c r="Q61" s="2966"/>
      <c r="R61" s="2886"/>
      <c r="S61" s="2886"/>
      <c r="T61" s="2886"/>
      <c r="U61" s="2886"/>
      <c r="V61" s="2886"/>
      <c r="W61" s="2886"/>
      <c r="X61" s="2886"/>
      <c r="Y61" s="2886"/>
      <c r="Z61" s="2886"/>
      <c r="AA61" s="2886"/>
      <c r="AB61" s="2886"/>
      <c r="AC61" s="2886"/>
    </row>
    <row r="62" spans="1:29" s="113" customFormat="1" ht="15">
      <c r="A62" s="478" t="s">
        <v>2371</v>
      </c>
      <c r="B62" s="467"/>
      <c r="C62" s="479" t="s">
        <v>2408</v>
      </c>
      <c r="D62" s="480"/>
      <c r="E62" s="480"/>
      <c r="F62" s="480"/>
      <c r="G62" s="480"/>
      <c r="H62" s="480"/>
      <c r="I62" s="480"/>
      <c r="J62" s="480"/>
      <c r="K62" s="480"/>
      <c r="L62" s="481"/>
      <c r="M62" s="482"/>
      <c r="N62" s="2979"/>
      <c r="O62" s="2979"/>
      <c r="P62" s="2988"/>
      <c r="Q62" s="2966"/>
      <c r="R62" s="2886"/>
      <c r="S62" s="2886"/>
      <c r="T62" s="2886"/>
      <c r="U62" s="2886"/>
      <c r="V62" s="2886"/>
      <c r="W62" s="2886"/>
      <c r="X62" s="2886"/>
      <c r="Y62" s="2886"/>
      <c r="Z62" s="2886"/>
      <c r="AA62" s="2886"/>
      <c r="AB62" s="2886"/>
      <c r="AC62" s="2886"/>
    </row>
    <row r="63" spans="1:29" s="113" customFormat="1" ht="15.75" thickBot="1">
      <c r="A63" s="478"/>
      <c r="B63" s="467"/>
      <c r="C63" s="468">
        <v>100</v>
      </c>
      <c r="D63" s="469"/>
      <c r="E63" s="469"/>
      <c r="F63" s="469"/>
      <c r="G63" s="469"/>
      <c r="H63" s="469"/>
      <c r="I63" s="469"/>
      <c r="J63" s="469"/>
      <c r="K63" s="469"/>
      <c r="L63" s="469"/>
      <c r="M63" s="471"/>
      <c r="N63" s="2979"/>
      <c r="O63" s="2979"/>
      <c r="P63" s="2987"/>
      <c r="Q63" s="2966"/>
      <c r="R63" s="2886"/>
      <c r="S63" s="2886"/>
      <c r="T63" s="2886"/>
      <c r="U63" s="2886"/>
      <c r="V63" s="2886"/>
      <c r="W63" s="2886"/>
      <c r="X63" s="2886"/>
      <c r="Y63" s="2886"/>
      <c r="Z63" s="2886"/>
      <c r="AA63" s="2886"/>
      <c r="AB63" s="2886"/>
      <c r="AC63" s="2886"/>
    </row>
    <row r="64" spans="1:29">
      <c r="A64" s="484" t="s">
        <v>2409</v>
      </c>
      <c r="B64" s="485" t="s">
        <v>2375</v>
      </c>
      <c r="C64" s="486" t="str">
        <f>C9</f>
        <v>办公</v>
      </c>
      <c r="D64" s="3321" t="s">
        <v>4308</v>
      </c>
      <c r="E64" s="487"/>
      <c r="F64" s="487"/>
      <c r="G64" s="487"/>
      <c r="H64" s="487"/>
      <c r="I64" s="487"/>
      <c r="J64" s="487"/>
      <c r="K64" s="488"/>
      <c r="L64" s="489"/>
      <c r="M64" s="490"/>
      <c r="N64" s="2980"/>
      <c r="O64" s="2980"/>
      <c r="P64" s="2989"/>
      <c r="Q64" s="2966"/>
      <c r="R64" s="2952"/>
      <c r="S64" s="2952"/>
      <c r="T64" s="2952"/>
      <c r="U64" s="2952"/>
      <c r="V64" s="2952"/>
      <c r="W64" s="2952"/>
      <c r="X64" s="2952"/>
      <c r="Y64" s="2952"/>
      <c r="Z64" s="2952"/>
      <c r="AA64" s="2952"/>
      <c r="AB64" s="2952"/>
      <c r="AC64" s="2952"/>
    </row>
    <row r="65" spans="1:29" ht="15.75" thickBot="1">
      <c r="A65" s="491"/>
      <c r="B65" s="492"/>
      <c r="C65" s="493">
        <v>100</v>
      </c>
      <c r="D65" s="493">
        <v>95</v>
      </c>
      <c r="E65" s="493"/>
      <c r="F65" s="493"/>
      <c r="G65" s="493"/>
      <c r="H65" s="493"/>
      <c r="I65" s="493"/>
      <c r="J65" s="493"/>
      <c r="K65" s="493"/>
      <c r="L65" s="493"/>
      <c r="M65" s="494"/>
      <c r="N65" s="2981"/>
      <c r="O65" s="2981"/>
      <c r="P65" s="2989"/>
      <c r="Q65" s="2966"/>
      <c r="R65" s="2952"/>
      <c r="S65" s="2952"/>
      <c r="T65" s="2952"/>
      <c r="U65" s="2952"/>
      <c r="V65" s="2952"/>
      <c r="W65" s="2952"/>
      <c r="X65" s="2952"/>
      <c r="Y65" s="2952"/>
      <c r="Z65" s="2952"/>
      <c r="AA65" s="2952"/>
      <c r="AB65" s="2952"/>
      <c r="AC65" s="2952"/>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0"/>
      <c r="O66" s="2980"/>
      <c r="P66" s="2989"/>
      <c r="Q66" s="2966"/>
      <c r="R66" s="2952"/>
      <c r="S66" s="2952"/>
      <c r="T66" s="2952"/>
      <c r="U66" s="2952"/>
      <c r="V66" s="2952"/>
      <c r="W66" s="2952"/>
      <c r="X66" s="2952"/>
      <c r="Y66" s="2952"/>
      <c r="Z66" s="2952"/>
      <c r="AA66" s="2952"/>
      <c r="AB66" s="2952"/>
      <c r="AC66" s="2952"/>
    </row>
    <row r="67" spans="1:29" ht="15.75" thickBot="1">
      <c r="A67" s="491"/>
      <c r="B67" s="500"/>
      <c r="C67" s="501" t="s">
        <v>24</v>
      </c>
      <c r="D67" s="501" t="s">
        <v>24</v>
      </c>
      <c r="E67" s="501">
        <v>100</v>
      </c>
      <c r="F67" s="501">
        <f>E67-$K10</f>
        <v>100</v>
      </c>
      <c r="G67" s="501">
        <f>F67-$K10</f>
        <v>100</v>
      </c>
      <c r="H67" s="501">
        <f>G67-$K10</f>
        <v>100</v>
      </c>
      <c r="I67" s="501">
        <f>H67-$K10</f>
        <v>100</v>
      </c>
      <c r="J67" s="501"/>
      <c r="K67" s="501"/>
      <c r="L67" s="501"/>
      <c r="M67" s="502"/>
      <c r="N67" s="2981"/>
      <c r="O67" s="2981"/>
      <c r="P67" s="2989"/>
      <c r="Q67" s="2966"/>
      <c r="R67" s="2952"/>
      <c r="S67" s="2952"/>
      <c r="T67" s="2952"/>
      <c r="U67" s="2952"/>
      <c r="V67" s="2952"/>
      <c r="W67" s="2952"/>
      <c r="X67" s="2952"/>
      <c r="Y67" s="2952"/>
      <c r="Z67" s="2952"/>
      <c r="AA67" s="2952"/>
      <c r="AB67" s="2952"/>
      <c r="AC67" s="2952"/>
    </row>
    <row r="68" spans="1:29" ht="15.75" thickTop="1">
      <c r="A68" s="491"/>
      <c r="B68" s="503" t="s">
        <v>2379</v>
      </c>
      <c r="C68" s="504" t="str">
        <f>C69&amp;"（含）"&amp;"-"&amp;D69</f>
        <v>0（含）-1</v>
      </c>
      <c r="D68" s="504" t="str">
        <f t="shared" ref="D68:L68" si="14">D69&amp;"（含）"&amp;"-"&amp;E69</f>
        <v>1（含）-2</v>
      </c>
      <c r="E68" s="504" t="str">
        <f t="shared" si="14"/>
        <v>2（含）-3</v>
      </c>
      <c r="F68" s="504" t="str">
        <f t="shared" si="14"/>
        <v>3（含）-</v>
      </c>
      <c r="G68" s="504" t="str">
        <f t="shared" si="14"/>
        <v>（含）-</v>
      </c>
      <c r="H68" s="504" t="str">
        <f t="shared" si="14"/>
        <v>（含）-</v>
      </c>
      <c r="I68" s="504" t="str">
        <f t="shared" si="14"/>
        <v>（含）-</v>
      </c>
      <c r="J68" s="504" t="str">
        <f t="shared" si="14"/>
        <v>（含）-</v>
      </c>
      <c r="K68" s="504" t="str">
        <f t="shared" si="14"/>
        <v>（含）-</v>
      </c>
      <c r="L68" s="504" t="str">
        <f t="shared" si="14"/>
        <v>（含）-</v>
      </c>
      <c r="M68" s="407" t="str">
        <f>M69&amp;"（含）"&amp;"-"&amp;P69</f>
        <v>（含）-</v>
      </c>
      <c r="N68" s="2981"/>
      <c r="O68" s="2981"/>
      <c r="P68" s="2989"/>
      <c r="Q68" s="2966"/>
      <c r="R68" s="2952"/>
      <c r="S68" s="2952"/>
      <c r="T68" s="2952"/>
      <c r="U68" s="2952"/>
      <c r="V68" s="2952"/>
      <c r="W68" s="2952"/>
      <c r="X68" s="2952"/>
      <c r="Y68" s="2952"/>
      <c r="Z68" s="2952"/>
      <c r="AA68" s="2952"/>
      <c r="AB68" s="2952"/>
      <c r="AC68" s="2952"/>
    </row>
    <row r="69" spans="1:29" ht="15">
      <c r="A69" s="491"/>
      <c r="B69" s="505"/>
      <c r="C69" s="506">
        <v>0</v>
      </c>
      <c r="D69" s="506">
        <v>1</v>
      </c>
      <c r="E69" s="506">
        <v>2</v>
      </c>
      <c r="F69" s="506">
        <v>3</v>
      </c>
      <c r="G69" s="506"/>
      <c r="H69" s="506"/>
      <c r="I69" s="506"/>
      <c r="J69" s="506"/>
      <c r="K69" s="507"/>
      <c r="L69" s="508"/>
      <c r="M69" s="509"/>
      <c r="N69" s="2980"/>
      <c r="O69" s="2980"/>
      <c r="P69" s="2989"/>
      <c r="Q69" s="2966"/>
      <c r="R69" s="2952"/>
      <c r="S69" s="2952"/>
      <c r="T69" s="2952"/>
      <c r="U69" s="2952"/>
      <c r="V69" s="2952"/>
      <c r="W69" s="2952"/>
      <c r="X69" s="2952"/>
      <c r="Y69" s="2952"/>
      <c r="Z69" s="2952"/>
      <c r="AA69" s="2952"/>
      <c r="AB69" s="2952"/>
      <c r="AC69" s="2952"/>
    </row>
    <row r="70" spans="1:29" ht="15.75" thickBot="1">
      <c r="A70" s="491"/>
      <c r="B70" s="492"/>
      <c r="C70" s="501">
        <v>100</v>
      </c>
      <c r="D70" s="501">
        <f t="shared" ref="D70:M70" si="15">C70-$K11</f>
        <v>100</v>
      </c>
      <c r="E70" s="501">
        <f t="shared" si="15"/>
        <v>100</v>
      </c>
      <c r="F70" s="501">
        <f t="shared" si="15"/>
        <v>100</v>
      </c>
      <c r="G70" s="501">
        <f t="shared" si="15"/>
        <v>100</v>
      </c>
      <c r="H70" s="501">
        <f t="shared" si="15"/>
        <v>100</v>
      </c>
      <c r="I70" s="501">
        <f t="shared" si="15"/>
        <v>100</v>
      </c>
      <c r="J70" s="501">
        <f t="shared" si="15"/>
        <v>100</v>
      </c>
      <c r="K70" s="501">
        <f t="shared" si="15"/>
        <v>100</v>
      </c>
      <c r="L70" s="501">
        <f t="shared" si="15"/>
        <v>100</v>
      </c>
      <c r="M70" s="502">
        <f t="shared" si="15"/>
        <v>100</v>
      </c>
      <c r="N70" s="2981"/>
      <c r="O70" s="2981"/>
      <c r="P70" s="2989"/>
      <c r="Q70" s="2966"/>
      <c r="R70" s="2952"/>
      <c r="S70" s="2952"/>
      <c r="T70" s="2952"/>
      <c r="U70" s="2952"/>
      <c r="V70" s="2952"/>
      <c r="W70" s="2952"/>
      <c r="X70" s="2952"/>
      <c r="Y70" s="2952"/>
      <c r="Z70" s="2952"/>
      <c r="AA70" s="2952"/>
      <c r="AB70" s="2952"/>
      <c r="AC70" s="2952"/>
    </row>
    <row r="71" spans="1:29" s="430" customFormat="1" ht="15.75" thickTop="1">
      <c r="A71" s="510"/>
      <c r="B71" s="495" t="str">
        <f>B12</f>
        <v>产权</v>
      </c>
      <c r="C71" s="511"/>
      <c r="D71" s="511"/>
      <c r="E71" s="511"/>
      <c r="F71" s="511"/>
      <c r="G71" s="511"/>
      <c r="H71" s="512"/>
      <c r="I71" s="512"/>
      <c r="J71" s="512"/>
      <c r="K71" s="512"/>
      <c r="L71" s="513"/>
      <c r="M71" s="514"/>
      <c r="N71" s="2982"/>
      <c r="O71" s="2982"/>
      <c r="P71" s="2990"/>
      <c r="Q71" s="2973"/>
      <c r="R71" s="2974"/>
      <c r="S71" s="2974"/>
      <c r="T71" s="2974"/>
      <c r="U71" s="2974"/>
      <c r="V71" s="2974"/>
      <c r="W71" s="2974"/>
      <c r="X71" s="2974"/>
      <c r="Y71" s="2974"/>
      <c r="Z71" s="2974"/>
      <c r="AA71" s="2974"/>
      <c r="AB71" s="2974"/>
      <c r="AC71" s="2974"/>
    </row>
    <row r="72" spans="1:29" s="430" customFormat="1" ht="15.75" thickBot="1">
      <c r="A72" s="510"/>
      <c r="B72" s="500"/>
      <c r="C72" s="517"/>
      <c r="D72" s="493"/>
      <c r="E72" s="493"/>
      <c r="F72" s="493"/>
      <c r="G72" s="493"/>
      <c r="H72" s="493"/>
      <c r="I72" s="493"/>
      <c r="J72" s="493"/>
      <c r="K72" s="493"/>
      <c r="L72" s="493"/>
      <c r="M72" s="494"/>
      <c r="N72" s="2981"/>
      <c r="O72" s="2981"/>
      <c r="P72" s="2990"/>
      <c r="Q72" s="2973"/>
      <c r="R72" s="2974"/>
      <c r="S72" s="2974"/>
      <c r="T72" s="2974"/>
      <c r="U72" s="2974"/>
      <c r="V72" s="2974"/>
      <c r="W72" s="2974"/>
      <c r="X72" s="2974"/>
      <c r="Y72" s="2974"/>
      <c r="Z72" s="2974"/>
      <c r="AA72" s="2974"/>
      <c r="AB72" s="2974"/>
      <c r="AC72" s="2974"/>
    </row>
    <row r="73" spans="1:29" s="430" customFormat="1" ht="15.75" thickTop="1">
      <c r="A73" s="510"/>
      <c r="B73" s="495">
        <f>B13</f>
        <v>111</v>
      </c>
      <c r="C73" s="511"/>
      <c r="D73" s="511"/>
      <c r="E73" s="511"/>
      <c r="F73" s="511"/>
      <c r="G73" s="511"/>
      <c r="H73" s="512"/>
      <c r="I73" s="512"/>
      <c r="J73" s="512"/>
      <c r="K73" s="512"/>
      <c r="L73" s="513"/>
      <c r="M73" s="514"/>
      <c r="N73" s="2982"/>
      <c r="O73" s="2982"/>
      <c r="P73" s="2991"/>
      <c r="Q73" s="2976"/>
      <c r="R73" s="2974"/>
      <c r="S73" s="2974"/>
      <c r="T73" s="2974"/>
      <c r="U73" s="2974"/>
      <c r="V73" s="2974"/>
      <c r="W73" s="2974"/>
      <c r="X73" s="2974"/>
      <c r="Y73" s="2974"/>
      <c r="Z73" s="2974"/>
      <c r="AA73" s="2974"/>
      <c r="AB73" s="2974"/>
      <c r="AC73" s="2974"/>
    </row>
    <row r="74" spans="1:29" s="430" customFormat="1" ht="15.75" thickBot="1">
      <c r="A74" s="510"/>
      <c r="B74" s="500"/>
      <c r="C74" s="517"/>
      <c r="D74" s="517"/>
      <c r="E74" s="517"/>
      <c r="F74" s="517"/>
      <c r="G74" s="517"/>
      <c r="H74" s="519"/>
      <c r="I74" s="519"/>
      <c r="J74" s="519"/>
      <c r="K74" s="519"/>
      <c r="L74" s="519"/>
      <c r="M74" s="520"/>
      <c r="N74" s="2982"/>
      <c r="O74" s="2982"/>
      <c r="P74" s="2990"/>
      <c r="Q74" s="2973"/>
      <c r="R74" s="2974"/>
      <c r="S74" s="2974"/>
      <c r="T74" s="2974"/>
      <c r="U74" s="2974"/>
      <c r="V74" s="2974"/>
      <c r="W74" s="2974"/>
      <c r="X74" s="2974"/>
      <c r="Y74" s="2974"/>
      <c r="Z74" s="2974"/>
      <c r="AA74" s="2974"/>
      <c r="AB74" s="2974"/>
      <c r="AC74" s="2974"/>
    </row>
    <row r="75" spans="1:29" s="430" customFormat="1" ht="15.75" thickTop="1">
      <c r="A75" s="510"/>
      <c r="B75" s="503">
        <f>B14</f>
        <v>111</v>
      </c>
      <c r="C75" s="480"/>
      <c r="D75" s="480"/>
      <c r="E75" s="480"/>
      <c r="F75" s="480"/>
      <c r="G75" s="480"/>
      <c r="H75" s="521"/>
      <c r="I75" s="521"/>
      <c r="J75" s="521"/>
      <c r="K75" s="521"/>
      <c r="L75" s="522"/>
      <c r="M75" s="523"/>
      <c r="N75" s="2982"/>
      <c r="O75" s="2982"/>
      <c r="P75" s="2992"/>
      <c r="Q75" s="2973"/>
      <c r="R75" s="2974"/>
      <c r="S75" s="2974"/>
      <c r="T75" s="2974"/>
      <c r="U75" s="2974"/>
      <c r="V75" s="2974"/>
      <c r="W75" s="2974"/>
      <c r="X75" s="2974"/>
      <c r="Y75" s="2974"/>
      <c r="Z75" s="2974"/>
      <c r="AA75" s="2974"/>
      <c r="AB75" s="2974"/>
      <c r="AC75" s="2974"/>
    </row>
    <row r="76" spans="1:29" s="430" customFormat="1" ht="15.75" thickBot="1">
      <c r="A76" s="525"/>
      <c r="B76" s="526"/>
      <c r="C76" s="527"/>
      <c r="D76" s="527"/>
      <c r="E76" s="527"/>
      <c r="F76" s="527"/>
      <c r="G76" s="527"/>
      <c r="H76" s="528"/>
      <c r="I76" s="528"/>
      <c r="J76" s="528"/>
      <c r="K76" s="528"/>
      <c r="L76" s="528"/>
      <c r="M76" s="529"/>
      <c r="N76" s="2982"/>
      <c r="O76" s="2982"/>
      <c r="P76" s="2990"/>
      <c r="Q76" s="2973"/>
      <c r="R76" s="2974"/>
      <c r="S76" s="2974"/>
      <c r="T76" s="2974"/>
      <c r="U76" s="2974"/>
      <c r="V76" s="2974"/>
      <c r="W76" s="2974"/>
      <c r="X76" s="2974"/>
      <c r="Y76" s="2974"/>
      <c r="Z76" s="2974"/>
      <c r="AA76" s="2974"/>
      <c r="AB76" s="2974"/>
      <c r="AC76" s="2974"/>
    </row>
    <row r="77" spans="1:29">
      <c r="A77" s="484" t="s">
        <v>2380</v>
      </c>
      <c r="B77" s="485" t="s">
        <v>2517</v>
      </c>
      <c r="C77" s="530" t="s">
        <v>2418</v>
      </c>
      <c r="D77" s="530" t="s">
        <v>2419</v>
      </c>
      <c r="E77" s="530" t="s">
        <v>2420</v>
      </c>
      <c r="F77" s="530" t="s">
        <v>2421</v>
      </c>
      <c r="G77" s="530" t="s">
        <v>2422</v>
      </c>
      <c r="H77" s="486"/>
      <c r="I77" s="486"/>
      <c r="J77" s="486"/>
      <c r="K77" s="531"/>
      <c r="L77" s="532"/>
      <c r="M77" s="533"/>
      <c r="N77" s="2980"/>
      <c r="O77" s="2980"/>
      <c r="P77" s="2993"/>
      <c r="Q77" s="2966"/>
      <c r="R77" s="2952"/>
      <c r="S77" s="2952"/>
      <c r="T77" s="2952"/>
      <c r="U77" s="2952"/>
      <c r="V77" s="2952"/>
      <c r="W77" s="2952"/>
      <c r="X77" s="2952"/>
      <c r="Y77" s="2952"/>
      <c r="Z77" s="2952"/>
      <c r="AA77" s="2952"/>
      <c r="AB77" s="2952"/>
      <c r="AC77" s="2952"/>
    </row>
    <row r="78" spans="1:29" ht="15.75" thickBot="1">
      <c r="A78" s="491"/>
      <c r="B78" s="500"/>
      <c r="C78" s="501">
        <v>100</v>
      </c>
      <c r="D78" s="501">
        <f>C78-$K15</f>
        <v>95</v>
      </c>
      <c r="E78" s="501">
        <f>D78-$K15</f>
        <v>90</v>
      </c>
      <c r="F78" s="501">
        <f>E78-$K15</f>
        <v>85</v>
      </c>
      <c r="G78" s="501">
        <f>F78-$K15</f>
        <v>80</v>
      </c>
      <c r="H78" s="501"/>
      <c r="I78" s="501"/>
      <c r="J78" s="501"/>
      <c r="K78" s="501"/>
      <c r="L78" s="501"/>
      <c r="M78" s="502"/>
      <c r="N78" s="2981"/>
      <c r="O78" s="2981"/>
      <c r="P78" s="2989"/>
      <c r="Q78" s="2966"/>
      <c r="R78" s="2952"/>
      <c r="S78" s="2952"/>
      <c r="T78" s="2952"/>
      <c r="U78" s="2952"/>
      <c r="V78" s="2952"/>
      <c r="W78" s="2952"/>
      <c r="X78" s="2952"/>
      <c r="Y78" s="2952"/>
      <c r="Z78" s="2952"/>
      <c r="AA78" s="2952"/>
      <c r="AB78" s="2952"/>
      <c r="AC78" s="2952"/>
    </row>
    <row r="79" spans="1:29" ht="15.75" thickTop="1">
      <c r="A79" s="491"/>
      <c r="B79" s="495" t="s">
        <v>2423</v>
      </c>
      <c r="C79" s="535" t="s">
        <v>2418</v>
      </c>
      <c r="D79" s="535" t="s">
        <v>2419</v>
      </c>
      <c r="E79" s="535" t="s">
        <v>2420</v>
      </c>
      <c r="F79" s="535" t="s">
        <v>2421</v>
      </c>
      <c r="G79" s="535" t="s">
        <v>2422</v>
      </c>
      <c r="H79" s="496"/>
      <c r="I79" s="496"/>
      <c r="J79" s="496"/>
      <c r="K79" s="497"/>
      <c r="L79" s="498"/>
      <c r="M79" s="499"/>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C80-$K17</f>
        <v>97</v>
      </c>
      <c r="E80" s="501">
        <f>D80-$K17</f>
        <v>94</v>
      </c>
      <c r="F80" s="501">
        <f>E80-$K17</f>
        <v>91</v>
      </c>
      <c r="G80" s="501">
        <f>F80-$K17</f>
        <v>88</v>
      </c>
      <c r="H80" s="501"/>
      <c r="I80" s="501"/>
      <c r="J80" s="501"/>
      <c r="K80" s="501"/>
      <c r="L80" s="501"/>
      <c r="M80" s="502"/>
      <c r="N80" s="2981"/>
      <c r="O80" s="2981"/>
      <c r="P80" s="2989"/>
      <c r="Q80" s="2966"/>
      <c r="R80" s="2952"/>
      <c r="S80" s="2952"/>
      <c r="T80" s="2952"/>
      <c r="U80" s="2952"/>
      <c r="V80" s="2952"/>
      <c r="W80" s="2952"/>
      <c r="X80" s="2952"/>
      <c r="Y80" s="2952"/>
      <c r="Z80" s="2952"/>
      <c r="AA80" s="2952"/>
      <c r="AB80" s="2952"/>
      <c r="AC80" s="2952"/>
    </row>
    <row r="81" spans="1:29" ht="15.75" thickTop="1">
      <c r="A81" s="491"/>
      <c r="B81" s="495" t="s">
        <v>2424</v>
      </c>
      <c r="C81" s="535" t="s">
        <v>2418</v>
      </c>
      <c r="D81" s="535" t="s">
        <v>2419</v>
      </c>
      <c r="E81" s="535" t="s">
        <v>2420</v>
      </c>
      <c r="F81" s="535" t="s">
        <v>2421</v>
      </c>
      <c r="G81" s="535" t="s">
        <v>2422</v>
      </c>
      <c r="H81" s="496"/>
      <c r="I81" s="496"/>
      <c r="J81" s="496"/>
      <c r="K81" s="497"/>
      <c r="L81" s="498"/>
      <c r="M81" s="499"/>
      <c r="N81" s="2980"/>
      <c r="O81" s="2980"/>
      <c r="P81" s="2989"/>
      <c r="Q81" s="2966"/>
      <c r="R81" s="2952"/>
      <c r="S81" s="2952"/>
      <c r="T81" s="2952"/>
      <c r="U81" s="2952"/>
      <c r="V81" s="2952"/>
      <c r="W81" s="2952"/>
      <c r="X81" s="2952"/>
      <c r="Y81" s="2952"/>
      <c r="Z81" s="2952"/>
      <c r="AA81" s="2952"/>
      <c r="AB81" s="2952"/>
      <c r="AC81" s="2952"/>
    </row>
    <row r="82" spans="1:29" ht="15.75" thickBot="1">
      <c r="A82" s="491"/>
      <c r="B82" s="500"/>
      <c r="C82" s="501">
        <v>100</v>
      </c>
      <c r="D82" s="501">
        <f>C82-$K19</f>
        <v>97</v>
      </c>
      <c r="E82" s="501">
        <f>D82-$K19</f>
        <v>94</v>
      </c>
      <c r="F82" s="501">
        <f>E82-$K19</f>
        <v>91</v>
      </c>
      <c r="G82" s="501">
        <f>F82-$K19</f>
        <v>88</v>
      </c>
      <c r="H82" s="501"/>
      <c r="I82" s="501"/>
      <c r="J82" s="501"/>
      <c r="K82" s="501"/>
      <c r="L82" s="501"/>
      <c r="M82" s="502"/>
      <c r="N82" s="2981"/>
      <c r="O82" s="2981"/>
      <c r="P82" s="2989"/>
      <c r="Q82" s="2966"/>
      <c r="R82" s="2952"/>
      <c r="S82" s="2952"/>
      <c r="T82" s="2952"/>
      <c r="U82" s="2952"/>
      <c r="V82" s="2952"/>
      <c r="W82" s="2952"/>
      <c r="X82" s="2952"/>
      <c r="Y82" s="2952"/>
      <c r="Z82" s="2952"/>
      <c r="AA82" s="2952"/>
      <c r="AB82" s="2952"/>
      <c r="AC82" s="2952"/>
    </row>
    <row r="83" spans="1:29" ht="15.75" thickTop="1">
      <c r="A83" s="491"/>
      <c r="B83" s="503" t="s">
        <v>2510</v>
      </c>
      <c r="C83" s="616" t="s">
        <v>2496</v>
      </c>
      <c r="D83" s="616" t="s">
        <v>2497</v>
      </c>
      <c r="E83" s="616" t="s">
        <v>2498</v>
      </c>
      <c r="F83" s="616" t="s">
        <v>2499</v>
      </c>
      <c r="G83" s="616" t="s">
        <v>2500</v>
      </c>
      <c r="H83" s="496"/>
      <c r="I83" s="496"/>
      <c r="J83" s="496"/>
      <c r="K83" s="496"/>
      <c r="L83" s="496"/>
      <c r="M83" s="1291"/>
      <c r="N83" s="2981"/>
      <c r="O83" s="2981"/>
      <c r="P83" s="2989"/>
      <c r="Q83" s="2966"/>
      <c r="R83" s="2952"/>
      <c r="S83" s="2952"/>
      <c r="T83" s="2952"/>
      <c r="U83" s="2952"/>
      <c r="V83" s="2952"/>
      <c r="W83" s="2952"/>
      <c r="X83" s="2952"/>
      <c r="Y83" s="2952"/>
      <c r="Z83" s="2952"/>
      <c r="AA83" s="2952"/>
      <c r="AB83" s="2952"/>
      <c r="AC83" s="2952"/>
    </row>
    <row r="84" spans="1:29" ht="15.75" thickBot="1">
      <c r="A84" s="491"/>
      <c r="B84" s="503"/>
      <c r="C84" s="501">
        <v>100</v>
      </c>
      <c r="D84" s="501">
        <f>C84-$K21</f>
        <v>98</v>
      </c>
      <c r="E84" s="501">
        <f>D84-$K21</f>
        <v>96</v>
      </c>
      <c r="F84" s="501">
        <f>E84-$K21</f>
        <v>94</v>
      </c>
      <c r="G84" s="501">
        <f>F84-$K21</f>
        <v>92</v>
      </c>
      <c r="H84" s="616"/>
      <c r="I84" s="616"/>
      <c r="J84" s="616"/>
      <c r="K84" s="616"/>
      <c r="L84" s="616"/>
      <c r="M84" s="409"/>
      <c r="N84" s="2981"/>
      <c r="O84" s="2981"/>
      <c r="P84" s="2989"/>
      <c r="Q84" s="2966"/>
      <c r="R84" s="2952"/>
      <c r="S84" s="2952"/>
      <c r="T84" s="2952"/>
      <c r="U84" s="2952"/>
      <c r="V84" s="2952"/>
      <c r="W84" s="2952"/>
      <c r="X84" s="2952"/>
      <c r="Y84" s="2952"/>
      <c r="Z84" s="2952"/>
      <c r="AA84" s="2952"/>
      <c r="AB84" s="2952"/>
      <c r="AC84" s="2952"/>
    </row>
    <row r="85" spans="1:29" ht="15.75" thickTop="1">
      <c r="A85" s="491"/>
      <c r="B85" s="495" t="s">
        <v>2518</v>
      </c>
      <c r="C85" s="535" t="s">
        <v>2418</v>
      </c>
      <c r="D85" s="535" t="s">
        <v>2419</v>
      </c>
      <c r="E85" s="535" t="s">
        <v>2420</v>
      </c>
      <c r="F85" s="535" t="s">
        <v>2421</v>
      </c>
      <c r="G85" s="535" t="s">
        <v>2422</v>
      </c>
      <c r="H85" s="496"/>
      <c r="I85" s="496"/>
      <c r="J85" s="496"/>
      <c r="K85" s="497"/>
      <c r="L85" s="498"/>
      <c r="M85" s="499"/>
      <c r="N85" s="2980"/>
      <c r="O85" s="2980"/>
      <c r="P85" s="2989"/>
      <c r="Q85" s="2966"/>
      <c r="R85" s="2952"/>
      <c r="S85" s="2952"/>
      <c r="T85" s="2952"/>
      <c r="U85" s="2952"/>
      <c r="V85" s="2952"/>
      <c r="W85" s="2952"/>
      <c r="X85" s="2952"/>
      <c r="Y85" s="2952"/>
      <c r="Z85" s="2952"/>
      <c r="AA85" s="2952"/>
      <c r="AB85" s="2952"/>
      <c r="AC85" s="2952"/>
    </row>
    <row r="86" spans="1:29" ht="15.75" thickBot="1">
      <c r="A86" s="491"/>
      <c r="B86" s="500"/>
      <c r="C86" s="501">
        <v>100</v>
      </c>
      <c r="D86" s="501">
        <f>C86-$K23</f>
        <v>98</v>
      </c>
      <c r="E86" s="501">
        <f>D86-$K23</f>
        <v>96</v>
      </c>
      <c r="F86" s="501">
        <f>E86-$K23</f>
        <v>94</v>
      </c>
      <c r="G86" s="501">
        <f>F86-$K23</f>
        <v>92</v>
      </c>
      <c r="H86" s="501"/>
      <c r="I86" s="501"/>
      <c r="J86" s="501"/>
      <c r="K86" s="501"/>
      <c r="L86" s="501"/>
      <c r="M86" s="502"/>
      <c r="N86" s="2981"/>
      <c r="O86" s="2981"/>
      <c r="P86" s="2989"/>
      <c r="Q86" s="2966"/>
      <c r="R86" s="2952"/>
      <c r="S86" s="2952"/>
      <c r="T86" s="2952"/>
      <c r="U86" s="2952"/>
      <c r="V86" s="2952"/>
      <c r="W86" s="2952"/>
      <c r="X86" s="2952"/>
      <c r="Y86" s="2952"/>
      <c r="Z86" s="2952"/>
      <c r="AA86" s="2952"/>
      <c r="AB86" s="2952"/>
      <c r="AC86" s="2952"/>
    </row>
    <row r="87" spans="1:29" s="113" customFormat="1" ht="27.75" thickTop="1">
      <c r="A87" s="536"/>
      <c r="B87" s="495" t="s">
        <v>2519</v>
      </c>
      <c r="C87" s="3168" t="s">
        <v>3481</v>
      </c>
      <c r="D87" s="3168" t="s">
        <v>3477</v>
      </c>
      <c r="E87" s="3168" t="s">
        <v>3478</v>
      </c>
      <c r="F87" s="511"/>
      <c r="G87" s="511"/>
      <c r="H87" s="511"/>
      <c r="I87" s="511"/>
      <c r="J87" s="511"/>
      <c r="K87" s="511"/>
      <c r="L87" s="537"/>
      <c r="M87" s="538"/>
      <c r="N87" s="2979"/>
      <c r="O87" s="2979"/>
      <c r="P87" s="2989"/>
      <c r="Q87" s="2966"/>
      <c r="R87" s="2886"/>
      <c r="S87" s="2886"/>
      <c r="T87" s="2886"/>
      <c r="U87" s="2886"/>
      <c r="V87" s="2886"/>
      <c r="W87" s="2886"/>
      <c r="X87" s="2886"/>
      <c r="Y87" s="2886"/>
      <c r="Z87" s="2886"/>
      <c r="AA87" s="2886"/>
      <c r="AB87" s="2886"/>
      <c r="AC87" s="2886"/>
    </row>
    <row r="88" spans="1:29" s="113" customFormat="1" ht="15.75" thickBot="1">
      <c r="A88" s="536"/>
      <c r="B88" s="500"/>
      <c r="C88" s="539">
        <v>100</v>
      </c>
      <c r="D88" s="501">
        <f t="shared" ref="D88:M88" si="16">C88-$K25</f>
        <v>97.5</v>
      </c>
      <c r="E88" s="501">
        <f t="shared" si="16"/>
        <v>95</v>
      </c>
      <c r="F88" s="501">
        <f t="shared" si="16"/>
        <v>92.5</v>
      </c>
      <c r="G88" s="501">
        <f t="shared" si="16"/>
        <v>90</v>
      </c>
      <c r="H88" s="501">
        <f t="shared" si="16"/>
        <v>87.5</v>
      </c>
      <c r="I88" s="501">
        <f t="shared" si="16"/>
        <v>85</v>
      </c>
      <c r="J88" s="501">
        <f t="shared" si="16"/>
        <v>82.5</v>
      </c>
      <c r="K88" s="501">
        <f t="shared" si="16"/>
        <v>80</v>
      </c>
      <c r="L88" s="501">
        <f t="shared" si="16"/>
        <v>77.5</v>
      </c>
      <c r="M88" s="501">
        <f t="shared" si="16"/>
        <v>75</v>
      </c>
      <c r="N88" s="2981"/>
      <c r="O88" s="2981"/>
      <c r="P88" s="2989"/>
      <c r="Q88" s="2966"/>
      <c r="R88" s="2886"/>
      <c r="S88" s="2886"/>
      <c r="T88" s="2886"/>
      <c r="U88" s="2886"/>
      <c r="V88" s="2886"/>
      <c r="W88" s="2886"/>
      <c r="X88" s="2886"/>
      <c r="Y88" s="2886"/>
      <c r="Z88" s="2886"/>
      <c r="AA88" s="2886"/>
      <c r="AB88" s="2886"/>
      <c r="AC88" s="2886"/>
    </row>
    <row r="89" spans="1:29" s="113" customFormat="1" ht="15.75" thickTop="1">
      <c r="A89" s="536"/>
      <c r="B89" s="495" t="str">
        <f>B27</f>
        <v>楼层</v>
      </c>
      <c r="C89" s="511"/>
      <c r="D89" s="511"/>
      <c r="E89" s="511"/>
      <c r="F89" s="2113"/>
      <c r="G89" s="511"/>
      <c r="H89" s="511"/>
      <c r="I89" s="511"/>
      <c r="J89" s="511"/>
      <c r="K89" s="511"/>
      <c r="L89" s="511"/>
      <c r="M89" s="538"/>
      <c r="N89" s="2979"/>
      <c r="O89" s="2979"/>
      <c r="P89" s="2989"/>
      <c r="Q89" s="2966"/>
      <c r="R89" s="2886"/>
      <c r="S89" s="2886"/>
      <c r="T89" s="2886"/>
      <c r="U89" s="2886"/>
      <c r="V89" s="2886"/>
      <c r="W89" s="2886"/>
      <c r="X89" s="2886"/>
      <c r="Y89" s="2886"/>
      <c r="Z89" s="2886"/>
      <c r="AA89" s="2886"/>
      <c r="AB89" s="2886"/>
      <c r="AC89" s="2886"/>
    </row>
    <row r="90" spans="1:29" s="113" customFormat="1" ht="15.75" thickBot="1">
      <c r="A90" s="536"/>
      <c r="B90" s="500"/>
      <c r="C90" s="539">
        <v>100</v>
      </c>
      <c r="D90" s="501">
        <f>C90-$K27</f>
        <v>100</v>
      </c>
      <c r="E90" s="501">
        <f t="shared" ref="E90:M90" si="17">D90-$K27</f>
        <v>100</v>
      </c>
      <c r="F90" s="501">
        <f t="shared" si="17"/>
        <v>100</v>
      </c>
      <c r="G90" s="501">
        <f t="shared" si="17"/>
        <v>100</v>
      </c>
      <c r="H90" s="501">
        <f t="shared" si="17"/>
        <v>100</v>
      </c>
      <c r="I90" s="501">
        <f t="shared" si="17"/>
        <v>100</v>
      </c>
      <c r="J90" s="501">
        <f t="shared" si="17"/>
        <v>100</v>
      </c>
      <c r="K90" s="501">
        <f t="shared" si="17"/>
        <v>100</v>
      </c>
      <c r="L90" s="501">
        <f t="shared" si="17"/>
        <v>100</v>
      </c>
      <c r="M90" s="501">
        <f t="shared" si="17"/>
        <v>100</v>
      </c>
      <c r="N90" s="2981"/>
      <c r="O90" s="2981"/>
      <c r="P90" s="2989"/>
      <c r="Q90" s="2966"/>
      <c r="R90" s="2886"/>
      <c r="S90" s="2886"/>
      <c r="T90" s="2886"/>
      <c r="U90" s="2886"/>
      <c r="V90" s="2886"/>
      <c r="W90" s="2886"/>
      <c r="X90" s="2886"/>
      <c r="Y90" s="2886"/>
      <c r="Z90" s="2886"/>
      <c r="AA90" s="2886"/>
      <c r="AB90" s="2886"/>
      <c r="AC90" s="2886"/>
    </row>
    <row r="91" spans="1:29" s="430" customFormat="1" ht="15.75" thickTop="1">
      <c r="A91" s="510"/>
      <c r="B91" s="495" t="str">
        <f>B28</f>
        <v>朝向</v>
      </c>
      <c r="C91" s="511"/>
      <c r="D91" s="511"/>
      <c r="E91" s="511"/>
      <c r="F91" s="511"/>
      <c r="G91" s="511"/>
      <c r="H91" s="512"/>
      <c r="I91" s="512"/>
      <c r="J91" s="512"/>
      <c r="K91" s="512"/>
      <c r="L91" s="513"/>
      <c r="M91" s="514"/>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39">
        <v>100</v>
      </c>
      <c r="D92" s="501">
        <f t="shared" ref="D92:M92" si="18">C92-$K28</f>
        <v>100</v>
      </c>
      <c r="E92" s="501">
        <f t="shared" si="18"/>
        <v>100</v>
      </c>
      <c r="F92" s="501">
        <f t="shared" si="18"/>
        <v>100</v>
      </c>
      <c r="G92" s="501">
        <f t="shared" si="18"/>
        <v>100</v>
      </c>
      <c r="H92" s="501">
        <f t="shared" si="18"/>
        <v>100</v>
      </c>
      <c r="I92" s="501">
        <f t="shared" si="18"/>
        <v>100</v>
      </c>
      <c r="J92" s="501">
        <f t="shared" si="18"/>
        <v>100</v>
      </c>
      <c r="K92" s="501">
        <f t="shared" si="18"/>
        <v>100</v>
      </c>
      <c r="L92" s="501">
        <f t="shared" si="18"/>
        <v>100</v>
      </c>
      <c r="M92" s="501">
        <f t="shared" si="18"/>
        <v>100</v>
      </c>
      <c r="N92" s="2982"/>
      <c r="O92" s="2982"/>
      <c r="P92" s="2990"/>
      <c r="Q92" s="2973"/>
      <c r="R92" s="2974"/>
      <c r="S92" s="2974"/>
      <c r="T92" s="2974"/>
      <c r="U92" s="2974"/>
      <c r="V92" s="2974"/>
      <c r="W92" s="2974"/>
      <c r="X92" s="2974"/>
      <c r="Y92" s="2974"/>
      <c r="Z92" s="2974"/>
      <c r="AA92" s="2974"/>
      <c r="AB92" s="2974"/>
      <c r="AC92" s="2974"/>
    </row>
    <row r="93" spans="1:29" ht="15.75" thickTop="1">
      <c r="A93" s="491"/>
      <c r="B93" s="495" t="str">
        <f>B29</f>
        <v>外部可视性</v>
      </c>
      <c r="C93" s="3168" t="s">
        <v>4212</v>
      </c>
      <c r="D93" s="3168" t="s">
        <v>4213</v>
      </c>
      <c r="E93" s="3168" t="s">
        <v>4215</v>
      </c>
      <c r="F93" s="511"/>
      <c r="G93" s="511"/>
      <c r="H93" s="511"/>
      <c r="I93" s="511"/>
      <c r="J93" s="511"/>
      <c r="K93" s="511"/>
      <c r="L93" s="537"/>
      <c r="M93" s="538"/>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17">
        <v>100</v>
      </c>
      <c r="D94" s="493">
        <v>90</v>
      </c>
      <c r="E94" s="493">
        <v>80</v>
      </c>
      <c r="F94" s="493"/>
      <c r="G94" s="493"/>
      <c r="H94" s="493"/>
      <c r="I94" s="493"/>
      <c r="J94" s="493"/>
      <c r="K94" s="493"/>
      <c r="L94" s="493"/>
      <c r="M94" s="494"/>
      <c r="N94" s="2981"/>
      <c r="O94" s="2981"/>
      <c r="P94" s="2989"/>
      <c r="Q94" s="2966"/>
      <c r="R94" s="2952"/>
      <c r="S94" s="2952"/>
      <c r="T94" s="2952"/>
      <c r="U94" s="2952"/>
      <c r="V94" s="2952"/>
      <c r="W94" s="2952"/>
      <c r="X94" s="2952"/>
      <c r="Y94" s="2952"/>
      <c r="Z94" s="2952"/>
      <c r="AA94" s="2952"/>
      <c r="AB94" s="2952"/>
      <c r="AC94" s="2952"/>
    </row>
    <row r="95" spans="1:29" ht="15.75" thickTop="1">
      <c r="A95" s="491"/>
      <c r="B95" s="495">
        <f>B30</f>
        <v>111</v>
      </c>
      <c r="C95" s="511"/>
      <c r="D95" s="511"/>
      <c r="E95" s="511"/>
      <c r="F95" s="511"/>
      <c r="G95" s="540"/>
      <c r="H95" s="540"/>
      <c r="I95" s="540"/>
      <c r="J95" s="540"/>
      <c r="K95" s="541"/>
      <c r="L95" s="542"/>
      <c r="M95" s="543"/>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17"/>
      <c r="D96" s="517"/>
      <c r="E96" s="517"/>
      <c r="F96" s="517"/>
      <c r="G96" s="493"/>
      <c r="H96" s="493"/>
      <c r="I96" s="493"/>
      <c r="J96" s="493"/>
      <c r="K96" s="493"/>
      <c r="L96" s="493"/>
      <c r="M96" s="494"/>
      <c r="N96" s="2981"/>
      <c r="O96" s="2981"/>
      <c r="P96" s="2989"/>
      <c r="Q96" s="2966"/>
      <c r="R96" s="2952"/>
      <c r="S96" s="2952"/>
      <c r="T96" s="2952"/>
      <c r="U96" s="2952"/>
      <c r="V96" s="2952"/>
      <c r="W96" s="2952"/>
      <c r="X96" s="2952"/>
      <c r="Y96" s="2952"/>
      <c r="Z96" s="2952"/>
      <c r="AA96" s="2952"/>
      <c r="AB96" s="2952"/>
      <c r="AC96" s="2952"/>
    </row>
    <row r="97" spans="1:29" ht="15.75" thickTop="1">
      <c r="A97" s="491"/>
      <c r="B97" s="495">
        <f>B31</f>
        <v>111</v>
      </c>
      <c r="C97" s="511"/>
      <c r="D97" s="511"/>
      <c r="E97" s="511"/>
      <c r="F97" s="511"/>
      <c r="G97" s="540"/>
      <c r="H97" s="540"/>
      <c r="I97" s="540"/>
      <c r="J97" s="540"/>
      <c r="K97" s="541"/>
      <c r="L97" s="542"/>
      <c r="M97" s="543"/>
      <c r="N97" s="2980"/>
      <c r="O97" s="2980"/>
      <c r="P97" s="2989"/>
      <c r="Q97" s="2966"/>
      <c r="R97" s="2952"/>
      <c r="S97" s="2952"/>
      <c r="T97" s="2952"/>
      <c r="U97" s="2952"/>
      <c r="V97" s="2952"/>
      <c r="W97" s="2952"/>
      <c r="X97" s="2952"/>
      <c r="Y97" s="2952"/>
      <c r="Z97" s="2952"/>
      <c r="AA97" s="2952"/>
      <c r="AB97" s="2952"/>
      <c r="AC97" s="2952"/>
    </row>
    <row r="98" spans="1:29" ht="15.75" thickBot="1">
      <c r="A98" s="491"/>
      <c r="B98" s="500"/>
      <c r="C98" s="517"/>
      <c r="D98" s="493"/>
      <c r="E98" s="493"/>
      <c r="F98" s="493"/>
      <c r="G98" s="493"/>
      <c r="H98" s="493"/>
      <c r="I98" s="493"/>
      <c r="J98" s="493"/>
      <c r="K98" s="493"/>
      <c r="L98" s="493"/>
      <c r="M98" s="494"/>
      <c r="N98" s="2981"/>
      <c r="O98" s="2981"/>
      <c r="P98" s="2989"/>
      <c r="Q98" s="2966"/>
      <c r="R98" s="2952"/>
      <c r="S98" s="2952"/>
      <c r="T98" s="2952"/>
      <c r="U98" s="2952"/>
      <c r="V98" s="2952"/>
      <c r="W98" s="2952"/>
      <c r="X98" s="2952"/>
      <c r="Y98" s="2952"/>
      <c r="Z98" s="2952"/>
      <c r="AA98" s="2952"/>
      <c r="AB98" s="2952"/>
      <c r="AC98" s="2952"/>
    </row>
    <row r="99" spans="1:29" ht="15.75" thickTop="1">
      <c r="A99" s="491"/>
      <c r="B99" s="503">
        <f>B32</f>
        <v>111</v>
      </c>
      <c r="C99" s="480"/>
      <c r="D99" s="480"/>
      <c r="E99" s="480"/>
      <c r="F99" s="480"/>
      <c r="G99" s="544"/>
      <c r="H99" s="544"/>
      <c r="I99" s="544"/>
      <c r="J99" s="544"/>
      <c r="K99" s="545"/>
      <c r="L99" s="546"/>
      <c r="M99" s="547"/>
      <c r="N99" s="2980"/>
      <c r="O99" s="2980"/>
      <c r="P99" s="2989"/>
      <c r="Q99" s="2966"/>
      <c r="R99" s="2952"/>
      <c r="S99" s="2952"/>
      <c r="T99" s="2952"/>
      <c r="U99" s="2952"/>
      <c r="V99" s="2952"/>
      <c r="W99" s="2952"/>
      <c r="X99" s="2952"/>
      <c r="Y99" s="2952"/>
      <c r="Z99" s="2952"/>
      <c r="AA99" s="2952"/>
      <c r="AB99" s="2952"/>
      <c r="AC99" s="2952"/>
    </row>
    <row r="100" spans="1:29" ht="15.75" thickBot="1">
      <c r="A100" s="2114"/>
      <c r="B100" s="526"/>
      <c r="C100" s="527"/>
      <c r="D100" s="527"/>
      <c r="E100" s="527"/>
      <c r="F100" s="527"/>
      <c r="G100" s="548"/>
      <c r="H100" s="548"/>
      <c r="I100" s="548"/>
      <c r="J100" s="548"/>
      <c r="K100" s="548"/>
      <c r="L100" s="548"/>
      <c r="M100" s="549"/>
      <c r="N100" s="2981"/>
      <c r="O100" s="2981"/>
      <c r="P100" s="2989"/>
      <c r="Q100" s="2966"/>
      <c r="R100" s="2952"/>
      <c r="S100" s="2952"/>
      <c r="T100" s="2952"/>
      <c r="U100" s="2952"/>
      <c r="V100" s="2952"/>
      <c r="W100" s="2952"/>
      <c r="X100" s="2952"/>
      <c r="Y100" s="2952"/>
      <c r="Z100" s="2952"/>
      <c r="AA100" s="2952"/>
      <c r="AB100" s="2952"/>
      <c r="AC100" s="2952"/>
    </row>
    <row r="101" spans="1:29">
      <c r="A101" s="484" t="s">
        <v>2384</v>
      </c>
      <c r="B101" s="485" t="s">
        <v>2433</v>
      </c>
      <c r="C101" s="3183" t="s">
        <v>4206</v>
      </c>
      <c r="D101" s="3183" t="s">
        <v>3556</v>
      </c>
      <c r="E101" s="487"/>
      <c r="F101" s="487"/>
      <c r="G101" s="487"/>
      <c r="H101" s="487"/>
      <c r="I101" s="487"/>
      <c r="J101" s="487"/>
      <c r="K101" s="488"/>
      <c r="L101" s="489"/>
      <c r="M101" s="490"/>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01">
        <v>100</v>
      </c>
      <c r="D102" s="501">
        <f t="shared" ref="D102:M102" si="19">C102-$K33</f>
        <v>95</v>
      </c>
      <c r="E102" s="501">
        <f t="shared" si="19"/>
        <v>90</v>
      </c>
      <c r="F102" s="501">
        <f t="shared" si="19"/>
        <v>85</v>
      </c>
      <c r="G102" s="501">
        <f t="shared" si="19"/>
        <v>80</v>
      </c>
      <c r="H102" s="501">
        <f t="shared" si="19"/>
        <v>75</v>
      </c>
      <c r="I102" s="501">
        <f t="shared" si="19"/>
        <v>70</v>
      </c>
      <c r="J102" s="501">
        <f t="shared" si="19"/>
        <v>65</v>
      </c>
      <c r="K102" s="501">
        <f t="shared" si="19"/>
        <v>60</v>
      </c>
      <c r="L102" s="501">
        <f t="shared" si="19"/>
        <v>55</v>
      </c>
      <c r="M102" s="502">
        <f t="shared" si="19"/>
        <v>50</v>
      </c>
      <c r="N102" s="2981"/>
      <c r="O102" s="2981"/>
      <c r="P102" s="2989"/>
      <c r="Q102" s="2966"/>
      <c r="R102" s="2952"/>
      <c r="S102" s="2952"/>
      <c r="T102" s="2952"/>
      <c r="U102" s="2952"/>
      <c r="V102" s="2952"/>
      <c r="W102" s="2952"/>
      <c r="X102" s="2952"/>
      <c r="Y102" s="2952"/>
      <c r="Z102" s="2952"/>
      <c r="AA102" s="2952"/>
      <c r="AB102" s="2952"/>
      <c r="AC102" s="2952"/>
    </row>
    <row r="103" spans="1:29" ht="29.25" thickTop="1">
      <c r="A103" s="491"/>
      <c r="B103" s="495" t="s">
        <v>2434</v>
      </c>
      <c r="C103" s="535" t="str">
        <f>C104&amp;"(含)"&amp;"-"&amp;D104</f>
        <v>0(含)-20000</v>
      </c>
      <c r="D103" s="535" t="str">
        <f t="shared" ref="D103:L103" si="20">D104&amp;"(含)"&amp;"-"&amp;E104</f>
        <v>20000(含)-40000</v>
      </c>
      <c r="E103" s="535" t="str">
        <f t="shared" si="20"/>
        <v>40000(含)-60000</v>
      </c>
      <c r="F103" s="535" t="str">
        <f t="shared" si="20"/>
        <v>60000(含)-80000</v>
      </c>
      <c r="G103" s="535" t="str">
        <f t="shared" si="20"/>
        <v>80000(含)-</v>
      </c>
      <c r="H103" s="535" t="str">
        <f t="shared" si="20"/>
        <v>(含)-</v>
      </c>
      <c r="I103" s="535" t="str">
        <f t="shared" si="20"/>
        <v>(含)-</v>
      </c>
      <c r="J103" s="535" t="str">
        <f t="shared" si="20"/>
        <v>(含)-</v>
      </c>
      <c r="K103" s="535" t="str">
        <f t="shared" si="20"/>
        <v>(含)-</v>
      </c>
      <c r="L103" s="535" t="str">
        <f t="shared" si="20"/>
        <v>(含)-</v>
      </c>
      <c r="M103" s="578" t="str">
        <f>M104&amp;"(含)"&amp;"-"&amp;P104</f>
        <v>(含)-</v>
      </c>
      <c r="N103" s="2979"/>
      <c r="O103" s="2979"/>
      <c r="P103" s="2989"/>
      <c r="Q103" s="2966"/>
      <c r="R103" s="2952"/>
      <c r="S103" s="2952"/>
      <c r="T103" s="2952"/>
      <c r="U103" s="2952"/>
      <c r="V103" s="2952"/>
      <c r="W103" s="2952"/>
      <c r="X103" s="2952"/>
      <c r="Y103" s="2952"/>
      <c r="Z103" s="2952"/>
      <c r="AA103" s="2952"/>
      <c r="AB103" s="2952"/>
      <c r="AC103" s="2952"/>
    </row>
    <row r="104" spans="1:29" s="430" customFormat="1">
      <c r="A104" s="550"/>
      <c r="B104" s="551"/>
      <c r="C104" s="552">
        <v>0</v>
      </c>
      <c r="D104" s="552">
        <v>20000</v>
      </c>
      <c r="E104" s="552">
        <v>40000</v>
      </c>
      <c r="F104" s="552">
        <v>60000</v>
      </c>
      <c r="G104" s="552">
        <v>80000</v>
      </c>
      <c r="H104" s="552"/>
      <c r="I104" s="552"/>
      <c r="J104" s="553"/>
      <c r="K104" s="553"/>
      <c r="L104" s="554"/>
      <c r="M104" s="555"/>
      <c r="N104" s="2982"/>
      <c r="O104" s="2982"/>
      <c r="P104" s="2990"/>
      <c r="Q104" s="2973"/>
      <c r="R104" s="2974"/>
      <c r="S104" s="2974"/>
      <c r="T104" s="2974"/>
      <c r="U104" s="2974"/>
      <c r="V104" s="2974"/>
      <c r="W104" s="2974"/>
      <c r="X104" s="2974"/>
      <c r="Y104" s="2974"/>
      <c r="Z104" s="2974"/>
      <c r="AA104" s="2974"/>
      <c r="AB104" s="2974"/>
      <c r="AC104" s="2974"/>
    </row>
    <row r="105" spans="1:29" s="430" customFormat="1" ht="15.75" thickBot="1">
      <c r="A105" s="510"/>
      <c r="B105" s="500"/>
      <c r="C105" s="517">
        <v>100</v>
      </c>
      <c r="D105" s="493">
        <v>100.5</v>
      </c>
      <c r="E105" s="493">
        <v>101</v>
      </c>
      <c r="F105" s="493">
        <v>101.5</v>
      </c>
      <c r="G105" s="493">
        <v>102</v>
      </c>
      <c r="H105" s="493">
        <v>102.5</v>
      </c>
      <c r="I105" s="493"/>
      <c r="J105" s="493"/>
      <c r="K105" s="493"/>
      <c r="L105" s="493"/>
      <c r="M105" s="494"/>
      <c r="N105" s="2981"/>
      <c r="O105" s="2981"/>
      <c r="P105" s="2990"/>
      <c r="Q105" s="2973"/>
      <c r="R105" s="2974"/>
      <c r="S105" s="2974"/>
      <c r="T105" s="2974"/>
      <c r="U105" s="2974"/>
      <c r="V105" s="2974"/>
      <c r="W105" s="2974"/>
      <c r="X105" s="2974"/>
      <c r="Y105" s="2974"/>
      <c r="Z105" s="2974"/>
      <c r="AA105" s="2974"/>
      <c r="AB105" s="2974"/>
      <c r="AC105" s="2974"/>
    </row>
    <row r="106" spans="1:29" ht="15" thickTop="1">
      <c r="A106" s="556"/>
      <c r="B106" s="495" t="s">
        <v>2435</v>
      </c>
      <c r="C106" s="3168" t="s">
        <v>3495</v>
      </c>
      <c r="D106" s="511"/>
      <c r="E106" s="540"/>
      <c r="F106" s="540"/>
      <c r="G106" s="540"/>
      <c r="H106" s="540"/>
      <c r="I106" s="540"/>
      <c r="J106" s="540"/>
      <c r="K106" s="541"/>
      <c r="L106" s="542"/>
      <c r="M106" s="543"/>
      <c r="N106" s="2980"/>
      <c r="O106" s="2980"/>
      <c r="P106" s="2989"/>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 t="shared" ref="D107:M107" si="21">C107-$K35</f>
        <v>98</v>
      </c>
      <c r="E107" s="501">
        <f t="shared" si="21"/>
        <v>96</v>
      </c>
      <c r="F107" s="501">
        <f t="shared" si="21"/>
        <v>94</v>
      </c>
      <c r="G107" s="501">
        <f t="shared" si="21"/>
        <v>92</v>
      </c>
      <c r="H107" s="501">
        <f t="shared" si="21"/>
        <v>90</v>
      </c>
      <c r="I107" s="501">
        <f t="shared" si="21"/>
        <v>88</v>
      </c>
      <c r="J107" s="501">
        <f t="shared" si="21"/>
        <v>86</v>
      </c>
      <c r="K107" s="501">
        <f t="shared" si="21"/>
        <v>84</v>
      </c>
      <c r="L107" s="501">
        <f t="shared" si="21"/>
        <v>82</v>
      </c>
      <c r="M107" s="502">
        <f t="shared" si="21"/>
        <v>80</v>
      </c>
      <c r="N107" s="2981"/>
      <c r="O107" s="2981"/>
      <c r="P107" s="2989"/>
      <c r="Q107" s="2966"/>
      <c r="R107" s="2952"/>
      <c r="S107" s="2952"/>
      <c r="T107" s="2952"/>
      <c r="U107" s="2952"/>
      <c r="V107" s="2952"/>
      <c r="W107" s="2952"/>
      <c r="X107" s="2952"/>
      <c r="Y107" s="2952"/>
      <c r="Z107" s="2952"/>
      <c r="AA107" s="2952"/>
      <c r="AB107" s="2952"/>
      <c r="AC107" s="2952"/>
    </row>
    <row r="108" spans="1:29" ht="15" thickTop="1">
      <c r="A108" s="556"/>
      <c r="B108" s="495" t="s">
        <v>2437</v>
      </c>
      <c r="C108" s="3168" t="s">
        <v>3483</v>
      </c>
      <c r="D108" s="3168" t="s">
        <v>3484</v>
      </c>
      <c r="E108" s="3168" t="s">
        <v>3485</v>
      </c>
      <c r="F108" s="540"/>
      <c r="G108" s="540"/>
      <c r="H108" s="540"/>
      <c r="I108" s="540"/>
      <c r="J108" s="540"/>
      <c r="K108" s="541"/>
      <c r="L108" s="542"/>
      <c r="M108" s="543"/>
      <c r="N108" s="2980"/>
      <c r="O108" s="2980"/>
      <c r="P108" s="2989"/>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 t="shared" ref="D109:M109" si="22">C109-$K36</f>
        <v>96.5</v>
      </c>
      <c r="E109" s="501">
        <f t="shared" si="22"/>
        <v>93</v>
      </c>
      <c r="F109" s="501">
        <f t="shared" si="22"/>
        <v>89.5</v>
      </c>
      <c r="G109" s="501">
        <f t="shared" si="22"/>
        <v>86</v>
      </c>
      <c r="H109" s="501">
        <f t="shared" si="22"/>
        <v>82.5</v>
      </c>
      <c r="I109" s="501">
        <f t="shared" si="22"/>
        <v>79</v>
      </c>
      <c r="J109" s="501">
        <f t="shared" si="22"/>
        <v>75.5</v>
      </c>
      <c r="K109" s="501">
        <f t="shared" si="22"/>
        <v>72</v>
      </c>
      <c r="L109" s="501">
        <f t="shared" si="22"/>
        <v>68.5</v>
      </c>
      <c r="M109" s="502">
        <f t="shared" si="22"/>
        <v>65</v>
      </c>
      <c r="N109" s="2981"/>
      <c r="O109" s="2981"/>
      <c r="P109" s="2989"/>
      <c r="Q109" s="2966"/>
      <c r="R109" s="2952"/>
      <c r="S109" s="2952"/>
      <c r="T109" s="2952"/>
      <c r="U109" s="2952"/>
      <c r="V109" s="2952"/>
      <c r="W109" s="2952"/>
      <c r="X109" s="2952"/>
      <c r="Y109" s="2952"/>
      <c r="Z109" s="2952"/>
      <c r="AA109" s="2952"/>
      <c r="AB109" s="2952"/>
      <c r="AC109" s="2952"/>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0"/>
      <c r="O110" s="2980"/>
      <c r="P110" s="2989"/>
      <c r="Q110" s="2966"/>
      <c r="R110" s="2952"/>
      <c r="S110" s="2952"/>
      <c r="T110" s="2952"/>
      <c r="U110" s="2952"/>
      <c r="V110" s="2952"/>
      <c r="W110" s="2952"/>
      <c r="X110" s="2952"/>
      <c r="Y110" s="2952"/>
      <c r="Z110" s="2952"/>
      <c r="AA110" s="2952"/>
      <c r="AB110" s="2952"/>
      <c r="AC110" s="2952"/>
    </row>
    <row r="111" spans="1:29">
      <c r="A111" s="556"/>
      <c r="B111" s="503"/>
      <c r="C111" s="560">
        <v>0.5</v>
      </c>
      <c r="D111" s="560">
        <v>0.6</v>
      </c>
      <c r="E111" s="560">
        <v>0.7</v>
      </c>
      <c r="F111" s="560">
        <v>0.8</v>
      </c>
      <c r="G111" s="560">
        <v>0.9</v>
      </c>
      <c r="H111" s="560">
        <v>1.0001</v>
      </c>
      <c r="I111" s="579"/>
      <c r="J111" s="579"/>
      <c r="K111" s="580"/>
      <c r="L111" s="581"/>
      <c r="M111" s="582"/>
      <c r="N111" s="2980"/>
      <c r="O111" s="2980"/>
      <c r="P111" s="2989"/>
      <c r="Q111" s="2966"/>
      <c r="R111" s="2952"/>
      <c r="S111" s="2952"/>
      <c r="T111" s="2952"/>
      <c r="U111" s="2952"/>
      <c r="V111" s="2952"/>
      <c r="W111" s="2952"/>
      <c r="X111" s="2952"/>
      <c r="Y111" s="2952"/>
      <c r="Z111" s="2952"/>
      <c r="AA111" s="2952"/>
      <c r="AB111" s="2952"/>
      <c r="AC111" s="2952"/>
    </row>
    <row r="112" spans="1:29" ht="15.75" thickBot="1">
      <c r="A112" s="491"/>
      <c r="B112" s="500"/>
      <c r="C112" s="539">
        <v>100</v>
      </c>
      <c r="D112" s="501">
        <f>C112+$K37</f>
        <v>103</v>
      </c>
      <c r="E112" s="501">
        <f t="shared" ref="E112:M112" si="23">D112+$K37</f>
        <v>106</v>
      </c>
      <c r="F112" s="501">
        <f t="shared" si="23"/>
        <v>109</v>
      </c>
      <c r="G112" s="501">
        <f t="shared" si="23"/>
        <v>112</v>
      </c>
      <c r="H112" s="501">
        <f t="shared" si="23"/>
        <v>115</v>
      </c>
      <c r="I112" s="501">
        <f t="shared" si="23"/>
        <v>118</v>
      </c>
      <c r="J112" s="501">
        <f t="shared" si="23"/>
        <v>121</v>
      </c>
      <c r="K112" s="501">
        <f t="shared" si="23"/>
        <v>124</v>
      </c>
      <c r="L112" s="501">
        <f t="shared" si="23"/>
        <v>127</v>
      </c>
      <c r="M112" s="501">
        <f t="shared" si="23"/>
        <v>130</v>
      </c>
      <c r="N112" s="2981"/>
      <c r="O112" s="2981"/>
      <c r="P112" s="2989"/>
      <c r="Q112" s="2966"/>
      <c r="R112" s="2952"/>
      <c r="S112" s="2952"/>
      <c r="T112" s="2952"/>
      <c r="U112" s="2952"/>
      <c r="V112" s="2952"/>
      <c r="W112" s="2952"/>
      <c r="X112" s="2952"/>
      <c r="Y112" s="2952"/>
      <c r="Z112" s="2952"/>
      <c r="AA112" s="2952"/>
      <c r="AB112" s="2952"/>
      <c r="AC112" s="2952"/>
    </row>
    <row r="113" spans="1:29" s="430" customFormat="1" ht="15" thickTop="1">
      <c r="A113" s="550"/>
      <c r="B113" s="495" t="s">
        <v>2520</v>
      </c>
      <c r="C113" s="3168" t="s">
        <v>3486</v>
      </c>
      <c r="D113" s="3168" t="s">
        <v>3487</v>
      </c>
      <c r="E113" s="511"/>
      <c r="F113" s="511"/>
      <c r="G113" s="511"/>
      <c r="H113" s="540"/>
      <c r="I113" s="540"/>
      <c r="J113" s="540"/>
      <c r="K113" s="541"/>
      <c r="L113" s="542"/>
      <c r="M113" s="543"/>
      <c r="N113" s="2982"/>
      <c r="O113" s="2982"/>
      <c r="P113" s="2990"/>
      <c r="Q113" s="2973"/>
      <c r="R113" s="2974"/>
      <c r="S113" s="2974"/>
      <c r="T113" s="2974"/>
      <c r="U113" s="2974"/>
      <c r="V113" s="2974"/>
      <c r="W113" s="2974"/>
      <c r="X113" s="2974"/>
      <c r="Y113" s="2974"/>
      <c r="Z113" s="2974"/>
      <c r="AA113" s="2974"/>
      <c r="AB113" s="2974"/>
      <c r="AC113" s="2974"/>
    </row>
    <row r="114" spans="1:29" s="430" customFormat="1" ht="15.75" thickBot="1">
      <c r="A114" s="510"/>
      <c r="B114" s="500"/>
      <c r="C114" s="501">
        <v>100</v>
      </c>
      <c r="D114" s="501">
        <f>C114-$K38</f>
        <v>98</v>
      </c>
      <c r="E114" s="501">
        <f t="shared" ref="E114:M114" si="24">D114-$K38</f>
        <v>96</v>
      </c>
      <c r="F114" s="501">
        <f t="shared" si="24"/>
        <v>94</v>
      </c>
      <c r="G114" s="501">
        <f t="shared" si="24"/>
        <v>92</v>
      </c>
      <c r="H114" s="501">
        <f t="shared" si="24"/>
        <v>90</v>
      </c>
      <c r="I114" s="501">
        <f t="shared" si="24"/>
        <v>88</v>
      </c>
      <c r="J114" s="501">
        <f t="shared" si="24"/>
        <v>86</v>
      </c>
      <c r="K114" s="501">
        <f t="shared" si="24"/>
        <v>84</v>
      </c>
      <c r="L114" s="501">
        <f t="shared" si="24"/>
        <v>82</v>
      </c>
      <c r="M114" s="501">
        <f t="shared" si="24"/>
        <v>80</v>
      </c>
      <c r="N114" s="2982"/>
      <c r="O114" s="2982"/>
      <c r="P114" s="2990"/>
      <c r="Q114" s="2973"/>
      <c r="R114" s="2974"/>
      <c r="S114" s="2974"/>
      <c r="T114" s="2974"/>
      <c r="U114" s="2974"/>
      <c r="V114" s="2974"/>
      <c r="W114" s="2974"/>
      <c r="X114" s="2974"/>
      <c r="Y114" s="2974"/>
      <c r="Z114" s="2974"/>
      <c r="AA114" s="2974"/>
      <c r="AB114" s="2974"/>
      <c r="AC114" s="2974"/>
    </row>
    <row r="115" spans="1:29" ht="15" thickTop="1">
      <c r="A115" s="556"/>
      <c r="B115" s="495" t="s">
        <v>2438</v>
      </c>
      <c r="C115" s="3168" t="s">
        <v>3488</v>
      </c>
      <c r="D115" s="3168" t="s">
        <v>3489</v>
      </c>
      <c r="E115" s="540"/>
      <c r="F115" s="540"/>
      <c r="G115" s="540"/>
      <c r="H115" s="540"/>
      <c r="I115" s="540"/>
      <c r="J115" s="540"/>
      <c r="K115" s="541"/>
      <c r="L115" s="542"/>
      <c r="M115" s="543"/>
      <c r="N115" s="2980"/>
      <c r="O115" s="2980"/>
      <c r="P115" s="2989"/>
      <c r="Q115" s="2966"/>
      <c r="R115" s="2952"/>
      <c r="S115" s="2952"/>
      <c r="T115" s="2952"/>
      <c r="U115" s="2952"/>
      <c r="V115" s="2952"/>
      <c r="W115" s="2952"/>
      <c r="X115" s="2952"/>
      <c r="Y115" s="2952"/>
      <c r="Z115" s="2952"/>
      <c r="AA115" s="2952"/>
      <c r="AB115" s="2952"/>
      <c r="AC115" s="2952"/>
    </row>
    <row r="116" spans="1:29" ht="15.75" thickBot="1">
      <c r="A116" s="491"/>
      <c r="B116" s="500"/>
      <c r="C116" s="501">
        <v>100</v>
      </c>
      <c r="D116" s="501">
        <f t="shared" ref="D116:M116" si="25">C116-$K39</f>
        <v>100</v>
      </c>
      <c r="E116" s="501">
        <f t="shared" si="25"/>
        <v>100</v>
      </c>
      <c r="F116" s="501">
        <f t="shared" si="25"/>
        <v>100</v>
      </c>
      <c r="G116" s="501">
        <f t="shared" si="25"/>
        <v>100</v>
      </c>
      <c r="H116" s="501">
        <f t="shared" si="25"/>
        <v>100</v>
      </c>
      <c r="I116" s="501">
        <f t="shared" si="25"/>
        <v>100</v>
      </c>
      <c r="J116" s="501">
        <f t="shared" si="25"/>
        <v>100</v>
      </c>
      <c r="K116" s="501">
        <f t="shared" si="25"/>
        <v>100</v>
      </c>
      <c r="L116" s="501">
        <f t="shared" si="25"/>
        <v>100</v>
      </c>
      <c r="M116" s="502">
        <f t="shared" si="25"/>
        <v>100</v>
      </c>
      <c r="N116" s="2981"/>
      <c r="O116" s="2981"/>
      <c r="P116" s="2989"/>
      <c r="Q116" s="2966"/>
      <c r="R116" s="2952"/>
      <c r="S116" s="2952"/>
      <c r="T116" s="2952"/>
      <c r="U116" s="2952"/>
      <c r="V116" s="2952"/>
      <c r="W116" s="2952"/>
      <c r="X116" s="2952"/>
      <c r="Y116" s="2952"/>
      <c r="Z116" s="2952"/>
      <c r="AA116" s="2952"/>
      <c r="AB116" s="2952"/>
      <c r="AC116" s="2952"/>
    </row>
    <row r="117" spans="1:29" ht="15" thickTop="1">
      <c r="A117" s="556"/>
      <c r="B117" s="495" t="s">
        <v>2439</v>
      </c>
      <c r="C117" s="3168" t="s">
        <v>3490</v>
      </c>
      <c r="D117" s="3168" t="s">
        <v>3491</v>
      </c>
      <c r="E117" s="3168" t="s">
        <v>3492</v>
      </c>
      <c r="F117" s="3168" t="s">
        <v>3493</v>
      </c>
      <c r="G117" s="3168" t="s">
        <v>3494</v>
      </c>
      <c r="H117" s="540"/>
      <c r="I117" s="540"/>
      <c r="J117" s="540"/>
      <c r="K117" s="541"/>
      <c r="L117" s="542"/>
      <c r="M117" s="543"/>
      <c r="N117" s="2980"/>
      <c r="O117" s="2980"/>
      <c r="P117" s="2989"/>
      <c r="Q117" s="2966"/>
      <c r="R117" s="2952"/>
      <c r="S117" s="2952"/>
      <c r="T117" s="2952"/>
      <c r="U117" s="2952"/>
      <c r="V117" s="2952"/>
      <c r="W117" s="2952"/>
      <c r="X117" s="2952"/>
      <c r="Y117" s="2952"/>
      <c r="Z117" s="2952"/>
      <c r="AA117" s="2952"/>
      <c r="AB117" s="2952"/>
      <c r="AC117" s="2952"/>
    </row>
    <row r="118" spans="1:29" ht="15.75" thickBot="1">
      <c r="A118" s="491"/>
      <c r="B118" s="500"/>
      <c r="C118" s="501">
        <v>100</v>
      </c>
      <c r="D118" s="501">
        <f>C118-$K40</f>
        <v>98</v>
      </c>
      <c r="E118" s="501">
        <f>D118-$K40</f>
        <v>96</v>
      </c>
      <c r="F118" s="501">
        <f>E118-$K40</f>
        <v>94</v>
      </c>
      <c r="G118" s="501">
        <f>F118-$K40</f>
        <v>92</v>
      </c>
      <c r="H118" s="501"/>
      <c r="I118" s="501"/>
      <c r="J118" s="501"/>
      <c r="K118" s="501"/>
      <c r="L118" s="501"/>
      <c r="M118" s="502"/>
      <c r="N118" s="2981"/>
      <c r="O118" s="2981"/>
      <c r="P118" s="2989"/>
      <c r="Q118" s="2966"/>
      <c r="R118" s="2952"/>
      <c r="S118" s="2952"/>
      <c r="T118" s="2952"/>
      <c r="U118" s="2952"/>
      <c r="V118" s="2952"/>
      <c r="W118" s="2952"/>
      <c r="X118" s="2952"/>
      <c r="Y118" s="2952"/>
      <c r="Z118" s="2952"/>
      <c r="AA118" s="2952"/>
      <c r="AB118" s="2952"/>
      <c r="AC118" s="2952"/>
    </row>
    <row r="119" spans="1:29" ht="15" thickTop="1">
      <c r="A119" s="556"/>
      <c r="B119" s="592" t="s">
        <v>2521</v>
      </c>
      <c r="C119" s="540">
        <v>2.5</v>
      </c>
      <c r="D119" s="540">
        <v>2.6</v>
      </c>
      <c r="E119" s="540">
        <v>2.75</v>
      </c>
      <c r="F119" s="540">
        <v>3</v>
      </c>
      <c r="G119" s="540"/>
      <c r="H119" s="540"/>
      <c r="I119" s="540"/>
      <c r="J119" s="540"/>
      <c r="K119" s="540"/>
      <c r="L119" s="2154"/>
      <c r="M119" s="2155"/>
      <c r="N119" s="2981"/>
      <c r="O119" s="2981"/>
      <c r="P119" s="2994"/>
      <c r="Q119" s="2995"/>
      <c r="R119" s="2952"/>
      <c r="S119" s="2952"/>
      <c r="T119" s="2952"/>
      <c r="U119" s="2952"/>
      <c r="V119" s="2952"/>
      <c r="W119" s="2952"/>
      <c r="X119" s="2952"/>
      <c r="Y119" s="2952"/>
      <c r="Z119" s="2952"/>
      <c r="AA119" s="2952"/>
      <c r="AB119" s="2952"/>
      <c r="AC119" s="2952"/>
    </row>
    <row r="120" spans="1:29" ht="15.75" thickBot="1">
      <c r="A120" s="491"/>
      <c r="B120" s="500"/>
      <c r="C120" s="539">
        <v>100</v>
      </c>
      <c r="D120" s="501">
        <f>C120-$K41</f>
        <v>100</v>
      </c>
      <c r="E120" s="501">
        <f t="shared" ref="E120:M120" si="26">D120-$K41</f>
        <v>100</v>
      </c>
      <c r="F120" s="501">
        <f t="shared" si="26"/>
        <v>100</v>
      </c>
      <c r="G120" s="501">
        <f t="shared" si="26"/>
        <v>100</v>
      </c>
      <c r="H120" s="501">
        <f t="shared" si="26"/>
        <v>100</v>
      </c>
      <c r="I120" s="501">
        <f t="shared" si="26"/>
        <v>100</v>
      </c>
      <c r="J120" s="501">
        <f t="shared" si="26"/>
        <v>100</v>
      </c>
      <c r="K120" s="501">
        <f t="shared" si="26"/>
        <v>100</v>
      </c>
      <c r="L120" s="501">
        <f t="shared" si="26"/>
        <v>100</v>
      </c>
      <c r="M120" s="501">
        <f t="shared" si="26"/>
        <v>100</v>
      </c>
      <c r="N120" s="2981"/>
      <c r="O120" s="2981"/>
      <c r="P120" s="2989"/>
      <c r="Q120" s="2966"/>
      <c r="R120" s="2952"/>
      <c r="S120" s="2952"/>
      <c r="T120" s="2952"/>
      <c r="U120" s="2952"/>
      <c r="V120" s="2952"/>
      <c r="W120" s="2952"/>
      <c r="X120" s="2952"/>
      <c r="Y120" s="2952"/>
      <c r="Z120" s="2952"/>
      <c r="AA120" s="2952"/>
      <c r="AB120" s="2952"/>
      <c r="AC120" s="2952"/>
    </row>
    <row r="121" spans="1:29" s="430" customFormat="1" ht="15" thickTop="1">
      <c r="A121" s="550"/>
      <c r="B121" s="495" t="s">
        <v>2505</v>
      </c>
      <c r="C121" s="511"/>
      <c r="D121" s="511"/>
      <c r="E121" s="511"/>
      <c r="F121" s="540"/>
      <c r="G121" s="512"/>
      <c r="H121" s="512"/>
      <c r="I121" s="512"/>
      <c r="J121" s="512"/>
      <c r="K121" s="512"/>
      <c r="L121" s="513"/>
      <c r="M121" s="514"/>
      <c r="N121" s="2982"/>
      <c r="O121" s="2982"/>
      <c r="P121" s="2990"/>
      <c r="Q121" s="2973"/>
      <c r="R121" s="2974"/>
      <c r="S121" s="2974"/>
      <c r="T121" s="2974"/>
      <c r="U121" s="2974"/>
      <c r="V121" s="2974"/>
      <c r="W121" s="2974"/>
      <c r="X121" s="2974"/>
      <c r="Y121" s="2974"/>
      <c r="Z121" s="2974"/>
      <c r="AA121" s="2974"/>
      <c r="AB121" s="2974"/>
      <c r="AC121" s="2974"/>
    </row>
    <row r="122" spans="1:29" s="430" customFormat="1" ht="15.75" thickBot="1">
      <c r="A122" s="510"/>
      <c r="B122" s="492"/>
      <c r="C122" s="517"/>
      <c r="D122" s="517"/>
      <c r="E122" s="517"/>
      <c r="F122" s="517"/>
      <c r="G122" s="517"/>
      <c r="H122" s="517"/>
      <c r="I122" s="517"/>
      <c r="J122" s="517"/>
      <c r="K122" s="517"/>
      <c r="L122" s="517"/>
      <c r="M122" s="517"/>
      <c r="N122" s="2982"/>
      <c r="O122" s="2982"/>
      <c r="P122" s="2990"/>
      <c r="Q122" s="2973"/>
      <c r="R122" s="2974"/>
      <c r="S122" s="2974"/>
      <c r="T122" s="2974"/>
      <c r="U122" s="2974"/>
      <c r="V122" s="2974"/>
      <c r="W122" s="2974"/>
      <c r="X122" s="2974"/>
      <c r="Y122" s="2974"/>
      <c r="Z122" s="2974"/>
      <c r="AA122" s="2974"/>
      <c r="AB122" s="2974"/>
      <c r="AC122" s="2974"/>
    </row>
    <row r="123" spans="1:29" ht="15" thickTop="1">
      <c r="A123" s="556"/>
      <c r="B123" s="495" t="s">
        <v>2441</v>
      </c>
      <c r="C123" s="3168" t="s">
        <v>3483</v>
      </c>
      <c r="D123" s="3168" t="s">
        <v>3484</v>
      </c>
      <c r="E123" s="3168" t="s">
        <v>3485</v>
      </c>
      <c r="F123" s="540"/>
      <c r="G123" s="540"/>
      <c r="H123" s="540"/>
      <c r="I123" s="540"/>
      <c r="J123" s="540"/>
      <c r="K123" s="541"/>
      <c r="L123" s="542"/>
      <c r="M123" s="543"/>
      <c r="N123" s="2980"/>
      <c r="O123" s="2980"/>
      <c r="P123" s="2989"/>
      <c r="Q123" s="2966"/>
      <c r="R123" s="2952"/>
      <c r="S123" s="2952"/>
      <c r="T123" s="2952"/>
      <c r="U123" s="2952"/>
      <c r="V123" s="2952"/>
      <c r="W123" s="2952"/>
      <c r="X123" s="2952"/>
      <c r="Y123" s="2952"/>
      <c r="Z123" s="2952"/>
      <c r="AA123" s="2952"/>
      <c r="AB123" s="2952"/>
      <c r="AC123" s="2952"/>
    </row>
    <row r="124" spans="1:29" ht="15.75" thickBot="1">
      <c r="A124" s="491"/>
      <c r="B124" s="500"/>
      <c r="C124" s="501">
        <v>100</v>
      </c>
      <c r="D124" s="501">
        <f t="shared" ref="D124:M124" si="27">C124-$K43</f>
        <v>99</v>
      </c>
      <c r="E124" s="501">
        <f t="shared" si="27"/>
        <v>98</v>
      </c>
      <c r="F124" s="501">
        <f t="shared" si="27"/>
        <v>97</v>
      </c>
      <c r="G124" s="501">
        <f t="shared" si="27"/>
        <v>96</v>
      </c>
      <c r="H124" s="501">
        <f t="shared" si="27"/>
        <v>95</v>
      </c>
      <c r="I124" s="501">
        <f t="shared" si="27"/>
        <v>94</v>
      </c>
      <c r="J124" s="501">
        <f t="shared" si="27"/>
        <v>93</v>
      </c>
      <c r="K124" s="501">
        <f t="shared" si="27"/>
        <v>92</v>
      </c>
      <c r="L124" s="501">
        <f t="shared" si="27"/>
        <v>91</v>
      </c>
      <c r="M124" s="502">
        <f t="shared" si="27"/>
        <v>90</v>
      </c>
      <c r="N124" s="2981"/>
      <c r="O124" s="2981"/>
      <c r="P124" s="2989"/>
      <c r="Q124" s="2966"/>
      <c r="R124" s="2952"/>
      <c r="S124" s="2952"/>
      <c r="T124" s="2952"/>
      <c r="U124" s="2952"/>
      <c r="V124" s="2952"/>
      <c r="W124" s="2952"/>
      <c r="X124" s="2952"/>
      <c r="Y124" s="2952"/>
      <c r="Z124" s="2952"/>
      <c r="AA124" s="2952"/>
      <c r="AB124" s="2952"/>
      <c r="AC124" s="2952"/>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0"/>
      <c r="O125" s="2980"/>
      <c r="P125" s="2990"/>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C126-$K44</f>
        <v>98</v>
      </c>
      <c r="E126" s="501">
        <f>D126-$K44</f>
        <v>96</v>
      </c>
      <c r="F126" s="501">
        <f>E126-$K44</f>
        <v>94</v>
      </c>
      <c r="G126" s="501">
        <f>F126-$K44</f>
        <v>92</v>
      </c>
      <c r="H126" s="501"/>
      <c r="I126" s="501"/>
      <c r="J126" s="501"/>
      <c r="K126" s="501"/>
      <c r="L126" s="501"/>
      <c r="M126" s="502"/>
      <c r="N126" s="2981"/>
      <c r="O126" s="2981"/>
      <c r="P126" s="2989"/>
      <c r="Q126" s="2966"/>
      <c r="R126" s="2952"/>
      <c r="S126" s="2952"/>
      <c r="T126" s="2952"/>
      <c r="U126" s="2952"/>
      <c r="V126" s="2952"/>
      <c r="W126" s="2952"/>
      <c r="X126" s="2952"/>
      <c r="Y126" s="2952"/>
      <c r="Z126" s="2952"/>
      <c r="AA126" s="2952"/>
      <c r="AB126" s="2952"/>
      <c r="AC126" s="2952"/>
    </row>
    <row r="127" spans="1:29" s="430" customFormat="1" ht="15" thickTop="1">
      <c r="A127" s="550"/>
      <c r="B127" s="495">
        <f>B45</f>
        <v>0</v>
      </c>
      <c r="C127" s="511"/>
      <c r="D127" s="511"/>
      <c r="E127" s="511"/>
      <c r="F127" s="511"/>
      <c r="G127" s="511"/>
      <c r="H127" s="512"/>
      <c r="I127" s="512"/>
      <c r="J127" s="512"/>
      <c r="K127" s="512"/>
      <c r="L127" s="513"/>
      <c r="M127" s="514"/>
      <c r="N127" s="2982"/>
      <c r="O127" s="2982"/>
      <c r="P127" s="2990"/>
      <c r="Q127" s="2973"/>
      <c r="R127" s="2974"/>
      <c r="S127" s="2974"/>
      <c r="T127" s="2974"/>
      <c r="U127" s="2974"/>
      <c r="V127" s="2974"/>
      <c r="W127" s="2974"/>
      <c r="X127" s="2974"/>
      <c r="Y127" s="2974"/>
      <c r="Z127" s="2974"/>
      <c r="AA127" s="2974"/>
      <c r="AB127" s="2974"/>
      <c r="AC127" s="2974"/>
    </row>
    <row r="128" spans="1:29" s="430" customFormat="1" ht="15.75" thickBot="1">
      <c r="A128" s="510"/>
      <c r="B128" s="500"/>
      <c r="C128" s="517"/>
      <c r="D128" s="493"/>
      <c r="E128" s="493"/>
      <c r="F128" s="493"/>
      <c r="G128" s="517"/>
      <c r="H128" s="519"/>
      <c r="I128" s="519"/>
      <c r="J128" s="519"/>
      <c r="K128" s="519"/>
      <c r="L128" s="519"/>
      <c r="M128" s="520"/>
      <c r="N128" s="2982"/>
      <c r="O128" s="2982"/>
      <c r="P128" s="2990"/>
      <c r="Q128" s="2973"/>
      <c r="R128" s="2974"/>
      <c r="S128" s="2974"/>
      <c r="T128" s="2974"/>
      <c r="U128" s="2974"/>
      <c r="V128" s="2974"/>
      <c r="W128" s="2974"/>
      <c r="X128" s="2974"/>
      <c r="Y128" s="2974"/>
      <c r="Z128" s="2974"/>
      <c r="AA128" s="2974"/>
      <c r="AB128" s="2974"/>
      <c r="AC128" s="2974"/>
    </row>
    <row r="129" spans="1:29" ht="27.75" thickTop="1">
      <c r="A129" s="556"/>
      <c r="B129" s="495">
        <f>B46</f>
        <v>0</v>
      </c>
      <c r="C129" s="3168" t="s">
        <v>3496</v>
      </c>
      <c r="D129" s="3168" t="s">
        <v>3497</v>
      </c>
      <c r="E129" s="511"/>
      <c r="F129" s="511"/>
      <c r="G129" s="540"/>
      <c r="H129" s="540"/>
      <c r="I129" s="540"/>
      <c r="J129" s="540"/>
      <c r="K129" s="541"/>
      <c r="L129" s="542"/>
      <c r="M129" s="543"/>
      <c r="N129" s="2980"/>
      <c r="O129" s="2980"/>
      <c r="P129" s="2989"/>
      <c r="Q129" s="2966"/>
      <c r="R129" s="2952"/>
      <c r="S129" s="2952"/>
      <c r="T129" s="2952"/>
      <c r="U129" s="2952"/>
      <c r="V129" s="2952"/>
      <c r="W129" s="2952"/>
      <c r="X129" s="2952"/>
      <c r="Y129" s="2952"/>
      <c r="Z129" s="2952"/>
      <c r="AA129" s="2952"/>
      <c r="AB129" s="2952"/>
      <c r="AC129" s="2952"/>
    </row>
    <row r="130" spans="1:29" ht="15.75" thickBot="1">
      <c r="A130" s="491"/>
      <c r="B130" s="500"/>
      <c r="C130" s="517">
        <v>100</v>
      </c>
      <c r="D130" s="517">
        <v>95</v>
      </c>
      <c r="E130" s="517"/>
      <c r="F130" s="517"/>
      <c r="G130" s="493"/>
      <c r="H130" s="493"/>
      <c r="I130" s="493"/>
      <c r="J130" s="493"/>
      <c r="K130" s="493"/>
      <c r="L130" s="493"/>
      <c r="M130" s="494"/>
      <c r="N130" s="2981"/>
      <c r="O130" s="2981"/>
      <c r="P130" s="2989"/>
      <c r="Q130" s="2966"/>
      <c r="R130" s="2952"/>
      <c r="S130" s="2952"/>
      <c r="T130" s="2952"/>
      <c r="U130" s="2952"/>
      <c r="V130" s="2952"/>
      <c r="W130" s="2952"/>
      <c r="X130" s="2952"/>
      <c r="Y130" s="2952"/>
      <c r="Z130" s="2952"/>
      <c r="AA130" s="2952"/>
      <c r="AB130" s="2952"/>
      <c r="AC130" s="2952"/>
    </row>
    <row r="131" spans="1:29" ht="15" thickTop="1">
      <c r="A131" s="556"/>
      <c r="B131" s="503">
        <f>B47</f>
        <v>111</v>
      </c>
      <c r="C131" s="480"/>
      <c r="D131" s="480"/>
      <c r="E131" s="480"/>
      <c r="F131" s="480"/>
      <c r="G131" s="544"/>
      <c r="H131" s="544"/>
      <c r="I131" s="544"/>
      <c r="J131" s="544"/>
      <c r="K131" s="480"/>
      <c r="L131" s="481"/>
      <c r="M131" s="547"/>
      <c r="N131" s="2980"/>
      <c r="O131" s="2980"/>
      <c r="P131" s="2989"/>
      <c r="Q131" s="2966"/>
      <c r="R131" s="2952"/>
      <c r="S131" s="2952"/>
      <c r="T131" s="2952"/>
      <c r="U131" s="2952"/>
      <c r="V131" s="2952"/>
      <c r="W131" s="2952"/>
      <c r="X131" s="2952"/>
      <c r="Y131" s="2952"/>
      <c r="Z131" s="2952"/>
      <c r="AA131" s="2952"/>
      <c r="AB131" s="2952"/>
      <c r="AC131" s="2952"/>
    </row>
    <row r="132" spans="1:29" ht="15.75" thickBot="1">
      <c r="A132" s="2114"/>
      <c r="B132" s="526"/>
      <c r="C132" s="527"/>
      <c r="D132" s="527"/>
      <c r="E132" s="527"/>
      <c r="F132" s="527"/>
      <c r="G132" s="548"/>
      <c r="H132" s="548"/>
      <c r="I132" s="548"/>
      <c r="J132" s="548"/>
      <c r="K132" s="548"/>
      <c r="L132" s="548"/>
      <c r="M132" s="549"/>
      <c r="N132" s="2981"/>
      <c r="O132" s="2981"/>
      <c r="P132" s="2989"/>
      <c r="Q132" s="2966"/>
      <c r="R132" s="2952"/>
      <c r="S132" s="2952"/>
      <c r="T132" s="2952"/>
      <c r="U132" s="2952"/>
      <c r="V132" s="2952"/>
      <c r="W132" s="2952"/>
      <c r="X132" s="2952"/>
      <c r="Y132" s="2952"/>
      <c r="Z132" s="2952"/>
      <c r="AA132" s="2952"/>
      <c r="AB132" s="2952"/>
      <c r="AC132" s="2952"/>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1" type="noConversion"/>
  <conditionalFormatting sqref="F53 H53">
    <cfRule type="containsText" dxfId="98" priority="20" stopIfTrue="1" operator="containsText" text="超过">
      <formula>NOT(ISERROR(SEARCH("超过",F53)))</formula>
    </cfRule>
  </conditionalFormatting>
  <conditionalFormatting sqref="H55">
    <cfRule type="containsText" dxfId="97" priority="19" stopIfTrue="1" operator="containsText" text="超过">
      <formula>NOT(ISERROR(SEARCH("超过",H55)))</formula>
    </cfRule>
  </conditionalFormatting>
  <conditionalFormatting sqref="F55">
    <cfRule type="containsText" dxfId="96" priority="18" stopIfTrue="1" operator="containsText" text="超过">
      <formula>NOT(ISERROR(SEARCH("超过",F55)))</formula>
    </cfRule>
  </conditionalFormatting>
  <conditionalFormatting sqref="F54 H54">
    <cfRule type="containsText" dxfId="95" priority="17" stopIfTrue="1" operator="containsText" text="超过">
      <formula>NOT(ISERROR(SEARCH("超过",F54)))</formula>
    </cfRule>
  </conditionalFormatting>
  <conditionalFormatting sqref="E53">
    <cfRule type="expression" dxfId="94" priority="16" stopIfTrue="1">
      <formula>$F$53="超过30%"</formula>
    </cfRule>
  </conditionalFormatting>
  <conditionalFormatting sqref="E54">
    <cfRule type="expression" dxfId="93" priority="15" stopIfTrue="1">
      <formula>$F$54="超过20%"</formula>
    </cfRule>
  </conditionalFormatting>
  <conditionalFormatting sqref="E55">
    <cfRule type="expression" dxfId="92" priority="14" stopIfTrue="1">
      <formula>$F$55="超过30%"</formula>
    </cfRule>
  </conditionalFormatting>
  <conditionalFormatting sqref="G55">
    <cfRule type="expression" dxfId="91" priority="13" stopIfTrue="1">
      <formula>$H$55="超过30%"</formula>
    </cfRule>
  </conditionalFormatting>
  <conditionalFormatting sqref="G53">
    <cfRule type="expression" dxfId="90" priority="12" stopIfTrue="1">
      <formula>$H$53="超过30%"</formula>
    </cfRule>
  </conditionalFormatting>
  <conditionalFormatting sqref="G54">
    <cfRule type="expression" dxfId="89" priority="11" stopIfTrue="1">
      <formula>$H$54="超过20%"</formula>
    </cfRule>
  </conditionalFormatting>
  <conditionalFormatting sqref="J53">
    <cfRule type="containsText" dxfId="88" priority="10" stopIfTrue="1" operator="containsText" text="超过">
      <formula>NOT(ISERROR(SEARCH("超过",J53)))</formula>
    </cfRule>
  </conditionalFormatting>
  <conditionalFormatting sqref="J55">
    <cfRule type="containsText" dxfId="87" priority="9" stopIfTrue="1" operator="containsText" text="超过">
      <formula>NOT(ISERROR(SEARCH("超过",J55)))</formula>
    </cfRule>
  </conditionalFormatting>
  <conditionalFormatting sqref="J54">
    <cfRule type="containsText" dxfId="86" priority="8" stopIfTrue="1" operator="containsText" text="超过">
      <formula>NOT(ISERROR(SEARCH("超过",J54)))</formula>
    </cfRule>
  </conditionalFormatting>
  <conditionalFormatting sqref="I53">
    <cfRule type="expression" dxfId="85" priority="7" stopIfTrue="1">
      <formula>$J$53="超过30%"</formula>
    </cfRule>
  </conditionalFormatting>
  <conditionalFormatting sqref="I54">
    <cfRule type="expression" dxfId="84" priority="6" stopIfTrue="1">
      <formula>$J$53+$J$54="超过20%"</formula>
    </cfRule>
  </conditionalFormatting>
  <conditionalFormatting sqref="I55">
    <cfRule type="expression" dxfId="83" priority="5" stopIfTrue="1">
      <formula>$J$55="超过30%"</formula>
    </cfRule>
  </conditionalFormatting>
  <conditionalFormatting sqref="F49">
    <cfRule type="expression" dxfId="82" priority="4">
      <formula>$D$49="简单平均"</formula>
    </cfRule>
  </conditionalFormatting>
  <conditionalFormatting sqref="H49">
    <cfRule type="expression" dxfId="81" priority="3">
      <formula>$D$49="简单平均"</formula>
    </cfRule>
  </conditionalFormatting>
  <conditionalFormatting sqref="J49">
    <cfRule type="expression" dxfId="80" priority="2">
      <formula>$D$49="简单平均"</formula>
    </cfRule>
  </conditionalFormatting>
  <conditionalFormatting sqref="F7:F47 H7:H47 J7:J47">
    <cfRule type="cellIs" dxfId="79" priority="1" operator="notEqual">
      <formula>100</formula>
    </cfRule>
  </conditionalFormatting>
  <dataValidations count="25">
    <dataValidation type="list" allowBlank="1" showInputMessage="1" showErrorMessage="1" sqref="D49" xr:uid="{00000000-0002-0000-2500-000000000000}">
      <formula1>"简单平均,加权平均"</formula1>
    </dataValidation>
    <dataValidation type="list" allowBlank="1" showInputMessage="1" showErrorMessage="1" sqref="F2" xr:uid="{00000000-0002-0000-2500-000001000000}">
      <formula1>估价方法</formula1>
    </dataValidation>
    <dataValidation type="list" allowBlank="1" showInputMessage="1" showErrorMessage="1" sqref="C2" xr:uid="{00000000-0002-0000-2500-000002000000}">
      <formula1>"需扣减承租人权益,——"</formula1>
    </dataValidation>
    <dataValidation type="list" allowBlank="1" showInputMessage="1" showErrorMessage="1" sqref="F1" xr:uid="{00000000-0002-0000-2500-000003000000}">
      <formula1>"售价,租金"</formula1>
    </dataValidation>
    <dataValidation type="list" allowBlank="1" showInputMessage="1" showErrorMessage="1" sqref="C22 E22 G22 I22" xr:uid="{00000000-0002-0000-2500-000004000000}">
      <formula1>基础设施水平</formula1>
    </dataValidation>
    <dataValidation type="list" allowBlank="1" showInputMessage="1" showErrorMessage="1" sqref="C8 E8 G8 I8" xr:uid="{00000000-0002-0000-2500-000005000000}">
      <formula1>办公交易情况</formula1>
    </dataValidation>
    <dataValidation type="list" allowBlank="1" showInputMessage="1" showErrorMessage="1" sqref="C43 E43 G43 I43" xr:uid="{00000000-0002-0000-2500-000006000000}">
      <formula1>办公内部装修</formula1>
    </dataValidation>
    <dataValidation type="list" allowBlank="1" showInputMessage="1" showErrorMessage="1" sqref="C41 E41 G41 I41" xr:uid="{00000000-0002-0000-2500-000007000000}">
      <formula1>办公层高</formula1>
    </dataValidation>
    <dataValidation type="list" allowBlank="1" showInputMessage="1" showErrorMessage="1" sqref="C40 E40 G40 I40" xr:uid="{00000000-0002-0000-2500-000008000000}">
      <formula1>办公基础设施水平</formula1>
    </dataValidation>
    <dataValidation type="list" allowBlank="1" showInputMessage="1" showErrorMessage="1" sqref="C39 E39 G39 I39" xr:uid="{00000000-0002-0000-2500-000009000000}">
      <formula1>办公物业管理</formula1>
    </dataValidation>
    <dataValidation type="list" allowBlank="1" showInputMessage="1" showErrorMessage="1" sqref="C38 E38 G38 I38" xr:uid="{00000000-0002-0000-2500-00000A000000}">
      <formula1>写字楼等级</formula1>
    </dataValidation>
    <dataValidation type="list" allowBlank="1" showInputMessage="1" showErrorMessage="1" sqref="C36 E36 G36 I36" xr:uid="{00000000-0002-0000-2500-00000B000000}">
      <formula1>办公公共部分装修</formula1>
    </dataValidation>
    <dataValidation type="list" allowBlank="1" showInputMessage="1" showErrorMessage="1" sqref="C33 G33 E33 I33" xr:uid="{00000000-0002-0000-2500-00000C000000}">
      <formula1>办公建筑类型</formula1>
    </dataValidation>
    <dataValidation type="list" allowBlank="1" showInputMessage="1" showErrorMessage="1" sqref="C27 E27 G27 I27" xr:uid="{00000000-0002-0000-2500-00000D000000}">
      <formula1>办公楼层</formula1>
    </dataValidation>
    <dataValidation type="list" allowBlank="1" showInputMessage="1" showErrorMessage="1" sqref="C28 E28 G28 I28" xr:uid="{00000000-0002-0000-2500-00000E000000}">
      <formula1>办公朝向</formula1>
    </dataValidation>
    <dataValidation type="list" allowBlank="1" showInputMessage="1" showErrorMessage="1" sqref="G26 C26 E26 I26" xr:uid="{00000000-0002-0000-2500-00000F000000}">
      <formula1>办公道路级别</formula1>
    </dataValidation>
    <dataValidation type="list" allowBlank="1" showInputMessage="1" showErrorMessage="1" sqref="C16 E16 G16 I16" xr:uid="{00000000-0002-0000-2500-000010000000}">
      <formula1>办公集聚程度</formula1>
    </dataValidation>
    <dataValidation type="list" allowBlank="1" showInputMessage="1" showErrorMessage="1" sqref="E9 G9 I9" xr:uid="{00000000-0002-0000-2500-000011000000}">
      <formula1>办公用途</formula1>
    </dataValidation>
    <dataValidation type="list" allowBlank="1" showInputMessage="1" showErrorMessage="1" sqref="C10 E10 G10 I10" xr:uid="{00000000-0002-0000-2500-000012000000}">
      <formula1>土地年限区间</formula1>
    </dataValidation>
    <dataValidation type="list" allowBlank="1" showInputMessage="1" showErrorMessage="1" sqref="D1" xr:uid="{00000000-0002-0000-2500-000013000000}">
      <formula1>项目类型</formula1>
    </dataValidation>
    <dataValidation type="list" allowBlank="1" showInputMessage="1" showErrorMessage="1" sqref="C44 E44 G44 I44" xr:uid="{00000000-0002-0000-2500-000014000000}">
      <formula1>内部装修维护情况</formula1>
    </dataValidation>
    <dataValidation type="list" allowBlank="1" showInputMessage="1" showErrorMessage="1" sqref="E20 I20 G20 C20" xr:uid="{00000000-0002-0000-2500-000015000000}">
      <formula1>公共配套设施</formula1>
    </dataValidation>
    <dataValidation type="list" allowBlank="1" showInputMessage="1" showErrorMessage="1" sqref="E18 G18 I18 C18" xr:uid="{00000000-0002-0000-2500-000016000000}">
      <formula1>交通便捷度</formula1>
    </dataValidation>
    <dataValidation type="list" allowBlank="1" showInputMessage="1" showErrorMessage="1" sqref="E24 G24 I24 C24" xr:uid="{00000000-0002-0000-2500-000017000000}">
      <formula1>环境</formula1>
    </dataValidation>
    <dataValidation type="list" allowBlank="1" showInputMessage="1" showErrorMessage="1" sqref="C35 E35 G35 I35" xr:uid="{00000000-0002-0000-2500-000018000000}">
      <formula1>办公建筑结构</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4">
    <tabColor rgb="FF92D050"/>
    <pageSetUpPr fitToPage="1"/>
  </sheetPr>
  <dimension ref="A1:AC131"/>
  <sheetViews>
    <sheetView view="pageBreakPreview" topLeftCell="A32" zoomScale="90" zoomScaleNormal="70" zoomScaleSheetLayoutView="90" workbookViewId="0">
      <selection activeCell="E71" sqref="E7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8.25" style="363" customWidth="1"/>
    <col min="6" max="6" width="12.25" style="363" customWidth="1"/>
    <col min="7" max="7" width="17.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2463</v>
      </c>
      <c r="C1" s="1406" t="s">
        <v>2351</v>
      </c>
      <c r="D1" s="1393"/>
      <c r="E1" s="2543"/>
      <c r="F1" s="2065" t="s">
        <v>3229</v>
      </c>
      <c r="G1" s="1403" t="s">
        <v>2464</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2148</v>
      </c>
      <c r="B2" s="1326">
        <f>IF(C2="——",ROUND(C49*D3/10000,0),ROUND(C49*D3/10000,0)-D2)</f>
        <v>93</v>
      </c>
      <c r="C2" s="2067" t="s">
        <v>70</v>
      </c>
      <c r="D2" s="1275" t="e">
        <f ca="1">SUMIF(INDIRECT("'"&amp;F2&amp;"'"&amp;"!A:A"),"承租人权益价值",INDIRECT("'"&amp;F2&amp;"'"&amp;"!c:c"))</f>
        <v>#REF!</v>
      </c>
      <c r="E2" s="2068" t="s">
        <v>2149</v>
      </c>
      <c r="F2" s="2069"/>
      <c r="G2" s="1039"/>
      <c r="H2" s="1039"/>
      <c r="I2" s="1039"/>
      <c r="J2" s="1039"/>
      <c r="K2" s="1039"/>
      <c r="L2" s="2961"/>
      <c r="M2" s="2962"/>
      <c r="N2" s="2962"/>
      <c r="O2" s="2962"/>
      <c r="P2" s="2138"/>
      <c r="Q2" s="1043"/>
      <c r="R2" s="1043"/>
      <c r="S2" s="1043"/>
      <c r="T2" s="1043"/>
      <c r="U2" s="1043"/>
      <c r="V2" s="1043"/>
      <c r="W2" s="1043"/>
      <c r="X2" s="1043"/>
      <c r="Y2" s="1043"/>
      <c r="Z2" s="1043"/>
      <c r="AA2" s="1043"/>
      <c r="AB2" s="1043"/>
      <c r="AC2" s="2139"/>
    </row>
    <row r="3" spans="1:29" s="358" customFormat="1" ht="28.5" customHeight="1" thickBot="1">
      <c r="A3" s="209" t="s">
        <v>2150</v>
      </c>
      <c r="B3" s="566">
        <f>IF(C2="——",C49,ROUND(B2*10000/D3,0))</f>
        <v>19.399999999999999</v>
      </c>
      <c r="C3" s="360" t="s">
        <v>2465</v>
      </c>
      <c r="D3" s="359">
        <f>IF(D1="",'数据-汇总表'!E3,SUMIF('数据-汇总表'!$C19:$C33,D1,'数据-汇总表'!$E19:$E33))</f>
        <v>47689.05</v>
      </c>
      <c r="E3" s="2140"/>
      <c r="F3" s="1040"/>
      <c r="G3" s="1039"/>
      <c r="H3" s="1039"/>
      <c r="I3" s="1039"/>
      <c r="J3" s="1039"/>
      <c r="K3" s="1041"/>
      <c r="L3" s="2961"/>
      <c r="M3" s="2962"/>
      <c r="N3" s="2962"/>
      <c r="O3" s="2962"/>
      <c r="P3" s="2138"/>
      <c r="Q3" s="1043"/>
      <c r="R3" s="1043"/>
      <c r="S3" s="1043"/>
      <c r="T3" s="1043"/>
      <c r="U3" s="1043"/>
      <c r="V3" s="1043"/>
      <c r="W3" s="1043"/>
      <c r="X3" s="1043"/>
      <c r="Y3" s="1043"/>
      <c r="Z3" s="1043"/>
      <c r="AA3" s="1043"/>
      <c r="AB3" s="1043"/>
      <c r="AC3" s="2140"/>
    </row>
    <row r="4" spans="1:29" ht="15">
      <c r="A4" s="361" t="s">
        <v>2466</v>
      </c>
      <c r="B4" s="362"/>
      <c r="C4" s="3781" t="s">
        <v>2467</v>
      </c>
      <c r="D4" s="3782"/>
      <c r="E4" s="3783" t="s">
        <v>2468</v>
      </c>
      <c r="F4" s="3784"/>
      <c r="G4" s="3781" t="s">
        <v>2469</v>
      </c>
      <c r="H4" s="3782"/>
      <c r="I4" s="3781" t="s">
        <v>2470</v>
      </c>
      <c r="J4" s="3782"/>
      <c r="K4" s="567" t="s">
        <v>2471</v>
      </c>
      <c r="L4" s="2942"/>
      <c r="M4" s="2943"/>
      <c r="N4" s="2943"/>
      <c r="O4" s="2943"/>
      <c r="P4" s="3785" t="s">
        <v>2472</v>
      </c>
      <c r="Q4" s="3786"/>
      <c r="R4" s="3768" t="s">
        <v>2468</v>
      </c>
      <c r="S4" s="3769"/>
      <c r="T4" s="3768" t="s">
        <v>2469</v>
      </c>
      <c r="U4" s="3769"/>
      <c r="V4" s="3793" t="s">
        <v>2470</v>
      </c>
      <c r="W4" s="3793"/>
      <c r="X4" s="1539"/>
      <c r="Y4" s="3768" t="s">
        <v>2472</v>
      </c>
      <c r="Z4" s="3769"/>
      <c r="AA4" s="3763" t="s">
        <v>2468</v>
      </c>
      <c r="AB4" s="3793" t="s">
        <v>2469</v>
      </c>
      <c r="AC4" s="3763" t="s">
        <v>2470</v>
      </c>
    </row>
    <row r="5" spans="1:29" ht="13.9" customHeight="1">
      <c r="A5" s="364"/>
      <c r="B5" s="365"/>
      <c r="C5" s="3846" t="s">
        <v>3756</v>
      </c>
      <c r="D5" s="3775"/>
      <c r="E5" s="3866" t="s">
        <v>4070</v>
      </c>
      <c r="F5" s="3773"/>
      <c r="G5" s="3774" t="str">
        <f>'案例-租金'!L20</f>
        <v>银河SOHO</v>
      </c>
      <c r="H5" s="3775"/>
      <c r="I5" s="3774" t="str">
        <f>'案例-租金'!L21</f>
        <v>五矿广场</v>
      </c>
      <c r="J5" s="3775"/>
      <c r="K5" s="567"/>
      <c r="L5" s="2942"/>
      <c r="M5" s="2943"/>
      <c r="N5" s="2943"/>
      <c r="O5" s="2943"/>
      <c r="P5" s="3787"/>
      <c r="Q5" s="3788"/>
      <c r="R5" s="3770"/>
      <c r="S5" s="3771"/>
      <c r="T5" s="3770"/>
      <c r="U5" s="3771"/>
      <c r="V5" s="3793"/>
      <c r="W5" s="3793"/>
      <c r="X5" s="1539"/>
      <c r="Y5" s="3770"/>
      <c r="Z5" s="3771"/>
      <c r="AA5" s="3764"/>
      <c r="AB5" s="3793"/>
      <c r="AC5" s="3764"/>
    </row>
    <row r="6" spans="1:29" ht="15.75" thickBot="1">
      <c r="A6" s="366"/>
      <c r="B6" s="367"/>
      <c r="C6" s="3847" t="s">
        <v>3482</v>
      </c>
      <c r="D6" s="3777"/>
      <c r="E6" s="3864" t="s">
        <v>4290</v>
      </c>
      <c r="F6" s="3779"/>
      <c r="G6" s="3864" t="s">
        <v>4285</v>
      </c>
      <c r="H6" s="3779"/>
      <c r="I6" s="3847" t="s">
        <v>4283</v>
      </c>
      <c r="J6" s="3777"/>
      <c r="K6" s="567" t="s">
        <v>2368</v>
      </c>
      <c r="L6" s="2942"/>
      <c r="M6" s="2943"/>
      <c r="N6" s="2943"/>
      <c r="O6" s="2943"/>
      <c r="P6" s="3789"/>
      <c r="Q6" s="3790"/>
      <c r="R6" s="3770"/>
      <c r="S6" s="3771"/>
      <c r="T6" s="3791"/>
      <c r="U6" s="3792"/>
      <c r="V6" s="3793"/>
      <c r="W6" s="3793"/>
      <c r="X6" s="1539"/>
      <c r="Y6" s="3791"/>
      <c r="Z6" s="3792"/>
      <c r="AA6" s="3765"/>
      <c r="AB6" s="3793"/>
      <c r="AC6" s="3765"/>
    </row>
    <row r="7" spans="1:29" s="113" customFormat="1" ht="15.75" thickBot="1">
      <c r="A7" s="368" t="s">
        <v>2369</v>
      </c>
      <c r="B7" s="369"/>
      <c r="C7" s="370">
        <f>'数据-取费表'!B2</f>
        <v>42914</v>
      </c>
      <c r="D7" s="371">
        <v>100</v>
      </c>
      <c r="E7" s="372">
        <v>42856</v>
      </c>
      <c r="F7" s="373">
        <f>SUMIF(58:58,YEAR(E7)&amp;"-"&amp;MONTH(E7),59:59)</f>
        <v>100</v>
      </c>
      <c r="G7" s="372">
        <v>42826</v>
      </c>
      <c r="H7" s="371">
        <f>SUMIF(58:58,YEAR(G7)&amp;"-"&amp;MONTH(G7),59:59)</f>
        <v>100</v>
      </c>
      <c r="I7" s="372">
        <v>42887</v>
      </c>
      <c r="J7" s="371">
        <f>SUMIF(58:58,YEAR(I7)&amp;"-"&amp;MONTH(I7),59:59)</f>
        <v>100</v>
      </c>
      <c r="K7" s="568"/>
      <c r="L7" s="2944"/>
      <c r="M7" s="2945"/>
      <c r="N7" s="2945"/>
      <c r="O7" s="2945"/>
      <c r="P7" s="3766" t="s">
        <v>2370</v>
      </c>
      <c r="Q7" s="3794"/>
      <c r="R7" s="710" t="s">
        <v>17</v>
      </c>
      <c r="S7" s="711">
        <f t="shared" ref="S7:S15" si="0">F7</f>
        <v>100</v>
      </c>
      <c r="T7" s="710" t="s">
        <v>17</v>
      </c>
      <c r="U7" s="711">
        <f t="shared" ref="U7:U15" si="1">H7</f>
        <v>100</v>
      </c>
      <c r="V7" s="710" t="s">
        <v>17</v>
      </c>
      <c r="W7" s="711">
        <f t="shared" ref="W7:W15" si="2">J7</f>
        <v>100</v>
      </c>
      <c r="X7" s="712"/>
      <c r="Y7" s="3766" t="s">
        <v>2370</v>
      </c>
      <c r="Z7" s="3767"/>
      <c r="AA7" s="713">
        <f>D7/F7</f>
        <v>1</v>
      </c>
      <c r="AB7" s="713">
        <f>D7/H7</f>
        <v>1</v>
      </c>
      <c r="AC7" s="713">
        <f>D7/J7</f>
        <v>1</v>
      </c>
    </row>
    <row r="8" spans="1:29" s="113" customFormat="1" ht="15.75" thickBot="1">
      <c r="A8" s="368" t="s">
        <v>2371</v>
      </c>
      <c r="B8" s="369"/>
      <c r="C8" s="374" t="s">
        <v>2473</v>
      </c>
      <c r="D8" s="371">
        <v>100</v>
      </c>
      <c r="E8" s="374" t="s">
        <v>2408</v>
      </c>
      <c r="F8" s="373">
        <f>SUMIF(61:61,E8,62:62)-SUMIF(61:61,C8,62:62)+100</f>
        <v>100</v>
      </c>
      <c r="G8" s="374" t="s">
        <v>2408</v>
      </c>
      <c r="H8" s="371">
        <f>SUMIF(61:61,G8,62:62)-SUMIF(61:61,C8,62:62)+100</f>
        <v>100</v>
      </c>
      <c r="I8" s="374" t="s">
        <v>2408</v>
      </c>
      <c r="J8" s="371">
        <f>SUMIF(61:61,I8,62:62)-SUMIF(61:61,C8,62:62)+100</f>
        <v>100</v>
      </c>
      <c r="K8" s="568"/>
      <c r="L8" s="2944"/>
      <c r="M8" s="2945"/>
      <c r="N8" s="2945"/>
      <c r="O8" s="2945"/>
      <c r="P8" s="3766" t="s">
        <v>2373</v>
      </c>
      <c r="Q8" s="3767"/>
      <c r="R8" s="710" t="s">
        <v>17</v>
      </c>
      <c r="S8" s="711">
        <f t="shared" si="0"/>
        <v>100</v>
      </c>
      <c r="T8" s="710" t="s">
        <v>17</v>
      </c>
      <c r="U8" s="711">
        <f t="shared" si="1"/>
        <v>100</v>
      </c>
      <c r="V8" s="710" t="s">
        <v>17</v>
      </c>
      <c r="W8" s="711">
        <f t="shared" si="2"/>
        <v>100</v>
      </c>
      <c r="X8" s="712"/>
      <c r="Y8" s="3766" t="s">
        <v>2373</v>
      </c>
      <c r="Z8" s="3767"/>
      <c r="AA8" s="713">
        <f t="shared" ref="AA8:AA46" si="3">D8/F8</f>
        <v>1</v>
      </c>
      <c r="AB8" s="713">
        <f t="shared" ref="AB8:AB46" si="4">D8/H8</f>
        <v>1</v>
      </c>
      <c r="AC8" s="713">
        <f t="shared" ref="AC8:AC46" si="5">D8/J8</f>
        <v>1</v>
      </c>
    </row>
    <row r="9" spans="1:29" s="113" customFormat="1">
      <c r="A9" s="375" t="s">
        <v>2374</v>
      </c>
      <c r="B9" s="67" t="s">
        <v>2375</v>
      </c>
      <c r="C9" s="3185" t="s">
        <v>3558</v>
      </c>
      <c r="D9" s="131">
        <v>100</v>
      </c>
      <c r="E9" s="377" t="s">
        <v>1343</v>
      </c>
      <c r="F9" s="378">
        <f>SUMIF(63:63,E9,64:64)-SUMIF(63:63,C9,64:64)+100</f>
        <v>100</v>
      </c>
      <c r="G9" s="377" t="s">
        <v>1343</v>
      </c>
      <c r="H9" s="131">
        <f>SUMIF(63:63,G9,64:64)-SUMIF(63:63,C9,64:64)+100</f>
        <v>100</v>
      </c>
      <c r="I9" s="377" t="s">
        <v>1343</v>
      </c>
      <c r="J9" s="131">
        <f>SUMIF(63:63,I9,64:64)-SUMIF(63:63,C9,64:64)+100</f>
        <v>100</v>
      </c>
      <c r="K9" s="568"/>
      <c r="L9" s="2944"/>
      <c r="M9" s="2945"/>
      <c r="N9" s="2945"/>
      <c r="O9" s="2945"/>
      <c r="P9" s="3780" t="s">
        <v>2376</v>
      </c>
      <c r="Q9" s="1527" t="str">
        <f t="shared" ref="Q9:Q15" si="6">B9</f>
        <v>用途</v>
      </c>
      <c r="R9" s="710" t="s">
        <v>17</v>
      </c>
      <c r="S9" s="711">
        <f t="shared" si="0"/>
        <v>100</v>
      </c>
      <c r="T9" s="710" t="s">
        <v>17</v>
      </c>
      <c r="U9" s="711">
        <f t="shared" si="1"/>
        <v>100</v>
      </c>
      <c r="V9" s="710" t="s">
        <v>17</v>
      </c>
      <c r="W9" s="711">
        <f t="shared" si="2"/>
        <v>100</v>
      </c>
      <c r="X9" s="712"/>
      <c r="Y9" s="3708" t="s">
        <v>2377</v>
      </c>
      <c r="Z9" s="55" t="str">
        <f t="shared" ref="Z9:Z15" si="7">Q9</f>
        <v>用途</v>
      </c>
      <c r="AA9" s="713">
        <f t="shared" si="3"/>
        <v>1</v>
      </c>
      <c r="AB9" s="713">
        <f t="shared" si="4"/>
        <v>1</v>
      </c>
      <c r="AC9" s="713">
        <f t="shared" si="5"/>
        <v>1</v>
      </c>
    </row>
    <row r="10" spans="1:29" s="386" customFormat="1" ht="27" hidden="1">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6"/>
      <c r="M10" s="2947"/>
      <c r="N10" s="2947"/>
      <c r="O10" s="2947"/>
      <c r="P10" s="3780"/>
      <c r="Q10" s="1527" t="str">
        <f t="shared" si="6"/>
        <v>土地使用年限（年）</v>
      </c>
      <c r="R10" s="710" t="s">
        <v>17</v>
      </c>
      <c r="S10" s="711">
        <f t="shared" si="0"/>
        <v>100</v>
      </c>
      <c r="T10" s="710" t="s">
        <v>17</v>
      </c>
      <c r="U10" s="711">
        <f t="shared" si="1"/>
        <v>100</v>
      </c>
      <c r="V10" s="710" t="s">
        <v>17</v>
      </c>
      <c r="W10" s="711">
        <f t="shared" si="2"/>
        <v>100</v>
      </c>
      <c r="X10" s="712"/>
      <c r="Y10" s="3708"/>
      <c r="Z10" s="55" t="str">
        <f t="shared" si="7"/>
        <v>土地使用年限（年）</v>
      </c>
      <c r="AA10" s="713">
        <f t="shared" si="3"/>
        <v>1</v>
      </c>
      <c r="AB10" s="713">
        <f t="shared" si="4"/>
        <v>1</v>
      </c>
      <c r="AC10" s="713">
        <f t="shared" si="5"/>
        <v>1</v>
      </c>
    </row>
    <row r="11" spans="1:29" ht="15" hidden="1">
      <c r="A11" s="387"/>
      <c r="B11" s="381" t="s">
        <v>2379</v>
      </c>
      <c r="C11" s="388"/>
      <c r="D11" s="132">
        <v>100</v>
      </c>
      <c r="E11" s="389"/>
      <c r="F11" s="384">
        <f>LOOKUP(E11,68:68,69:69)-LOOKUP(C11,68:68,69:69)+100</f>
        <v>100</v>
      </c>
      <c r="G11" s="388"/>
      <c r="H11" s="132">
        <f>LOOKUP(G11,68:68,69:69)-LOOKUP(C11,68:68,69:69)+100</f>
        <v>100</v>
      </c>
      <c r="I11" s="388"/>
      <c r="J11" s="132">
        <f>LOOKUP(I11,68:68,69:69)-LOOKUP(C11,68:68,69:69)+100</f>
        <v>100</v>
      </c>
      <c r="K11" s="569"/>
      <c r="L11" s="2948"/>
      <c r="M11" s="2943"/>
      <c r="N11" s="2943"/>
      <c r="O11" s="2943"/>
      <c r="P11" s="3780"/>
      <c r="Q11" s="1527" t="str">
        <f t="shared" si="6"/>
        <v>容积率</v>
      </c>
      <c r="R11" s="710" t="s">
        <v>17</v>
      </c>
      <c r="S11" s="711">
        <f t="shared" si="0"/>
        <v>100</v>
      </c>
      <c r="T11" s="710" t="s">
        <v>17</v>
      </c>
      <c r="U11" s="711">
        <f t="shared" si="1"/>
        <v>100</v>
      </c>
      <c r="V11" s="710" t="s">
        <v>17</v>
      </c>
      <c r="W11" s="711">
        <f t="shared" si="2"/>
        <v>100</v>
      </c>
      <c r="X11" s="712"/>
      <c r="Y11" s="3708"/>
      <c r="Z11" s="55" t="str">
        <f t="shared" si="7"/>
        <v>容积率</v>
      </c>
      <c r="AA11" s="713">
        <f t="shared" si="3"/>
        <v>1</v>
      </c>
      <c r="AB11" s="713">
        <f t="shared" si="4"/>
        <v>1</v>
      </c>
      <c r="AC11" s="713">
        <f t="shared" si="5"/>
        <v>1</v>
      </c>
    </row>
    <row r="12" spans="1:29" s="113" customFormat="1" ht="15">
      <c r="A12" s="390"/>
      <c r="B12" s="3315" t="s">
        <v>4034</v>
      </c>
      <c r="C12" s="391">
        <v>15</v>
      </c>
      <c r="D12" s="392">
        <v>100</v>
      </c>
      <c r="E12" s="393">
        <v>8</v>
      </c>
      <c r="F12" s="384">
        <f>SUMIF(70:70,E12,71:71)-SUMIF(70:70,C12,71:71)+100</f>
        <v>102</v>
      </c>
      <c r="G12" s="393">
        <v>10</v>
      </c>
      <c r="H12" s="132">
        <f>SUMIF(70:70,G12,71:71)-SUMIF(70:70,C12,71:71)+100</f>
        <v>102</v>
      </c>
      <c r="I12" s="393">
        <v>3</v>
      </c>
      <c r="J12" s="132">
        <f>SUMIF(70:70,I12,71:71)-SUMIF(70:70,C12,71:71)+100</f>
        <v>104</v>
      </c>
      <c r="K12" s="570"/>
      <c r="L12" s="2944"/>
      <c r="M12" s="2945"/>
      <c r="N12" s="2945"/>
      <c r="O12" s="2945"/>
      <c r="P12" s="3780"/>
      <c r="Q12" s="1527" t="str">
        <f t="shared" si="6"/>
        <v>租期</v>
      </c>
      <c r="R12" s="710" t="s">
        <v>17</v>
      </c>
      <c r="S12" s="711">
        <f t="shared" si="0"/>
        <v>102</v>
      </c>
      <c r="T12" s="710" t="s">
        <v>17</v>
      </c>
      <c r="U12" s="711">
        <f t="shared" si="1"/>
        <v>102</v>
      </c>
      <c r="V12" s="710" t="s">
        <v>17</v>
      </c>
      <c r="W12" s="711">
        <f t="shared" si="2"/>
        <v>104</v>
      </c>
      <c r="X12" s="712"/>
      <c r="Y12" s="3708"/>
      <c r="Z12" s="55" t="str">
        <f t="shared" si="7"/>
        <v>租期</v>
      </c>
      <c r="AA12" s="713">
        <f>D12/F12</f>
        <v>0.98039215686274506</v>
      </c>
      <c r="AB12" s="713">
        <f>D12/H12</f>
        <v>0.98039215686274506</v>
      </c>
      <c r="AC12" s="713">
        <f>D12/J12</f>
        <v>0.96153846153846156</v>
      </c>
    </row>
    <row r="13" spans="1:29" ht="15">
      <c r="A13" s="387"/>
      <c r="B13" s="3315" t="s">
        <v>4194</v>
      </c>
      <c r="C13" s="3170" t="s">
        <v>4187</v>
      </c>
      <c r="D13" s="394">
        <v>100</v>
      </c>
      <c r="E13" s="3170" t="s">
        <v>4187</v>
      </c>
      <c r="F13" s="384">
        <f>SUMIF(72:72,E13,73:73)-SUMIF(72:72,C13,73:73)+100</f>
        <v>100</v>
      </c>
      <c r="G13" s="3170" t="s">
        <v>4188</v>
      </c>
      <c r="H13" s="394">
        <f>SUMIF(72:72,G13,73:73)-SUMIF(72:72,C13,73:73)+100</f>
        <v>95</v>
      </c>
      <c r="I13" s="3170" t="s">
        <v>4187</v>
      </c>
      <c r="J13" s="394">
        <f>SUMIF(72:72,I13,73:73)-SUMIF(72:72,C13,73:73)+100</f>
        <v>100</v>
      </c>
      <c r="K13" s="570"/>
      <c r="L13" s="2949"/>
      <c r="M13" s="2943"/>
      <c r="N13" s="2943"/>
      <c r="O13" s="2943"/>
      <c r="P13" s="3780"/>
      <c r="Q13" s="1527" t="str">
        <f t="shared" si="6"/>
        <v>产权/统一经营</v>
      </c>
      <c r="R13" s="710" t="s">
        <v>17</v>
      </c>
      <c r="S13" s="711">
        <f t="shared" si="0"/>
        <v>100</v>
      </c>
      <c r="T13" s="710" t="s">
        <v>17</v>
      </c>
      <c r="U13" s="711">
        <f t="shared" si="1"/>
        <v>95</v>
      </c>
      <c r="V13" s="710" t="s">
        <v>17</v>
      </c>
      <c r="W13" s="711">
        <f t="shared" si="2"/>
        <v>100</v>
      </c>
      <c r="X13" s="712"/>
      <c r="Y13" s="3708"/>
      <c r="Z13" s="55" t="str">
        <f t="shared" si="7"/>
        <v>产权/统一经营</v>
      </c>
      <c r="AA13" s="713">
        <f t="shared" si="3"/>
        <v>1</v>
      </c>
      <c r="AB13" s="713">
        <f t="shared" si="4"/>
        <v>1.0526315789473684</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49"/>
      <c r="M14" s="2943"/>
      <c r="N14" s="2943"/>
      <c r="O14" s="2943"/>
      <c r="P14" s="3780"/>
      <c r="Q14" s="1527">
        <f t="shared" si="6"/>
        <v>111</v>
      </c>
      <c r="R14" s="710" t="s">
        <v>17</v>
      </c>
      <c r="S14" s="711">
        <f t="shared" si="0"/>
        <v>100</v>
      </c>
      <c r="T14" s="710" t="s">
        <v>17</v>
      </c>
      <c r="U14" s="711">
        <f t="shared" si="1"/>
        <v>100</v>
      </c>
      <c r="V14" s="710" t="s">
        <v>17</v>
      </c>
      <c r="W14" s="711">
        <f t="shared" si="2"/>
        <v>100</v>
      </c>
      <c r="X14" s="712"/>
      <c r="Y14" s="3708"/>
      <c r="Z14" s="55">
        <f t="shared" si="7"/>
        <v>111</v>
      </c>
      <c r="AA14" s="713">
        <f t="shared" si="3"/>
        <v>1</v>
      </c>
      <c r="AB14" s="713">
        <f t="shared" si="4"/>
        <v>1</v>
      </c>
      <c r="AC14" s="713">
        <f t="shared" si="5"/>
        <v>1</v>
      </c>
    </row>
    <row r="15" spans="1:29" ht="64.5" customHeight="1">
      <c r="A15" s="399" t="s">
        <v>2380</v>
      </c>
      <c r="B15" s="65" t="s">
        <v>2474</v>
      </c>
      <c r="C15" s="2082" t="str">
        <f>估价对象房地状况!C4</f>
        <v>估价对象位于东四商圈，位于商业类一级地价区，周边有隆福大厦、隆福广场、物美超市，东四大街、朝内大街沿街商业氛围成熟，人流量大，商业繁华度较好。</v>
      </c>
      <c r="D15" s="400">
        <v>100</v>
      </c>
      <c r="E15" s="3225" t="s">
        <v>4158</v>
      </c>
      <c r="F15" s="402">
        <f>SUMIF(76:76,E16,77:77)-SUMIF(76:76,C16,77:77)+100</f>
        <v>103</v>
      </c>
      <c r="G15" s="3227" t="s">
        <v>4262</v>
      </c>
      <c r="H15" s="400">
        <f>SUMIF(76:76,G16,77:77)-SUMIF(76:76,C16,77:77)+100</f>
        <v>100</v>
      </c>
      <c r="I15" s="3225" t="s">
        <v>4036</v>
      </c>
      <c r="J15" s="400">
        <f>SUMIF(76:76,I16,77:77)-SUMIF(76:76,C16,77:77)+100</f>
        <v>100</v>
      </c>
      <c r="K15" s="571">
        <v>3</v>
      </c>
      <c r="L15" s="2949"/>
      <c r="M15" s="2943"/>
      <c r="N15" s="2943"/>
      <c r="O15" s="2943"/>
      <c r="P15" s="3807" t="s">
        <v>2381</v>
      </c>
      <c r="Q15" s="1536" t="str">
        <f t="shared" si="6"/>
        <v>商业繁华度</v>
      </c>
      <c r="R15" s="714" t="s">
        <v>17</v>
      </c>
      <c r="S15" s="715">
        <f t="shared" si="0"/>
        <v>103</v>
      </c>
      <c r="T15" s="714" t="s">
        <v>17</v>
      </c>
      <c r="U15" s="715">
        <f t="shared" si="1"/>
        <v>100</v>
      </c>
      <c r="V15" s="714" t="s">
        <v>17</v>
      </c>
      <c r="W15" s="715">
        <f t="shared" si="2"/>
        <v>100</v>
      </c>
      <c r="X15" s="1539"/>
      <c r="Y15" s="3800" t="s">
        <v>2381</v>
      </c>
      <c r="Z15" s="1540" t="str">
        <f t="shared" si="7"/>
        <v>商业繁华度</v>
      </c>
      <c r="AA15" s="1537">
        <f t="shared" si="3"/>
        <v>0.970873786407767</v>
      </c>
      <c r="AB15" s="1537">
        <f t="shared" si="4"/>
        <v>1</v>
      </c>
      <c r="AC15" s="1537">
        <f t="shared" si="5"/>
        <v>1</v>
      </c>
    </row>
    <row r="16" spans="1:29" ht="15">
      <c r="A16" s="387"/>
      <c r="B16" s="405"/>
      <c r="C16" s="406" t="s">
        <v>3094</v>
      </c>
      <c r="D16" s="407"/>
      <c r="E16" s="406" t="s">
        <v>3095</v>
      </c>
      <c r="F16" s="408"/>
      <c r="G16" s="406" t="s">
        <v>3094</v>
      </c>
      <c r="H16" s="409"/>
      <c r="I16" s="406" t="s">
        <v>3094</v>
      </c>
      <c r="J16" s="407"/>
      <c r="K16" s="572"/>
      <c r="L16" s="2949"/>
      <c r="M16" s="2943"/>
      <c r="N16" s="2943"/>
      <c r="O16" s="2943"/>
      <c r="P16" s="3808"/>
      <c r="Q16" s="1536"/>
      <c r="R16" s="714"/>
      <c r="S16" s="715"/>
      <c r="T16" s="714"/>
      <c r="U16" s="715"/>
      <c r="V16" s="714"/>
      <c r="W16" s="715"/>
      <c r="X16" s="1539"/>
      <c r="Y16" s="3801"/>
      <c r="Z16" s="1540"/>
      <c r="AA16" s="1537">
        <v>1</v>
      </c>
      <c r="AB16" s="1537">
        <v>1</v>
      </c>
      <c r="AC16" s="1537">
        <v>1</v>
      </c>
    </row>
    <row r="17" spans="1:29" ht="93.75" customHeight="1">
      <c r="A17" s="387"/>
      <c r="B17" s="410" t="s">
        <v>1945</v>
      </c>
      <c r="C17" s="2086" t="str">
        <f>估价对象房地状况!C6</f>
        <v>估价对象位于东四路口的东南角，紧临城市主干道-朝阳门内大街，西距东四南大街100米，距离地铁5号线（2007年通车）与6号线（2012年通车）东四站75米，多条公交线路通达，公共交通便利，停车便捷度好，综合评价交通便捷度较好。</v>
      </c>
      <c r="D17" s="409">
        <v>100</v>
      </c>
      <c r="E17" s="3222" t="s">
        <v>4200</v>
      </c>
      <c r="F17" s="412">
        <f>SUMIF(78:78,E18,79:79)-SUMIF(78:78,C18,79:79)+100</f>
        <v>97</v>
      </c>
      <c r="G17" s="3222" t="str">
        <f>'比较法租金-办公'!E17</f>
        <v>主路口紧邻城市次干道-南竹杆胡同，距离地铁2号线（1984年）、6号线朝阳门站约300米，多条公交线路通达，公共交通便利，综合评价交通便捷度较好。</v>
      </c>
      <c r="H17" s="414">
        <f>SUMIF(78:78,G18,79:79)-SUMIF(78:78,C18,79:79)+100</f>
        <v>97</v>
      </c>
      <c r="I17" s="3224" t="str">
        <f>'比较法租金-办公'!G17</f>
        <v>紧邻城市快速路-东二环，距离地铁2号线（1984年）东四十条站约300米，多条公交线路通达，公共交通便利，综合评价交通便捷度较好。</v>
      </c>
      <c r="J17" s="414">
        <f>SUMIF(78:78,I18,79:79)-SUMIF(78:78,C18,79:79)+100</f>
        <v>97</v>
      </c>
      <c r="K17" s="571">
        <v>3</v>
      </c>
      <c r="L17" s="2949"/>
      <c r="M17" s="2943"/>
      <c r="N17" s="2943"/>
      <c r="O17" s="2943"/>
      <c r="P17" s="3808"/>
      <c r="Q17" s="1536" t="str">
        <f>B17</f>
        <v>交通便捷度</v>
      </c>
      <c r="R17" s="714" t="s">
        <v>17</v>
      </c>
      <c r="S17" s="715">
        <f>F17</f>
        <v>97</v>
      </c>
      <c r="T17" s="714" t="s">
        <v>17</v>
      </c>
      <c r="U17" s="715">
        <f>H17</f>
        <v>97</v>
      </c>
      <c r="V17" s="714" t="s">
        <v>17</v>
      </c>
      <c r="W17" s="715">
        <f>J17</f>
        <v>97</v>
      </c>
      <c r="X17" s="1539"/>
      <c r="Y17" s="3801"/>
      <c r="Z17" s="1540" t="str">
        <f>Q17</f>
        <v>交通便捷度</v>
      </c>
      <c r="AA17" s="1537">
        <f t="shared" si="3"/>
        <v>1.0309278350515463</v>
      </c>
      <c r="AB17" s="1537">
        <f t="shared" si="4"/>
        <v>1.0309278350515463</v>
      </c>
      <c r="AC17" s="1537">
        <f t="shared" si="5"/>
        <v>1.0309278350515463</v>
      </c>
    </row>
    <row r="18" spans="1:29" ht="15">
      <c r="A18" s="387"/>
      <c r="B18" s="415"/>
      <c r="C18" s="2087" t="s">
        <v>3095</v>
      </c>
      <c r="D18" s="409"/>
      <c r="E18" s="2087" t="s">
        <v>3094</v>
      </c>
      <c r="F18" s="412"/>
      <c r="G18" s="2087" t="s">
        <v>3094</v>
      </c>
      <c r="H18" s="407"/>
      <c r="I18" s="2087" t="s">
        <v>3094</v>
      </c>
      <c r="J18" s="407"/>
      <c r="K18" s="572"/>
      <c r="L18" s="2949"/>
      <c r="M18" s="2943"/>
      <c r="N18" s="2943"/>
      <c r="O18" s="2943"/>
      <c r="P18" s="3808"/>
      <c r="Q18" s="1536"/>
      <c r="R18" s="714"/>
      <c r="S18" s="715"/>
      <c r="T18" s="714"/>
      <c r="U18" s="715"/>
      <c r="V18" s="714"/>
      <c r="W18" s="715"/>
      <c r="X18" s="1539"/>
      <c r="Y18" s="3801"/>
      <c r="Z18" s="1540"/>
      <c r="AA18" s="1537">
        <v>1</v>
      </c>
      <c r="AB18" s="1537">
        <v>1</v>
      </c>
      <c r="AC18" s="1537">
        <v>1</v>
      </c>
    </row>
    <row r="19" spans="1:29" ht="71.25" customHeight="1">
      <c r="A19" s="387"/>
      <c r="B19" s="410" t="s">
        <v>2475</v>
      </c>
      <c r="C19" s="2086" t="str">
        <f>估价对象房地状况!C7</f>
        <v>估价对象所在区域有购物场所（隆福广场、物美超市等），教育机构（灯市口小学、北京市第一六六中学），医疗网点（北京市东城区口腔医院、北京市东城区朝阳门社区卫生服务中心），金融网点（中国邮政储蓄银行、中国工商银行、北京农商银行、广发银行），综合分析，公共配套设施齐备程度较好。</v>
      </c>
      <c r="D19" s="414">
        <v>100</v>
      </c>
      <c r="E19" s="3224" t="s">
        <v>4159</v>
      </c>
      <c r="F19" s="417">
        <f>SUMIF(80:80,E20,81:81)-SUMIF(80:80,C20,81:81)+100</f>
        <v>100</v>
      </c>
      <c r="G19" s="3224" t="str">
        <f>'比较法租金-办公'!E19</f>
        <v>估价对象所在区域有购物场所（银河SOHO、悠唐购物中心、物美超市等），教育机构（新鲜胡同小学、东城区回民小学等），医疗网点（首都儿研所附属儿童医院、中国人民解放军总医院第七医学中心、朝阳中医院等），金融网点（中国银行、兴业银行、中国工商银行等），综合分析，公共配套设施齐备程度较好。</v>
      </c>
      <c r="H19" s="409">
        <f>SUMIF(80:80,G20,81:81)-SUMIF(80:80,C20,81:81)+100</f>
        <v>100</v>
      </c>
      <c r="I19" s="3224" t="str">
        <f>'比较法租金-办公'!G19</f>
        <v>估价对象所在区域有购物场所（世纪华联、物美超市等），教育机构（史家小学分校、白家庄小学等），医疗网点（中国人民解放军总医院第七医学中心、八一儿童医院等），金融网点（北京农商银行、中国银行、兴业银行等），综合分析，公共配套设施齐备程度较好。</v>
      </c>
      <c r="J19" s="409">
        <f>SUMIF(80:80,I20,81:81)-SUMIF(80:80,C20,81:81)+100</f>
        <v>100</v>
      </c>
      <c r="K19" s="571">
        <v>2</v>
      </c>
      <c r="L19" s="2949"/>
      <c r="M19" s="2943"/>
      <c r="N19" s="2943"/>
      <c r="O19" s="2943"/>
      <c r="P19" s="3808"/>
      <c r="Q19" s="1536" t="str">
        <f>B19</f>
        <v>公共配套设施</v>
      </c>
      <c r="R19" s="714" t="s">
        <v>17</v>
      </c>
      <c r="S19" s="715">
        <f>F19</f>
        <v>100</v>
      </c>
      <c r="T19" s="714" t="s">
        <v>17</v>
      </c>
      <c r="U19" s="715">
        <f>H19</f>
        <v>100</v>
      </c>
      <c r="V19" s="714" t="s">
        <v>17</v>
      </c>
      <c r="W19" s="715">
        <f>J19</f>
        <v>100</v>
      </c>
      <c r="X19" s="1539"/>
      <c r="Y19" s="3801"/>
      <c r="Z19" s="1540" t="str">
        <f>Q19</f>
        <v>公共配套设施</v>
      </c>
      <c r="AA19" s="1537">
        <f t="shared" si="3"/>
        <v>1</v>
      </c>
      <c r="AB19" s="1537">
        <f t="shared" si="4"/>
        <v>1</v>
      </c>
      <c r="AC19" s="1537">
        <f t="shared" si="5"/>
        <v>1</v>
      </c>
    </row>
    <row r="20" spans="1:29" ht="15">
      <c r="A20" s="387"/>
      <c r="B20" s="415"/>
      <c r="C20" s="406" t="s">
        <v>3094</v>
      </c>
      <c r="D20" s="407"/>
      <c r="E20" s="406" t="s">
        <v>3094</v>
      </c>
      <c r="F20" s="408"/>
      <c r="G20" s="406" t="s">
        <v>3094</v>
      </c>
      <c r="H20" s="407"/>
      <c r="I20" s="406" t="s">
        <v>3094</v>
      </c>
      <c r="J20" s="407"/>
      <c r="K20" s="572"/>
      <c r="L20" s="2949"/>
      <c r="M20" s="2943"/>
      <c r="N20" s="2943"/>
      <c r="O20" s="2943"/>
      <c r="P20" s="3808"/>
      <c r="Q20" s="1536"/>
      <c r="R20" s="714"/>
      <c r="S20" s="715"/>
      <c r="T20" s="714"/>
      <c r="U20" s="715"/>
      <c r="V20" s="714"/>
      <c r="W20" s="715"/>
      <c r="X20" s="1539"/>
      <c r="Y20" s="3801"/>
      <c r="Z20" s="1540"/>
      <c r="AA20" s="1537">
        <v>1</v>
      </c>
      <c r="AB20" s="1537">
        <v>1</v>
      </c>
      <c r="AC20" s="1537">
        <v>1</v>
      </c>
    </row>
    <row r="21" spans="1:29" ht="24.75" customHeight="1">
      <c r="A21" s="387"/>
      <c r="B21" s="1293" t="s">
        <v>2476</v>
      </c>
      <c r="C21" s="2086"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v>2</v>
      </c>
      <c r="L21" s="2949"/>
      <c r="M21" s="2943"/>
      <c r="N21" s="2943"/>
      <c r="O21" s="2943"/>
      <c r="P21" s="3808"/>
      <c r="Q21" s="1536" t="str">
        <f>B21</f>
        <v>基础设施水平</v>
      </c>
      <c r="R21" s="714" t="s">
        <v>17</v>
      </c>
      <c r="S21" s="715">
        <f>F21</f>
        <v>100</v>
      </c>
      <c r="T21" s="714" t="s">
        <v>17</v>
      </c>
      <c r="U21" s="715">
        <f>H21</f>
        <v>100</v>
      </c>
      <c r="V21" s="714" t="s">
        <v>17</v>
      </c>
      <c r="W21" s="715">
        <f>J21</f>
        <v>100</v>
      </c>
      <c r="X21" s="1539"/>
      <c r="Y21" s="3801"/>
      <c r="Z21" s="1540" t="str">
        <f>Q21</f>
        <v>基础设施水平</v>
      </c>
      <c r="AA21" s="1537">
        <f>D21/F21</f>
        <v>1</v>
      </c>
      <c r="AB21" s="1537">
        <f>D21/H21</f>
        <v>1</v>
      </c>
      <c r="AC21" s="1537">
        <f>D21/J21</f>
        <v>1</v>
      </c>
    </row>
    <row r="22" spans="1:29" ht="15">
      <c r="A22" s="387"/>
      <c r="B22" s="1293"/>
      <c r="C22" s="2087" t="s">
        <v>3475</v>
      </c>
      <c r="D22" s="407"/>
      <c r="E22" s="2087" t="s">
        <v>3475</v>
      </c>
      <c r="F22" s="408"/>
      <c r="G22" s="2087" t="s">
        <v>3475</v>
      </c>
      <c r="H22" s="407"/>
      <c r="I22" s="2087" t="s">
        <v>3475</v>
      </c>
      <c r="J22" s="407"/>
      <c r="K22" s="1292"/>
      <c r="L22" s="2949"/>
      <c r="M22" s="2943"/>
      <c r="N22" s="2943"/>
      <c r="O22" s="2943"/>
      <c r="P22" s="3808"/>
      <c r="Q22" s="1536"/>
      <c r="R22" s="714"/>
      <c r="S22" s="715"/>
      <c r="T22" s="714"/>
      <c r="U22" s="715"/>
      <c r="V22" s="714"/>
      <c r="W22" s="715"/>
      <c r="X22" s="1539"/>
      <c r="Y22" s="3801"/>
      <c r="Z22" s="1540"/>
      <c r="AA22" s="1537">
        <v>1</v>
      </c>
      <c r="AB22" s="1537">
        <v>1</v>
      </c>
      <c r="AC22" s="1537">
        <v>1</v>
      </c>
    </row>
    <row r="23" spans="1:29" ht="39" customHeight="1">
      <c r="A23" s="387"/>
      <c r="B23" s="410" t="s">
        <v>1947</v>
      </c>
      <c r="C23" s="2141" t="str">
        <f>估价对象房地状况!C9</f>
        <v>周边有隆福寺广场、东四清真寺等，自然及人文环境较好</v>
      </c>
      <c r="D23" s="409">
        <v>100</v>
      </c>
      <c r="E23" s="3228" t="s">
        <v>4160</v>
      </c>
      <c r="F23" s="412">
        <f>SUMIF(84:84,E24,85:85)-SUMIF(84:84,C24,85:85)+100</f>
        <v>100</v>
      </c>
      <c r="G23" s="3222" t="str">
        <f>'比较法租金-办公'!E23</f>
        <v>周边有智化寺等，自然及人文环境较好</v>
      </c>
      <c r="H23" s="409">
        <f>SUMIF(84:84,G24,85:85)-SUMIF(84:84,C24,85:85)+100</f>
        <v>100</v>
      </c>
      <c r="I23" s="3223" t="str">
        <f>'比较法租金-办公'!G23</f>
        <v>周边有保利剧院、南新仓文化休闲街、东四奥林匹克社区公园等，自然及人文环境较好</v>
      </c>
      <c r="J23" s="409">
        <f>SUMIF(84:84,I24,85:85)-SUMIF(84:84,C24,85:85)+100</f>
        <v>100</v>
      </c>
      <c r="K23" s="571">
        <v>2</v>
      </c>
      <c r="L23" s="2949"/>
      <c r="M23" s="2943"/>
      <c r="N23" s="2943"/>
      <c r="O23" s="2943"/>
      <c r="P23" s="3808"/>
      <c r="Q23" s="1536" t="str">
        <f>B23</f>
        <v>自然及人文环境</v>
      </c>
      <c r="R23" s="714" t="s">
        <v>17</v>
      </c>
      <c r="S23" s="715">
        <f>F23</f>
        <v>100</v>
      </c>
      <c r="T23" s="714" t="s">
        <v>17</v>
      </c>
      <c r="U23" s="715">
        <f>H23</f>
        <v>100</v>
      </c>
      <c r="V23" s="714" t="s">
        <v>17</v>
      </c>
      <c r="W23" s="715">
        <f>J23</f>
        <v>100</v>
      </c>
      <c r="X23" s="1539"/>
      <c r="Y23" s="3801"/>
      <c r="Z23" s="1540" t="str">
        <f>Q23</f>
        <v>自然及人文环境</v>
      </c>
      <c r="AA23" s="1537">
        <f t="shared" si="3"/>
        <v>1</v>
      </c>
      <c r="AB23" s="1537">
        <f t="shared" si="4"/>
        <v>1</v>
      </c>
      <c r="AC23" s="1537">
        <f t="shared" si="5"/>
        <v>1</v>
      </c>
    </row>
    <row r="24" spans="1:29" ht="15">
      <c r="A24" s="387"/>
      <c r="B24" s="415"/>
      <c r="C24" s="406" t="s">
        <v>3094</v>
      </c>
      <c r="D24" s="407"/>
      <c r="E24" s="406" t="s">
        <v>3094</v>
      </c>
      <c r="F24" s="408"/>
      <c r="G24" s="406" t="s">
        <v>3094</v>
      </c>
      <c r="H24" s="407"/>
      <c r="I24" s="406" t="s">
        <v>3094</v>
      </c>
      <c r="J24" s="407"/>
      <c r="K24" s="572"/>
      <c r="L24" s="2949"/>
      <c r="M24" s="2943"/>
      <c r="N24" s="2943"/>
      <c r="O24" s="2943"/>
      <c r="P24" s="3808"/>
      <c r="Q24" s="1536"/>
      <c r="R24" s="714"/>
      <c r="S24" s="715"/>
      <c r="T24" s="714"/>
      <c r="U24" s="715"/>
      <c r="V24" s="714"/>
      <c r="W24" s="715"/>
      <c r="X24" s="1539"/>
      <c r="Y24" s="3801"/>
      <c r="Z24" s="1540"/>
      <c r="AA24" s="1537">
        <v>1</v>
      </c>
      <c r="AB24" s="1537">
        <v>1</v>
      </c>
      <c r="AC24" s="1537">
        <v>1</v>
      </c>
    </row>
    <row r="25" spans="1:29" ht="15">
      <c r="A25" s="387"/>
      <c r="B25" s="381" t="s">
        <v>2477</v>
      </c>
      <c r="C25" s="573" t="s">
        <v>3476</v>
      </c>
      <c r="D25" s="394">
        <v>100</v>
      </c>
      <c r="E25" s="573" t="s">
        <v>3476</v>
      </c>
      <c r="F25" s="420">
        <f>SUMIF(86:86,E25,87:87)-SUMIF(86:86,C25,87:87)+100</f>
        <v>100</v>
      </c>
      <c r="G25" s="573" t="s">
        <v>3763</v>
      </c>
      <c r="H25" s="394">
        <f>SUMIF(86:86,G25,87:87)-SUMIF(86:86,C25,87:87)+100</f>
        <v>97</v>
      </c>
      <c r="I25" s="573" t="s">
        <v>3763</v>
      </c>
      <c r="J25" s="394">
        <f>SUMIF(86:86,I25,87:87)-SUMIF(86:86,C25,87:87)+100</f>
        <v>97</v>
      </c>
      <c r="K25" s="569">
        <v>3</v>
      </c>
      <c r="L25" s="2949"/>
      <c r="M25" s="2943"/>
      <c r="N25" s="2943"/>
      <c r="O25" s="2943"/>
      <c r="P25" s="3808"/>
      <c r="Q25" s="1536" t="str">
        <f t="shared" ref="Q25:Q46" si="8">B25</f>
        <v>临街状况</v>
      </c>
      <c r="R25" s="714" t="s">
        <v>17</v>
      </c>
      <c r="S25" s="715">
        <f>F25</f>
        <v>100</v>
      </c>
      <c r="T25" s="714" t="s">
        <v>17</v>
      </c>
      <c r="U25" s="715">
        <f>H25</f>
        <v>97</v>
      </c>
      <c r="V25" s="714" t="s">
        <v>17</v>
      </c>
      <c r="W25" s="715">
        <f>J25</f>
        <v>97</v>
      </c>
      <c r="X25" s="1539"/>
      <c r="Y25" s="3801"/>
      <c r="Z25" s="1540" t="str">
        <f>Q25</f>
        <v>临街状况</v>
      </c>
      <c r="AA25" s="1537">
        <f t="shared" si="3"/>
        <v>1</v>
      </c>
      <c r="AB25" s="1537">
        <f t="shared" si="4"/>
        <v>1.0309278350515463</v>
      </c>
      <c r="AC25" s="1537">
        <f t="shared" si="5"/>
        <v>1.0309278350515463</v>
      </c>
    </row>
    <row r="26" spans="1:29" ht="15">
      <c r="A26" s="387"/>
      <c r="B26" s="3425" t="s">
        <v>4193</v>
      </c>
      <c r="C26" s="3184" t="s">
        <v>4037</v>
      </c>
      <c r="D26" s="394">
        <v>100</v>
      </c>
      <c r="E26" s="3426" t="s">
        <v>4039</v>
      </c>
      <c r="F26" s="420">
        <f>SUMIF(88:88,E26,89:89)-SUMIF(88:88,C26,89:89)+100</f>
        <v>80</v>
      </c>
      <c r="G26" s="3184" t="s">
        <v>4039</v>
      </c>
      <c r="H26" s="394">
        <f>SUMIF(88:88,G26,89:89)-SUMIF(88:88,C26,89:89)+100</f>
        <v>80</v>
      </c>
      <c r="I26" s="3184" t="s">
        <v>4039</v>
      </c>
      <c r="J26" s="394">
        <f>SUMIF(88:88,I26,89:89)-SUMIF(88:88,C26,89:89)+100</f>
        <v>80</v>
      </c>
      <c r="K26" s="570"/>
      <c r="L26" s="2949"/>
      <c r="M26" s="2943"/>
      <c r="N26" s="2943"/>
      <c r="O26" s="2943"/>
      <c r="P26" s="3808"/>
      <c r="Q26" s="1536" t="str">
        <f t="shared" si="8"/>
        <v>展示面/可视性</v>
      </c>
      <c r="R26" s="714" t="s">
        <v>17</v>
      </c>
      <c r="S26" s="715">
        <f>F26</f>
        <v>80</v>
      </c>
      <c r="T26" s="714" t="s">
        <v>17</v>
      </c>
      <c r="U26" s="715">
        <f>H26</f>
        <v>80</v>
      </c>
      <c r="V26" s="714" t="s">
        <v>17</v>
      </c>
      <c r="W26" s="715">
        <f>J26</f>
        <v>80</v>
      </c>
      <c r="X26" s="1539"/>
      <c r="Y26" s="3801"/>
      <c r="Z26" s="1540" t="str">
        <f>Q26</f>
        <v>展示面/可视性</v>
      </c>
      <c r="AA26" s="1537">
        <f t="shared" si="3"/>
        <v>1.25</v>
      </c>
      <c r="AB26" s="1537">
        <f t="shared" si="4"/>
        <v>1.25</v>
      </c>
      <c r="AC26" s="1537">
        <f t="shared" si="5"/>
        <v>1.25</v>
      </c>
    </row>
    <row r="27" spans="1:29" s="113" customFormat="1" ht="15">
      <c r="A27" s="390"/>
      <c r="B27" s="410" t="s">
        <v>2479</v>
      </c>
      <c r="C27" s="2142" t="s">
        <v>3567</v>
      </c>
      <c r="D27" s="421">
        <v>100</v>
      </c>
      <c r="E27" s="2142" t="s">
        <v>4040</v>
      </c>
      <c r="F27" s="423">
        <f>SUMIF(90:90,E27,91:91)-SUMIF(90:90,C27,91:91)+100</f>
        <v>102</v>
      </c>
      <c r="G27" s="2142" t="s">
        <v>3567</v>
      </c>
      <c r="H27" s="421">
        <f>SUMIF(90:90,G27,91:91)-SUMIF(90:90,C27,91:91)+100</f>
        <v>100</v>
      </c>
      <c r="I27" s="2142" t="s">
        <v>3567</v>
      </c>
      <c r="J27" s="421">
        <f>SUMIF(90:90,I27,91:91)-SUMIF(90:90,C27,91:91)+100</f>
        <v>100</v>
      </c>
      <c r="K27" s="569">
        <v>2</v>
      </c>
      <c r="L27" s="2944"/>
      <c r="M27" s="2945"/>
      <c r="N27" s="2945"/>
      <c r="O27" s="2945"/>
      <c r="P27" s="3808"/>
      <c r="Q27" s="1527" t="str">
        <f t="shared" si="8"/>
        <v>人流量</v>
      </c>
      <c r="R27" s="710" t="s">
        <v>17</v>
      </c>
      <c r="S27" s="711">
        <f>F27</f>
        <v>102</v>
      </c>
      <c r="T27" s="710" t="s">
        <v>17</v>
      </c>
      <c r="U27" s="711">
        <f>H27</f>
        <v>100</v>
      </c>
      <c r="V27" s="710" t="s">
        <v>17</v>
      </c>
      <c r="W27" s="711">
        <f>J27</f>
        <v>100</v>
      </c>
      <c r="X27" s="712"/>
      <c r="Y27" s="3801"/>
      <c r="Z27" s="55" t="str">
        <f>Q27</f>
        <v>人流量</v>
      </c>
      <c r="AA27" s="1537">
        <f>D27/F27</f>
        <v>0.98039215686274506</v>
      </c>
      <c r="AB27" s="1537">
        <f>D27/H27</f>
        <v>1</v>
      </c>
      <c r="AC27" s="1537">
        <f>D27/J27</f>
        <v>1</v>
      </c>
    </row>
    <row r="28" spans="1:29" ht="15.75" thickBot="1">
      <c r="A28" s="387"/>
      <c r="B28" s="381" t="s">
        <v>2480</v>
      </c>
      <c r="C28" s="573">
        <v>1</v>
      </c>
      <c r="D28" s="394">
        <v>100</v>
      </c>
      <c r="E28" s="573">
        <v>1</v>
      </c>
      <c r="F28" s="420">
        <f>SUMIF(92:92,E28,93:93)-SUMIF(92:92,C28,93:93)+100</f>
        <v>100</v>
      </c>
      <c r="G28" s="573">
        <v>1</v>
      </c>
      <c r="H28" s="394">
        <f>SUMIF(92:92,G28,93:93)-SUMIF(92:92,C28,93:93)+100</f>
        <v>100</v>
      </c>
      <c r="I28" s="573">
        <v>1</v>
      </c>
      <c r="J28" s="394">
        <f>SUMIF(92:92,I28,93:93)-SUMIF(92:92,C28,93:93)+100</f>
        <v>100</v>
      </c>
      <c r="K28" s="570"/>
      <c r="L28" s="2949"/>
      <c r="M28" s="2943"/>
      <c r="N28" s="2943"/>
      <c r="O28" s="2943"/>
      <c r="P28" s="3808"/>
      <c r="Q28" s="1536" t="str">
        <f t="shared" si="8"/>
        <v>楼层</v>
      </c>
      <c r="R28" s="714" t="s">
        <v>17</v>
      </c>
      <c r="S28" s="715">
        <f t="shared" ref="S28:S46" si="9">F28</f>
        <v>100</v>
      </c>
      <c r="T28" s="714" t="s">
        <v>17</v>
      </c>
      <c r="U28" s="715">
        <f t="shared" ref="U28:U46" si="10">H28</f>
        <v>100</v>
      </c>
      <c r="V28" s="714" t="s">
        <v>17</v>
      </c>
      <c r="W28" s="715">
        <f t="shared" ref="W28:W46" si="11">J28</f>
        <v>100</v>
      </c>
      <c r="X28" s="1539"/>
      <c r="Y28" s="3801"/>
      <c r="Z28" s="1540" t="str">
        <f t="shared" ref="Z28:Z46" si="12">Q28</f>
        <v>楼层</v>
      </c>
      <c r="AA28" s="1537">
        <f t="shared" si="3"/>
        <v>1</v>
      </c>
      <c r="AB28" s="1537">
        <f t="shared" si="4"/>
        <v>1</v>
      </c>
      <c r="AC28" s="1537">
        <f t="shared" si="5"/>
        <v>1</v>
      </c>
    </row>
    <row r="29" spans="1:29" ht="15" hidden="1">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49"/>
      <c r="M29" s="2943"/>
      <c r="N29" s="2943"/>
      <c r="O29" s="2943"/>
      <c r="P29" s="3808"/>
      <c r="Q29" s="1536">
        <f t="shared" si="8"/>
        <v>111</v>
      </c>
      <c r="R29" s="714" t="s">
        <v>17</v>
      </c>
      <c r="S29" s="715">
        <f t="shared" si="9"/>
        <v>100</v>
      </c>
      <c r="T29" s="714" t="s">
        <v>17</v>
      </c>
      <c r="U29" s="715">
        <f t="shared" si="10"/>
        <v>100</v>
      </c>
      <c r="V29" s="714" t="s">
        <v>17</v>
      </c>
      <c r="W29" s="715">
        <f t="shared" si="11"/>
        <v>100</v>
      </c>
      <c r="X29" s="1539"/>
      <c r="Y29" s="3801"/>
      <c r="Z29" s="1540">
        <f t="shared" si="12"/>
        <v>111</v>
      </c>
      <c r="AA29" s="1537">
        <f t="shared" si="3"/>
        <v>1</v>
      </c>
      <c r="AB29" s="1537">
        <f t="shared" si="4"/>
        <v>1</v>
      </c>
      <c r="AC29" s="1537">
        <f t="shared" si="5"/>
        <v>1</v>
      </c>
    </row>
    <row r="30" spans="1:29" ht="15" hidden="1">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49"/>
      <c r="M30" s="2943"/>
      <c r="N30" s="2943"/>
      <c r="O30" s="2943"/>
      <c r="P30" s="3808"/>
      <c r="Q30" s="1536">
        <f t="shared" si="8"/>
        <v>111</v>
      </c>
      <c r="R30" s="714" t="s">
        <v>17</v>
      </c>
      <c r="S30" s="715">
        <f t="shared" si="9"/>
        <v>100</v>
      </c>
      <c r="T30" s="714" t="s">
        <v>17</v>
      </c>
      <c r="U30" s="715">
        <f t="shared" si="10"/>
        <v>100</v>
      </c>
      <c r="V30" s="714" t="s">
        <v>17</v>
      </c>
      <c r="W30" s="715">
        <f t="shared" si="11"/>
        <v>100</v>
      </c>
      <c r="X30" s="1539"/>
      <c r="Y30" s="3801"/>
      <c r="Z30" s="1540">
        <f t="shared" si="12"/>
        <v>111</v>
      </c>
      <c r="AA30" s="1537">
        <f t="shared" si="3"/>
        <v>1</v>
      </c>
      <c r="AB30" s="1537">
        <f t="shared" si="4"/>
        <v>1</v>
      </c>
      <c r="AC30" s="1537">
        <f t="shared" si="5"/>
        <v>1</v>
      </c>
    </row>
    <row r="31" spans="1:29" ht="15.75" hidden="1"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49"/>
      <c r="M31" s="2943"/>
      <c r="N31" s="2943"/>
      <c r="O31" s="2943"/>
      <c r="P31" s="3808"/>
      <c r="Q31" s="1536">
        <f t="shared" si="8"/>
        <v>111</v>
      </c>
      <c r="R31" s="714" t="s">
        <v>17</v>
      </c>
      <c r="S31" s="715">
        <f t="shared" si="9"/>
        <v>100</v>
      </c>
      <c r="T31" s="714" t="s">
        <v>17</v>
      </c>
      <c r="U31" s="715">
        <f t="shared" si="10"/>
        <v>100</v>
      </c>
      <c r="V31" s="714" t="s">
        <v>17</v>
      </c>
      <c r="W31" s="715">
        <f t="shared" si="11"/>
        <v>100</v>
      </c>
      <c r="X31" s="1539"/>
      <c r="Y31" s="3801"/>
      <c r="Z31" s="1540">
        <f t="shared" si="12"/>
        <v>111</v>
      </c>
      <c r="AA31" s="1537">
        <f t="shared" si="3"/>
        <v>1</v>
      </c>
      <c r="AB31" s="1537">
        <f t="shared" si="4"/>
        <v>1</v>
      </c>
      <c r="AC31" s="1537">
        <f t="shared" si="5"/>
        <v>1</v>
      </c>
    </row>
    <row r="32" spans="1:29" ht="15">
      <c r="A32" s="399" t="s">
        <v>2384</v>
      </c>
      <c r="B32" s="67" t="s">
        <v>2481</v>
      </c>
      <c r="C32" s="2096" t="s">
        <v>4191</v>
      </c>
      <c r="D32" s="426">
        <v>100</v>
      </c>
      <c r="E32" s="2096" t="s">
        <v>4043</v>
      </c>
      <c r="F32" s="420">
        <f>SUMIF(100:100,E32,101:101)-SUMIF(100:100,C32,101:101)+100</f>
        <v>103</v>
      </c>
      <c r="G32" s="2096" t="s">
        <v>4043</v>
      </c>
      <c r="H32" s="394">
        <f>SUMIF(100:100,G32,101:101)-SUMIF(100:100,C32,101:101)+100</f>
        <v>103</v>
      </c>
      <c r="I32" s="2096" t="s">
        <v>4191</v>
      </c>
      <c r="J32" s="426">
        <f>SUMIF(100:100,I32,101:101)-SUMIF(100:100,C32,101:101)+100</f>
        <v>100</v>
      </c>
      <c r="K32" s="569">
        <v>3</v>
      </c>
      <c r="L32" s="2949"/>
      <c r="M32" s="2943"/>
      <c r="N32" s="2943"/>
      <c r="O32" s="2943"/>
      <c r="P32" s="3802" t="s">
        <v>2386</v>
      </c>
      <c r="Q32" s="1536" t="str">
        <f t="shared" si="8"/>
        <v>商业类型</v>
      </c>
      <c r="R32" s="714" t="s">
        <v>17</v>
      </c>
      <c r="S32" s="715">
        <f t="shared" si="9"/>
        <v>103</v>
      </c>
      <c r="T32" s="714" t="s">
        <v>17</v>
      </c>
      <c r="U32" s="715">
        <f t="shared" si="10"/>
        <v>103</v>
      </c>
      <c r="V32" s="714" t="s">
        <v>17</v>
      </c>
      <c r="W32" s="715">
        <f t="shared" si="11"/>
        <v>100</v>
      </c>
      <c r="X32" s="1539"/>
      <c r="Y32" s="3805" t="s">
        <v>2386</v>
      </c>
      <c r="Z32" s="1540" t="str">
        <f t="shared" si="12"/>
        <v>商业类型</v>
      </c>
      <c r="AA32" s="1537">
        <f t="shared" si="3"/>
        <v>0.970873786407767</v>
      </c>
      <c r="AB32" s="1537">
        <f t="shared" si="4"/>
        <v>0.970873786407767</v>
      </c>
      <c r="AC32" s="1537">
        <f t="shared" si="5"/>
        <v>1</v>
      </c>
    </row>
    <row r="33" spans="1:29" s="430" customFormat="1" ht="15" hidden="1">
      <c r="A33" s="427"/>
      <c r="B33" s="381" t="s">
        <v>2387</v>
      </c>
      <c r="C33" s="428">
        <f>面积表及结果!E2+面积表及结果!E3+面积表及结果!E4</f>
        <v>3839.16</v>
      </c>
      <c r="D33" s="132">
        <v>100</v>
      </c>
      <c r="E33" s="389">
        <f>'案例-租金'!N18</f>
        <v>381.99</v>
      </c>
      <c r="F33" s="384">
        <f>LOOKUP(E33,103:103,104:104)-LOOKUP(C33,103:103,104:104)+100</f>
        <v>100</v>
      </c>
      <c r="G33" s="388">
        <v>86000</v>
      </c>
      <c r="H33" s="132">
        <f>LOOKUP(G33,103:103,104:104)-LOOKUP(C33,103:103,104:104)+100</f>
        <v>100</v>
      </c>
      <c r="I33" s="388">
        <v>4300</v>
      </c>
      <c r="J33" s="132">
        <f>LOOKUP(I33,103:103,104:104)-LOOKUP(C33,103:103,104:104)+100</f>
        <v>100</v>
      </c>
      <c r="K33" s="570"/>
      <c r="L33" s="2948"/>
      <c r="M33" s="2950"/>
      <c r="N33" s="2950"/>
      <c r="O33" s="2950"/>
      <c r="P33" s="3803"/>
      <c r="Q33" s="716" t="str">
        <f t="shared" si="8"/>
        <v>项目建筑规模</v>
      </c>
      <c r="R33" s="717" t="s">
        <v>17</v>
      </c>
      <c r="S33" s="718">
        <f t="shared" si="9"/>
        <v>100</v>
      </c>
      <c r="T33" s="717" t="s">
        <v>17</v>
      </c>
      <c r="U33" s="718">
        <f t="shared" si="10"/>
        <v>100</v>
      </c>
      <c r="V33" s="717" t="s">
        <v>17</v>
      </c>
      <c r="W33" s="718">
        <f t="shared" si="11"/>
        <v>100</v>
      </c>
      <c r="X33" s="719"/>
      <c r="Y33" s="3805"/>
      <c r="Z33" s="720" t="str">
        <f t="shared" si="12"/>
        <v>项目建筑规模</v>
      </c>
      <c r="AA33" s="1537">
        <f t="shared" si="3"/>
        <v>1</v>
      </c>
      <c r="AB33" s="1537">
        <f t="shared" si="4"/>
        <v>1</v>
      </c>
      <c r="AC33" s="1537">
        <f t="shared" si="5"/>
        <v>1</v>
      </c>
    </row>
    <row r="34" spans="1:29" ht="15">
      <c r="A34" s="431"/>
      <c r="B34" s="381" t="s">
        <v>2388</v>
      </c>
      <c r="C34" s="2098" t="s">
        <v>3499</v>
      </c>
      <c r="D34" s="394">
        <v>100</v>
      </c>
      <c r="E34" s="2098" t="s">
        <v>3499</v>
      </c>
      <c r="F34" s="420">
        <f>SUMIF(105:105,E34,106:106)-SUMIF(105:105,C34,106:106)+100</f>
        <v>100</v>
      </c>
      <c r="G34" s="2098" t="s">
        <v>3499</v>
      </c>
      <c r="H34" s="394">
        <f>SUMIF(105:105,G34,106:106)-SUMIF(105:105,C34,106:106)+100</f>
        <v>100</v>
      </c>
      <c r="I34" s="2098" t="s">
        <v>3499</v>
      </c>
      <c r="J34" s="394">
        <f>SUMIF(105:105,I34,106:106)-SUMIF(105:105,C34,106:106)+100</f>
        <v>100</v>
      </c>
      <c r="K34" s="569">
        <v>2</v>
      </c>
      <c r="L34" s="2949"/>
      <c r="M34" s="2943"/>
      <c r="N34" s="2943"/>
      <c r="O34" s="2943"/>
      <c r="P34" s="3803"/>
      <c r="Q34" s="1536" t="str">
        <f t="shared" si="8"/>
        <v>建筑结构</v>
      </c>
      <c r="R34" s="714" t="s">
        <v>17</v>
      </c>
      <c r="S34" s="715">
        <f t="shared" si="9"/>
        <v>100</v>
      </c>
      <c r="T34" s="714" t="s">
        <v>17</v>
      </c>
      <c r="U34" s="715">
        <f t="shared" si="10"/>
        <v>100</v>
      </c>
      <c r="V34" s="714" t="s">
        <v>17</v>
      </c>
      <c r="W34" s="715">
        <f t="shared" si="11"/>
        <v>100</v>
      </c>
      <c r="X34" s="1539"/>
      <c r="Y34" s="3805"/>
      <c r="Z34" s="1540" t="str">
        <f t="shared" si="12"/>
        <v>建筑结构</v>
      </c>
      <c r="AA34" s="1537">
        <f t="shared" si="3"/>
        <v>1</v>
      </c>
      <c r="AB34" s="1537">
        <f t="shared" si="4"/>
        <v>1</v>
      </c>
      <c r="AC34" s="1537">
        <f t="shared" si="5"/>
        <v>1</v>
      </c>
    </row>
    <row r="35" spans="1:29" ht="15">
      <c r="A35" s="431"/>
      <c r="B35" s="381" t="s">
        <v>2482</v>
      </c>
      <c r="C35" s="2092" t="s">
        <v>3503</v>
      </c>
      <c r="D35" s="394">
        <v>100</v>
      </c>
      <c r="E35" s="2092" t="s">
        <v>3500</v>
      </c>
      <c r="F35" s="420">
        <f>SUMIF(107:107,E35,108:108)-SUMIF(107:107,C35,108:108)+100</f>
        <v>104</v>
      </c>
      <c r="G35" s="2092" t="s">
        <v>3500</v>
      </c>
      <c r="H35" s="394">
        <f>SUMIF(107:107,G35,108:108)-SUMIF(107:107,C35,108:108)+100</f>
        <v>104</v>
      </c>
      <c r="I35" s="2092" t="s">
        <v>3500</v>
      </c>
      <c r="J35" s="394">
        <f>SUMIF(107:107,I35,108:108)-SUMIF(107:107,C35,108:108)+100</f>
        <v>104</v>
      </c>
      <c r="K35" s="569">
        <v>2</v>
      </c>
      <c r="L35" s="2949"/>
      <c r="M35" s="2943"/>
      <c r="N35" s="2943"/>
      <c r="O35" s="2943"/>
      <c r="P35" s="3803"/>
      <c r="Q35" s="1536" t="str">
        <f t="shared" si="8"/>
        <v>公共部分装修</v>
      </c>
      <c r="R35" s="714" t="s">
        <v>17</v>
      </c>
      <c r="S35" s="715">
        <f t="shared" si="9"/>
        <v>104</v>
      </c>
      <c r="T35" s="714" t="s">
        <v>17</v>
      </c>
      <c r="U35" s="715">
        <f t="shared" si="10"/>
        <v>104</v>
      </c>
      <c r="V35" s="714" t="s">
        <v>17</v>
      </c>
      <c r="W35" s="715">
        <f t="shared" si="11"/>
        <v>104</v>
      </c>
      <c r="X35" s="1539"/>
      <c r="Y35" s="3805"/>
      <c r="Z35" s="1540" t="str">
        <f t="shared" si="12"/>
        <v>公共部分装修</v>
      </c>
      <c r="AA35" s="1537">
        <f t="shared" si="3"/>
        <v>0.96153846153846156</v>
      </c>
      <c r="AB35" s="1537">
        <f t="shared" si="4"/>
        <v>0.96153846153846156</v>
      </c>
      <c r="AC35" s="1537">
        <f t="shared" si="5"/>
        <v>0.96153846153846156</v>
      </c>
    </row>
    <row r="36" spans="1:29" ht="15" hidden="1">
      <c r="A36" s="431"/>
      <c r="B36" s="381" t="s">
        <v>2483</v>
      </c>
      <c r="C36" s="433">
        <v>0.8</v>
      </c>
      <c r="D36" s="394">
        <v>100</v>
      </c>
      <c r="E36" s="433">
        <v>0.8</v>
      </c>
      <c r="F36" s="420">
        <f>LOOKUP(E36,110:110,111:111)-LOOKUP(C36,110:110,111:111)+100</f>
        <v>100</v>
      </c>
      <c r="G36" s="433">
        <f>1-(2021-2010)/60</f>
        <v>0.81666666666666665</v>
      </c>
      <c r="H36" s="420">
        <f>LOOKUP(G36,110:110,111:111)-LOOKUP(C36,110:110,111:111)+100</f>
        <v>100</v>
      </c>
      <c r="I36" s="433">
        <f>1-(2021-2015)/60</f>
        <v>0.9</v>
      </c>
      <c r="J36" s="394">
        <f>LOOKUP(I36,110:110,111:111)-LOOKUP(C36,110:110,111:111)+100</f>
        <v>100</v>
      </c>
      <c r="K36" s="569">
        <v>0</v>
      </c>
      <c r="L36" s="2949"/>
      <c r="M36" s="2943"/>
      <c r="N36" s="2943"/>
      <c r="O36" s="2943"/>
      <c r="P36" s="3803"/>
      <c r="Q36" s="1536" t="str">
        <f t="shared" si="8"/>
        <v>成新度</v>
      </c>
      <c r="R36" s="714" t="s">
        <v>17</v>
      </c>
      <c r="S36" s="715">
        <f t="shared" si="9"/>
        <v>100</v>
      </c>
      <c r="T36" s="714" t="s">
        <v>17</v>
      </c>
      <c r="U36" s="715">
        <f t="shared" si="10"/>
        <v>100</v>
      </c>
      <c r="V36" s="714" t="s">
        <v>17</v>
      </c>
      <c r="W36" s="715">
        <f t="shared" si="11"/>
        <v>100</v>
      </c>
      <c r="X36" s="1539"/>
      <c r="Y36" s="3805"/>
      <c r="Z36" s="1540" t="str">
        <f t="shared" si="12"/>
        <v>成新度</v>
      </c>
      <c r="AA36" s="1537">
        <f t="shared" si="3"/>
        <v>1</v>
      </c>
      <c r="AB36" s="1537">
        <f t="shared" si="4"/>
        <v>1</v>
      </c>
      <c r="AC36" s="1537">
        <f t="shared" si="5"/>
        <v>1</v>
      </c>
    </row>
    <row r="37" spans="1:29" s="113" customFormat="1" ht="15" hidden="1">
      <c r="A37" s="432"/>
      <c r="B37" s="381" t="s">
        <v>2484</v>
      </c>
      <c r="C37" s="2092" t="s">
        <v>3475</v>
      </c>
      <c r="D37" s="132">
        <v>100</v>
      </c>
      <c r="E37" s="2092" t="s">
        <v>3475</v>
      </c>
      <c r="F37" s="420">
        <f>SUMIF(112:112,E37,113:113)-SUMIF(112:112,C37,113:113)+100</f>
        <v>100</v>
      </c>
      <c r="G37" s="2092" t="s">
        <v>3475</v>
      </c>
      <c r="H37" s="394">
        <f>SUMIF(112:112,G37,113:113)-SUMIF(112:112,C37,113:113)+100</f>
        <v>100</v>
      </c>
      <c r="I37" s="2092" t="s">
        <v>3475</v>
      </c>
      <c r="J37" s="394">
        <f>SUMIF(112:112,I37,113:113)-SUMIF(112:112,C37,113:113)+100</f>
        <v>100</v>
      </c>
      <c r="K37" s="569">
        <v>2</v>
      </c>
      <c r="L37" s="2944"/>
      <c r="M37" s="2945"/>
      <c r="N37" s="2945"/>
      <c r="O37" s="2945"/>
      <c r="P37" s="3803"/>
      <c r="Q37" s="1527" t="str">
        <f t="shared" si="8"/>
        <v>市政基础设施</v>
      </c>
      <c r="R37" s="710" t="s">
        <v>17</v>
      </c>
      <c r="S37" s="711">
        <f t="shared" si="9"/>
        <v>100</v>
      </c>
      <c r="T37" s="710" t="s">
        <v>17</v>
      </c>
      <c r="U37" s="711">
        <f t="shared" si="10"/>
        <v>100</v>
      </c>
      <c r="V37" s="710" t="s">
        <v>17</v>
      </c>
      <c r="W37" s="711">
        <f t="shared" si="11"/>
        <v>100</v>
      </c>
      <c r="X37" s="712"/>
      <c r="Y37" s="3805"/>
      <c r="Z37" s="55" t="str">
        <f t="shared" si="12"/>
        <v>市政基础设施</v>
      </c>
      <c r="AA37" s="713">
        <f t="shared" si="3"/>
        <v>1</v>
      </c>
      <c r="AB37" s="713">
        <f t="shared" si="4"/>
        <v>1</v>
      </c>
      <c r="AC37" s="713">
        <f t="shared" si="5"/>
        <v>1</v>
      </c>
    </row>
    <row r="38" spans="1:29" ht="15" hidden="1">
      <c r="A38" s="431"/>
      <c r="B38" s="381" t="s">
        <v>2485</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49"/>
      <c r="M38" s="2943"/>
      <c r="N38" s="2943"/>
      <c r="O38" s="2943"/>
      <c r="P38" s="3803" t="s">
        <v>2386</v>
      </c>
      <c r="Q38" s="1536" t="str">
        <f t="shared" si="8"/>
        <v>业态</v>
      </c>
      <c r="R38" s="714" t="s">
        <v>17</v>
      </c>
      <c r="S38" s="715">
        <f t="shared" si="9"/>
        <v>100</v>
      </c>
      <c r="T38" s="714" t="s">
        <v>17</v>
      </c>
      <c r="U38" s="715">
        <f t="shared" si="10"/>
        <v>100</v>
      </c>
      <c r="V38" s="714" t="s">
        <v>17</v>
      </c>
      <c r="W38" s="715">
        <f t="shared" si="11"/>
        <v>100</v>
      </c>
      <c r="X38" s="1539"/>
      <c r="Y38" s="3805" t="s">
        <v>2386</v>
      </c>
      <c r="Z38" s="1540" t="str">
        <f t="shared" si="12"/>
        <v>业态</v>
      </c>
      <c r="AA38" s="1537">
        <f t="shared" si="3"/>
        <v>1</v>
      </c>
      <c r="AB38" s="1537">
        <f t="shared" si="4"/>
        <v>1</v>
      </c>
      <c r="AC38" s="1537">
        <f t="shared" si="5"/>
        <v>1</v>
      </c>
    </row>
    <row r="39" spans="1:29" ht="15" hidden="1">
      <c r="A39" s="431"/>
      <c r="B39" s="381" t="s">
        <v>2486</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49"/>
      <c r="M39" s="2943"/>
      <c r="N39" s="2943"/>
      <c r="O39" s="2943"/>
      <c r="P39" s="3803"/>
      <c r="Q39" s="1536" t="str">
        <f t="shared" si="8"/>
        <v>层高</v>
      </c>
      <c r="R39" s="714" t="s">
        <v>17</v>
      </c>
      <c r="S39" s="715">
        <f t="shared" si="9"/>
        <v>100</v>
      </c>
      <c r="T39" s="714" t="s">
        <v>17</v>
      </c>
      <c r="U39" s="715">
        <f t="shared" si="10"/>
        <v>100</v>
      </c>
      <c r="V39" s="714" t="s">
        <v>17</v>
      </c>
      <c r="W39" s="715">
        <f t="shared" si="11"/>
        <v>100</v>
      </c>
      <c r="X39" s="1539"/>
      <c r="Y39" s="3805"/>
      <c r="Z39" s="1540" t="str">
        <f t="shared" si="12"/>
        <v>层高</v>
      </c>
      <c r="AA39" s="1537">
        <f t="shared" si="3"/>
        <v>1</v>
      </c>
      <c r="AB39" s="1537">
        <f t="shared" si="4"/>
        <v>1</v>
      </c>
      <c r="AC39" s="1537">
        <f t="shared" si="5"/>
        <v>1</v>
      </c>
    </row>
    <row r="40" spans="1:29" ht="15">
      <c r="A40" s="431"/>
      <c r="B40" s="381" t="s">
        <v>2487</v>
      </c>
      <c r="C40" s="428">
        <f>C33</f>
        <v>3839.16</v>
      </c>
      <c r="D40" s="394">
        <v>100</v>
      </c>
      <c r="E40" s="428">
        <f>'案例-租金'!N17</f>
        <v>227.5</v>
      </c>
      <c r="F40" s="420">
        <f>SUMIF(118:118,E40,119:119)-SUMIF(118:118,C40,119:119)+100</f>
        <v>102</v>
      </c>
      <c r="G40" s="428">
        <f>'案例-租金'!N20</f>
        <v>673.84999999999991</v>
      </c>
      <c r="H40" s="394">
        <f>SUMIF(118:118,G40,119:119)-SUMIF(118:118,C40,119:119)+100</f>
        <v>101</v>
      </c>
      <c r="I40" s="428">
        <f>'案例-租金'!N21</f>
        <v>130</v>
      </c>
      <c r="J40" s="394">
        <f>SUMIF(118:118,I40,119:119)-SUMIF(118:118,C40,119:119)+100</f>
        <v>102</v>
      </c>
      <c r="K40" s="570"/>
      <c r="L40" s="2949"/>
      <c r="M40" s="2943"/>
      <c r="N40" s="2943"/>
      <c r="O40" s="2943"/>
      <c r="P40" s="3803"/>
      <c r="Q40" s="1536" t="str">
        <f t="shared" si="8"/>
        <v>单套建筑面积</v>
      </c>
      <c r="R40" s="714" t="s">
        <v>17</v>
      </c>
      <c r="S40" s="715">
        <f t="shared" si="9"/>
        <v>102</v>
      </c>
      <c r="T40" s="714" t="s">
        <v>17</v>
      </c>
      <c r="U40" s="715">
        <f t="shared" si="10"/>
        <v>101</v>
      </c>
      <c r="V40" s="714" t="s">
        <v>17</v>
      </c>
      <c r="W40" s="715">
        <f t="shared" si="11"/>
        <v>102</v>
      </c>
      <c r="X40" s="1539"/>
      <c r="Y40" s="3805"/>
      <c r="Z40" s="1540" t="str">
        <f t="shared" si="12"/>
        <v>单套建筑面积</v>
      </c>
      <c r="AA40" s="1537">
        <f t="shared" si="3"/>
        <v>0.98039215686274506</v>
      </c>
      <c r="AB40" s="1537">
        <f t="shared" si="4"/>
        <v>0.99009900990099009</v>
      </c>
      <c r="AC40" s="1537">
        <f t="shared" si="5"/>
        <v>0.98039215686274506</v>
      </c>
    </row>
    <row r="41" spans="1:29" s="430" customFormat="1" ht="15" hidden="1">
      <c r="A41" s="427"/>
      <c r="B41" s="1538"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8"/>
      <c r="M41" s="2950"/>
      <c r="N41" s="2950"/>
      <c r="O41" s="2950"/>
      <c r="P41" s="3803"/>
      <c r="Q41" s="716" t="str">
        <f t="shared" si="8"/>
        <v>进深比</v>
      </c>
      <c r="R41" s="717" t="s">
        <v>17</v>
      </c>
      <c r="S41" s="718">
        <f t="shared" si="9"/>
        <v>100</v>
      </c>
      <c r="T41" s="717" t="s">
        <v>17</v>
      </c>
      <c r="U41" s="718">
        <f t="shared" si="10"/>
        <v>100</v>
      </c>
      <c r="V41" s="717" t="s">
        <v>17</v>
      </c>
      <c r="W41" s="718">
        <f t="shared" si="11"/>
        <v>100</v>
      </c>
      <c r="X41" s="719"/>
      <c r="Y41" s="3805"/>
      <c r="Z41" s="720" t="str">
        <f t="shared" si="12"/>
        <v>进深比</v>
      </c>
      <c r="AA41" s="1537">
        <f t="shared" si="3"/>
        <v>1</v>
      </c>
      <c r="AB41" s="1537">
        <f t="shared" si="4"/>
        <v>1</v>
      </c>
      <c r="AC41" s="1537">
        <f t="shared" si="5"/>
        <v>1</v>
      </c>
    </row>
    <row r="42" spans="1:29" ht="15" hidden="1">
      <c r="A42" s="431"/>
      <c r="B42" s="381" t="s">
        <v>2489</v>
      </c>
      <c r="C42" s="2092" t="s">
        <v>3503</v>
      </c>
      <c r="D42" s="394">
        <v>100</v>
      </c>
      <c r="E42" s="2092" t="s">
        <v>3503</v>
      </c>
      <c r="F42" s="420">
        <f>SUMIF(122:122,E42,123:123)-SUMIF(122:122,C42,123:123)+100</f>
        <v>100</v>
      </c>
      <c r="G42" s="2092" t="s">
        <v>3503</v>
      </c>
      <c r="H42" s="394">
        <f>SUMIF(122:122,G42,123:123)-SUMIF(122:122,C42,123:123)+100</f>
        <v>100</v>
      </c>
      <c r="I42" s="2092" t="s">
        <v>3500</v>
      </c>
      <c r="J42" s="394">
        <f>SUMIF(122:122,I42,123:123)-SUMIF(122:122,C42,123:123)+100</f>
        <v>100</v>
      </c>
      <c r="K42" s="569">
        <v>0</v>
      </c>
      <c r="L42" s="2949"/>
      <c r="M42" s="2943"/>
      <c r="N42" s="2943"/>
      <c r="O42" s="2943"/>
      <c r="P42" s="3803"/>
      <c r="Q42" s="1536" t="str">
        <f t="shared" si="8"/>
        <v>内部装修</v>
      </c>
      <c r="R42" s="714" t="s">
        <v>17</v>
      </c>
      <c r="S42" s="715">
        <f t="shared" si="9"/>
        <v>100</v>
      </c>
      <c r="T42" s="714" t="s">
        <v>17</v>
      </c>
      <c r="U42" s="715">
        <f t="shared" si="10"/>
        <v>100</v>
      </c>
      <c r="V42" s="714" t="s">
        <v>17</v>
      </c>
      <c r="W42" s="715">
        <f t="shared" si="11"/>
        <v>100</v>
      </c>
      <c r="X42" s="1539"/>
      <c r="Y42" s="3805"/>
      <c r="Z42" s="1540" t="str">
        <f t="shared" si="12"/>
        <v>内部装修</v>
      </c>
      <c r="AA42" s="1537">
        <f t="shared" si="3"/>
        <v>1</v>
      </c>
      <c r="AB42" s="1537">
        <f t="shared" si="4"/>
        <v>1</v>
      </c>
      <c r="AC42" s="1537">
        <f t="shared" si="5"/>
        <v>1</v>
      </c>
    </row>
    <row r="43" spans="1:29" ht="15" hidden="1">
      <c r="A43" s="431"/>
      <c r="B43" s="381" t="s">
        <v>2397</v>
      </c>
      <c r="C43" s="2092" t="s">
        <v>3094</v>
      </c>
      <c r="D43" s="394">
        <v>100</v>
      </c>
      <c r="E43" s="2092" t="s">
        <v>3094</v>
      </c>
      <c r="F43" s="420">
        <f>SUMIF(124:124,E43,125:125)-SUMIF(124:124,C43,125:125)+100</f>
        <v>100</v>
      </c>
      <c r="G43" s="2092" t="s">
        <v>3094</v>
      </c>
      <c r="H43" s="394">
        <f>SUMIF(124:124,G43,125:125)-SUMIF(124:124,C43,125:125)+100</f>
        <v>100</v>
      </c>
      <c r="I43" s="2092" t="s">
        <v>3094</v>
      </c>
      <c r="J43" s="394">
        <f>SUMIF(124:124,I43,125:125)-SUMIF(124:124,C43,125:125)+100</f>
        <v>100</v>
      </c>
      <c r="K43" s="569">
        <v>2</v>
      </c>
      <c r="L43" s="2949"/>
      <c r="M43" s="2943"/>
      <c r="N43" s="2943"/>
      <c r="O43" s="2943"/>
      <c r="P43" s="3803"/>
      <c r="Q43" s="1536" t="str">
        <f t="shared" si="8"/>
        <v>内部装修维护情况</v>
      </c>
      <c r="R43" s="714" t="s">
        <v>17</v>
      </c>
      <c r="S43" s="715">
        <f t="shared" si="9"/>
        <v>100</v>
      </c>
      <c r="T43" s="714" t="s">
        <v>17</v>
      </c>
      <c r="U43" s="715">
        <f t="shared" si="10"/>
        <v>100</v>
      </c>
      <c r="V43" s="714" t="s">
        <v>17</v>
      </c>
      <c r="W43" s="715">
        <f t="shared" si="11"/>
        <v>100</v>
      </c>
      <c r="X43" s="1539"/>
      <c r="Y43" s="3805"/>
      <c r="Z43" s="1540" t="str">
        <f t="shared" si="12"/>
        <v>内部装修维护情况</v>
      </c>
      <c r="AA43" s="1537">
        <f t="shared" si="3"/>
        <v>1</v>
      </c>
      <c r="AB43" s="1537">
        <f t="shared" si="4"/>
        <v>1</v>
      </c>
      <c r="AC43" s="1537">
        <f t="shared" si="5"/>
        <v>1</v>
      </c>
    </row>
    <row r="44" spans="1:29" s="113" customFormat="1" ht="15">
      <c r="A44" s="432"/>
      <c r="B44" s="3378" t="s">
        <v>4136</v>
      </c>
      <c r="C44" s="3379" t="s">
        <v>4137</v>
      </c>
      <c r="D44" s="132">
        <v>100</v>
      </c>
      <c r="E44" s="3184" t="s">
        <v>4195</v>
      </c>
      <c r="F44" s="384">
        <f>SUMIF(126:126,E44,127:127)-SUMIF(126:126,C44,127:127)+100</f>
        <v>102</v>
      </c>
      <c r="G44" s="3184" t="s">
        <v>4138</v>
      </c>
      <c r="H44" s="132">
        <f>SUMIF(126:126,G44,127:127)-SUMIF(126:126,C44,127:127)+100</f>
        <v>102</v>
      </c>
      <c r="I44" s="3184" t="s">
        <v>4138</v>
      </c>
      <c r="J44" s="132">
        <f>SUMIF(126:126,I44,127:127)-SUMIF(126:126,C44,127:127)+100</f>
        <v>102</v>
      </c>
      <c r="K44" s="570"/>
      <c r="L44" s="2944"/>
      <c r="M44" s="2945"/>
      <c r="N44" s="2945"/>
      <c r="O44" s="2945"/>
      <c r="P44" s="3803"/>
      <c r="Q44" s="1527" t="str">
        <f t="shared" si="8"/>
        <v>租赁类型</v>
      </c>
      <c r="R44" s="710" t="s">
        <v>17</v>
      </c>
      <c r="S44" s="711">
        <f t="shared" si="9"/>
        <v>102</v>
      </c>
      <c r="T44" s="710" t="s">
        <v>17</v>
      </c>
      <c r="U44" s="711">
        <f t="shared" si="10"/>
        <v>102</v>
      </c>
      <c r="V44" s="710" t="s">
        <v>17</v>
      </c>
      <c r="W44" s="711">
        <f t="shared" si="11"/>
        <v>102</v>
      </c>
      <c r="X44" s="712"/>
      <c r="Y44" s="3805"/>
      <c r="Z44" s="55" t="str">
        <f t="shared" si="12"/>
        <v>租赁类型</v>
      </c>
      <c r="AA44" s="713">
        <f t="shared" si="3"/>
        <v>0.98039215686274506</v>
      </c>
      <c r="AB44" s="713">
        <f t="shared" si="4"/>
        <v>0.98039215686274506</v>
      </c>
      <c r="AC44" s="713">
        <f t="shared" si="5"/>
        <v>0.98039215686274506</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9"/>
      <c r="M45" s="2943"/>
      <c r="N45" s="2943"/>
      <c r="O45" s="2943"/>
      <c r="P45" s="3803"/>
      <c r="Q45" s="1536">
        <f t="shared" si="8"/>
        <v>111</v>
      </c>
      <c r="R45" s="714" t="s">
        <v>17</v>
      </c>
      <c r="S45" s="715">
        <f t="shared" si="9"/>
        <v>100</v>
      </c>
      <c r="T45" s="714" t="s">
        <v>17</v>
      </c>
      <c r="U45" s="715">
        <f t="shared" si="10"/>
        <v>100</v>
      </c>
      <c r="V45" s="714" t="s">
        <v>17</v>
      </c>
      <c r="W45" s="715">
        <f t="shared" si="11"/>
        <v>100</v>
      </c>
      <c r="X45" s="1539"/>
      <c r="Y45" s="3805"/>
      <c r="Z45" s="1540">
        <f t="shared" si="12"/>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9"/>
      <c r="M46" s="2943"/>
      <c r="N46" s="2943"/>
      <c r="O46" s="2943"/>
      <c r="P46" s="3804"/>
      <c r="Q46" s="1536">
        <f t="shared" si="8"/>
        <v>111</v>
      </c>
      <c r="R46" s="714" t="s">
        <v>17</v>
      </c>
      <c r="S46" s="715">
        <f t="shared" si="9"/>
        <v>100</v>
      </c>
      <c r="T46" s="714" t="s">
        <v>17</v>
      </c>
      <c r="U46" s="715">
        <f t="shared" si="10"/>
        <v>100</v>
      </c>
      <c r="V46" s="714" t="s">
        <v>17</v>
      </c>
      <c r="W46" s="715">
        <f t="shared" si="11"/>
        <v>100</v>
      </c>
      <c r="X46" s="1539"/>
      <c r="Y46" s="3806"/>
      <c r="Z46" s="1540">
        <f t="shared" si="12"/>
        <v>111</v>
      </c>
      <c r="AA46" s="1537">
        <f t="shared" si="3"/>
        <v>1</v>
      </c>
      <c r="AB46" s="1537">
        <f t="shared" si="4"/>
        <v>1</v>
      </c>
      <c r="AC46" s="1537">
        <f t="shared" si="5"/>
        <v>1</v>
      </c>
    </row>
    <row r="47" spans="1:29" ht="15">
      <c r="A47" s="438" t="s">
        <v>2398</v>
      </c>
      <c r="B47" s="439"/>
      <c r="C47" s="1316" t="s">
        <v>1</v>
      </c>
      <c r="D47" s="1317"/>
      <c r="E47" s="1318">
        <f>'案例-租金'!O17</f>
        <v>16.100000000000001</v>
      </c>
      <c r="F47" s="1319"/>
      <c r="G47" s="1320">
        <f>ROUND('案例-租金'!O20,1)</f>
        <v>16</v>
      </c>
      <c r="H47" s="1321"/>
      <c r="I47" s="1318">
        <f>ROUND('案例-租金'!O21,1)</f>
        <v>17.600000000000001</v>
      </c>
      <c r="J47" s="1321"/>
      <c r="K47" s="723"/>
      <c r="L47" s="2951"/>
      <c r="M47" s="2952"/>
      <c r="N47" s="2943"/>
      <c r="O47" s="2952"/>
      <c r="P47" s="3798" t="str">
        <f>A47</f>
        <v>成交单价（元/平方米）</v>
      </c>
      <c r="Q47" s="3798"/>
      <c r="R47" s="3793">
        <f>E47</f>
        <v>16.100000000000001</v>
      </c>
      <c r="S47" s="3793"/>
      <c r="T47" s="3793">
        <f>G47</f>
        <v>16</v>
      </c>
      <c r="U47" s="3793"/>
      <c r="V47" s="3793">
        <f>I47</f>
        <v>17.600000000000001</v>
      </c>
      <c r="W47" s="3793"/>
      <c r="X47" s="699"/>
      <c r="Y47" s="721"/>
      <c r="Z47" s="699"/>
      <c r="AA47" s="699"/>
      <c r="AB47" s="699"/>
      <c r="AC47" s="699"/>
    </row>
    <row r="48" spans="1:29" ht="15.75" thickBot="1">
      <c r="A48" s="445" t="s">
        <v>2490</v>
      </c>
      <c r="B48" s="446"/>
      <c r="C48" s="1322">
        <f>R49</f>
        <v>19.399999999999999</v>
      </c>
      <c r="D48" s="2538" t="s">
        <v>2877</v>
      </c>
      <c r="E48" s="1323">
        <f>R48</f>
        <v>17.399999999999999</v>
      </c>
      <c r="F48" s="2539"/>
      <c r="G48" s="1322">
        <f>T48</f>
        <v>19.899999999999999</v>
      </c>
      <c r="H48" s="2539"/>
      <c r="I48" s="1323">
        <f>V48</f>
        <v>20.8</v>
      </c>
      <c r="J48" s="2539"/>
      <c r="K48" s="2541">
        <f>F48+H48+J48</f>
        <v>0</v>
      </c>
      <c r="L48" s="2951"/>
      <c r="M48" s="2952"/>
      <c r="N48" s="2943"/>
      <c r="O48" s="2952"/>
      <c r="P48" s="3798" t="str">
        <f>A48</f>
        <v>比较价值（元/平方米）</v>
      </c>
      <c r="Q48" s="3798"/>
      <c r="R48" s="3799">
        <f>IF(F1="售价",ROUND(PRODUCT(R47,AA7:AA46),0),ROUND(PRODUCT(R47,AA7:AA46),1))</f>
        <v>17.399999999999999</v>
      </c>
      <c r="S48" s="3799"/>
      <c r="T48" s="3799">
        <f>IF(F1="售价",ROUND(PRODUCT(T47,AB7:AB46),0),ROUND(PRODUCT(T47,AB7:AB46),1))</f>
        <v>19.899999999999999</v>
      </c>
      <c r="U48" s="3799"/>
      <c r="V48" s="3799">
        <f>IF(F1="售价",ROUND(PRODUCT(V47,AC7:AC46),0),ROUND(PRODUCT(V47,AC7:AC46),1))</f>
        <v>20.8</v>
      </c>
      <c r="W48" s="3799"/>
      <c r="X48" s="699"/>
      <c r="Y48" s="699"/>
      <c r="Z48" s="699"/>
      <c r="AA48" s="699"/>
      <c r="AB48" s="699"/>
      <c r="AC48" s="699"/>
    </row>
    <row r="49" spans="1:29" ht="15.75" thickBot="1">
      <c r="A49" s="449" t="s">
        <v>2491</v>
      </c>
      <c r="B49" s="450"/>
      <c r="C49" s="1325">
        <f>R49</f>
        <v>19.399999999999999</v>
      </c>
      <c r="D49" s="1325"/>
      <c r="E49" s="1325"/>
      <c r="F49" s="1325"/>
      <c r="G49" s="1325"/>
      <c r="H49" s="1325"/>
      <c r="I49" s="1325"/>
      <c r="J49" s="1325"/>
      <c r="K49" s="724"/>
      <c r="L49" s="2951"/>
      <c r="M49" s="2952"/>
      <c r="N49" s="2943"/>
      <c r="O49" s="2952"/>
      <c r="P49" s="3795" t="str">
        <f>A49</f>
        <v>估价对象XX用房的比较价值（楼面单价，元/平方米）</v>
      </c>
      <c r="Q49" s="3796"/>
      <c r="R49" s="3797">
        <f>IF(F1="售价",ROUND(IF(D48="简单平均",AVERAGE(R48:V48),R48*F48+T48*H48+V48*J48),0),ROUND(IF(D48="简单平均",AVERAGE(R48:V48),R48*F48+T48*H48+V48*J48),1))</f>
        <v>19.399999999999999</v>
      </c>
      <c r="S49" s="3797"/>
      <c r="T49" s="3797"/>
      <c r="U49" s="3797"/>
      <c r="V49" s="3797"/>
      <c r="W49" s="3797"/>
      <c r="X49" s="699"/>
      <c r="Y49" s="699"/>
      <c r="Z49" s="699"/>
      <c r="AA49" s="699"/>
      <c r="AB49" s="699"/>
      <c r="AC49" s="699"/>
    </row>
    <row r="50" spans="1:29">
      <c r="A50" s="2952"/>
      <c r="B50" s="2952"/>
      <c r="C50" s="2952"/>
      <c r="D50" s="2952"/>
      <c r="E50" s="2952"/>
      <c r="F50" s="2952"/>
      <c r="G50" s="2956">
        <v>20.100000000000001</v>
      </c>
      <c r="H50" s="2952"/>
      <c r="I50" s="2952">
        <v>2015</v>
      </c>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4" t="s">
        <v>2492</v>
      </c>
      <c r="D52" s="455"/>
      <c r="E52" s="456">
        <f>IF(E47&lt;E48,E48/E47-1,E47/E48-1)</f>
        <v>8.0745341614906652E-2</v>
      </c>
      <c r="F52" s="457" t="str">
        <f>IF(OR(E52&gt;=0.3,E52&lt;=-0.3),"超过30%","")</f>
        <v/>
      </c>
      <c r="G52" s="456">
        <f>IF(G47&lt;G48,G48/G47-1,G47/G48-1)</f>
        <v>0.24374999999999991</v>
      </c>
      <c r="H52" s="457" t="str">
        <f>IF(OR(G52&gt;=0.3,G52&lt;=-0.3),"超过30%","")</f>
        <v/>
      </c>
      <c r="I52" s="456">
        <f>IF(I47&lt;I48,I48/I47-1,I47/I48-1)</f>
        <v>0.18181818181818166</v>
      </c>
      <c r="J52" s="457" t="str">
        <f>IF(OR(I52&gt;=0.3,I52&lt;=-0.3),"超过30%","")</f>
        <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4" t="s">
        <v>2493</v>
      </c>
      <c r="D53" s="458"/>
      <c r="E53" s="456">
        <f>IF(E48&lt;G48,G48/E48-1,E48/G48-1)</f>
        <v>0.14367816091954033</v>
      </c>
      <c r="F53" s="457" t="str">
        <f>IF(OR(E53&gt;=0.2,E53&lt;=-0.2),"超过20%","")</f>
        <v/>
      </c>
      <c r="G53" s="456">
        <f>IF(G48&lt;I48,I48/G48-1,G48/I48-1)</f>
        <v>4.5226130653266416E-2</v>
      </c>
      <c r="H53" s="457" t="str">
        <f>IF(OR(G53&gt;=0.2,G53&lt;=-0.2),"超过20%","")</f>
        <v/>
      </c>
      <c r="I53" s="456">
        <f>IF(I48&lt;E48,E48/I48-1,I48/E48-1)</f>
        <v>0.19540229885057481</v>
      </c>
      <c r="J53" s="457" t="str">
        <f>IF(OR(I53&gt;=0.2,I53&lt;=-0.2),"超过20%","")</f>
        <v/>
      </c>
      <c r="K53" s="2957"/>
      <c r="L53" s="2953"/>
      <c r="M53" s="2952"/>
      <c r="N53" s="2952"/>
      <c r="O53" s="2952"/>
      <c r="P53" s="2963"/>
      <c r="Q53" s="2952"/>
      <c r="R53" s="2952"/>
      <c r="S53" s="2952"/>
      <c r="T53" s="2952"/>
      <c r="U53" s="2952"/>
      <c r="V53" s="2952"/>
      <c r="W53" s="2952"/>
      <c r="X53" s="2952"/>
      <c r="Y53" s="2952"/>
      <c r="Z53" s="2952"/>
      <c r="AA53" s="2952"/>
      <c r="AB53" s="2952"/>
      <c r="AC53" s="2952"/>
    </row>
    <row r="54" spans="1:29" s="459" customFormat="1" ht="13.5" customHeight="1">
      <c r="A54" s="2955"/>
      <c r="B54" s="2955"/>
      <c r="C54" s="454" t="s">
        <v>2494</v>
      </c>
      <c r="D54" s="458"/>
      <c r="E54" s="456">
        <f>IF(E47&lt;G47,G47/E47-1,E47/G47-1)</f>
        <v>6.2500000000000888E-3</v>
      </c>
      <c r="F54" s="457" t="str">
        <f>IF(OR(E54&gt;=0.3,E54&lt;=-0.3),"超过30%","")</f>
        <v/>
      </c>
      <c r="G54" s="456">
        <f>IF(G47&lt;I47,I47/G47-1,G47/I47-1)</f>
        <v>0.10000000000000009</v>
      </c>
      <c r="H54" s="457" t="str">
        <f>IF(OR(G54&gt;=0.3,G54&lt;=-0.3),"超过30%","")</f>
        <v/>
      </c>
      <c r="I54" s="456">
        <f>IF(I47&lt;E47,E47/I47-1,I47/E47-1)</f>
        <v>9.3167701863354102E-2</v>
      </c>
      <c r="J54" s="457" t="str">
        <f>IF(OR(I54&gt;=0.3,I54&lt;=-0.3),"超过30%","")</f>
        <v/>
      </c>
      <c r="K54" s="2960"/>
      <c r="L54" s="2954"/>
      <c r="M54" s="2955"/>
      <c r="N54" s="2955"/>
      <c r="O54" s="2955"/>
      <c r="P54" s="2964"/>
      <c r="Q54" s="2955"/>
      <c r="R54" s="2955"/>
      <c r="S54" s="2955"/>
      <c r="T54" s="2955"/>
      <c r="U54" s="2955"/>
      <c r="V54" s="2955"/>
      <c r="W54" s="2955"/>
      <c r="X54" s="2955"/>
      <c r="Y54" s="2955"/>
      <c r="Z54" s="2955"/>
      <c r="AA54" s="2955"/>
      <c r="AB54" s="2955"/>
      <c r="AC54" s="2955"/>
    </row>
    <row r="55" spans="1:29" s="459"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1.75" thickBot="1">
      <c r="A57" s="703" t="s">
        <v>2495</v>
      </c>
      <c r="B57" s="699"/>
      <c r="C57" s="704"/>
      <c r="D57" s="704"/>
      <c r="E57" s="704"/>
      <c r="F57" s="705"/>
      <c r="G57" s="705"/>
      <c r="H57" s="704"/>
      <c r="I57" s="704"/>
      <c r="J57" s="704"/>
      <c r="K57" s="706"/>
      <c r="L57" s="1073"/>
      <c r="M57" s="1071"/>
      <c r="N57" s="1071"/>
      <c r="O57" s="1071"/>
      <c r="P57" s="2965"/>
      <c r="Q57" s="2966"/>
      <c r="R57" s="2952"/>
      <c r="S57" s="2952"/>
      <c r="T57" s="2952"/>
      <c r="U57" s="2952"/>
      <c r="V57" s="2952"/>
      <c r="W57" s="2952"/>
      <c r="X57" s="2952"/>
      <c r="Y57" s="2952"/>
      <c r="Z57" s="2952"/>
      <c r="AA57" s="2952"/>
      <c r="AB57" s="2952"/>
      <c r="AC57" s="2952"/>
    </row>
    <row r="58" spans="1:29" s="465" customFormat="1" ht="15">
      <c r="A58" s="462" t="s">
        <v>2369</v>
      </c>
      <c r="B58" s="463"/>
      <c r="C58" s="1346" t="str">
        <f>YEAR(C7)&amp;"-"&amp;MONTH(C7)</f>
        <v>2017-6</v>
      </c>
      <c r="D58" s="1347">
        <f>EDATE(C58,-1)</f>
        <v>42856</v>
      </c>
      <c r="E58" s="1347">
        <f t="shared" ref="E58:N58" si="13">EDATE(D58,-1)</f>
        <v>42826</v>
      </c>
      <c r="F58" s="1347">
        <f t="shared" si="13"/>
        <v>42795</v>
      </c>
      <c r="G58" s="1347">
        <f t="shared" si="13"/>
        <v>42767</v>
      </c>
      <c r="H58" s="1347">
        <f t="shared" si="13"/>
        <v>42736</v>
      </c>
      <c r="I58" s="1347">
        <f t="shared" si="13"/>
        <v>42705</v>
      </c>
      <c r="J58" s="1347">
        <f t="shared" si="13"/>
        <v>42675</v>
      </c>
      <c r="K58" s="1347">
        <f t="shared" si="13"/>
        <v>42644</v>
      </c>
      <c r="L58" s="1347">
        <f t="shared" si="13"/>
        <v>42614</v>
      </c>
      <c r="M58" s="1347">
        <f t="shared" si="13"/>
        <v>42583</v>
      </c>
      <c r="N58" s="1347">
        <f t="shared" si="13"/>
        <v>42552</v>
      </c>
      <c r="O58" s="1347">
        <f>EDATE(N58,-1)</f>
        <v>42522</v>
      </c>
      <c r="P58" s="2967"/>
      <c r="Q58" s="2968"/>
      <c r="R58" s="2968"/>
      <c r="S58" s="2968"/>
      <c r="T58" s="2968"/>
      <c r="U58" s="2968"/>
      <c r="V58" s="2968"/>
      <c r="W58" s="2968"/>
      <c r="X58" s="2968"/>
      <c r="Y58" s="2968"/>
      <c r="Z58" s="2968"/>
      <c r="AA58" s="2968"/>
      <c r="AB58" s="2968"/>
      <c r="AC58" s="2968"/>
    </row>
    <row r="59" spans="1:29" s="113" customFormat="1" ht="15">
      <c r="A59" s="466"/>
      <c r="B59" s="467"/>
      <c r="C59" s="1345">
        <v>100</v>
      </c>
      <c r="D59" s="469">
        <f>'比较法租金-办公'!D60</f>
        <v>100</v>
      </c>
      <c r="E59" s="469">
        <f>'比较法租金-办公'!E60</f>
        <v>100</v>
      </c>
      <c r="F59" s="469">
        <v>100</v>
      </c>
      <c r="G59" s="469">
        <v>100</v>
      </c>
      <c r="H59" s="469">
        <v>100</v>
      </c>
      <c r="I59" s="469">
        <v>98</v>
      </c>
      <c r="J59" s="469">
        <v>98</v>
      </c>
      <c r="K59" s="469">
        <v>98</v>
      </c>
      <c r="L59" s="469">
        <v>98</v>
      </c>
      <c r="M59" s="469">
        <v>98</v>
      </c>
      <c r="N59" s="469">
        <v>98</v>
      </c>
      <c r="O59" s="470"/>
      <c r="P59" s="2969"/>
      <c r="Q59" s="2886"/>
      <c r="R59" s="2886"/>
      <c r="S59" s="2886"/>
      <c r="T59" s="2886"/>
      <c r="U59" s="2886"/>
      <c r="V59" s="2886"/>
      <c r="W59" s="2886"/>
      <c r="X59" s="2886"/>
      <c r="Y59" s="2886"/>
      <c r="Z59" s="2886"/>
      <c r="AA59" s="2886"/>
      <c r="AB59" s="2886"/>
      <c r="AC59" s="2886"/>
    </row>
    <row r="60" spans="1:29" s="113" customFormat="1" ht="15.75" thickBot="1">
      <c r="A60" s="472" t="s">
        <v>2406</v>
      </c>
      <c r="B60" s="473"/>
      <c r="C60" s="474"/>
      <c r="D60" s="475"/>
      <c r="E60" s="475"/>
      <c r="F60" s="475"/>
      <c r="G60" s="475"/>
      <c r="H60" s="475"/>
      <c r="I60" s="475"/>
      <c r="J60" s="475"/>
      <c r="K60" s="475"/>
      <c r="L60" s="475"/>
      <c r="M60" s="476"/>
      <c r="N60" s="475"/>
      <c r="O60" s="476"/>
      <c r="P60" s="2969"/>
      <c r="Q60" s="2966"/>
      <c r="R60" s="2886"/>
      <c r="S60" s="2886"/>
      <c r="T60" s="2886"/>
      <c r="U60" s="2886"/>
      <c r="V60" s="2886"/>
      <c r="W60" s="2886"/>
      <c r="X60" s="2886"/>
      <c r="Y60" s="2886"/>
      <c r="Z60" s="2886"/>
      <c r="AA60" s="2886"/>
      <c r="AB60" s="2886"/>
      <c r="AC60" s="2886"/>
    </row>
    <row r="61" spans="1:29" s="113" customFormat="1" ht="15">
      <c r="A61" s="478" t="s">
        <v>2371</v>
      </c>
      <c r="B61" s="467"/>
      <c r="C61" s="479" t="s">
        <v>2473</v>
      </c>
      <c r="D61" s="480"/>
      <c r="E61" s="480"/>
      <c r="F61" s="480"/>
      <c r="G61" s="480"/>
      <c r="H61" s="480"/>
      <c r="I61" s="480"/>
      <c r="J61" s="480"/>
      <c r="K61" s="480"/>
      <c r="L61" s="481"/>
      <c r="M61" s="482"/>
      <c r="N61" s="2979"/>
      <c r="O61" s="2979"/>
      <c r="P61" s="2970"/>
      <c r="Q61" s="2966"/>
      <c r="R61" s="2886"/>
      <c r="S61" s="2886"/>
      <c r="T61" s="2886"/>
      <c r="U61" s="2886"/>
      <c r="V61" s="2886"/>
      <c r="W61" s="2886"/>
      <c r="X61" s="2886"/>
      <c r="Y61" s="2886"/>
      <c r="Z61" s="2886"/>
      <c r="AA61" s="2886"/>
      <c r="AB61" s="2886"/>
      <c r="AC61" s="2886"/>
    </row>
    <row r="62" spans="1:29" s="113" customFormat="1" ht="15.75" thickBot="1">
      <c r="A62" s="478"/>
      <c r="B62" s="467"/>
      <c r="C62" s="468">
        <v>100</v>
      </c>
      <c r="D62" s="469"/>
      <c r="E62" s="469"/>
      <c r="F62" s="469"/>
      <c r="G62" s="469"/>
      <c r="H62" s="469"/>
      <c r="I62" s="469"/>
      <c r="J62" s="469"/>
      <c r="K62" s="469"/>
      <c r="L62" s="469"/>
      <c r="M62" s="471"/>
      <c r="N62" s="2979"/>
      <c r="O62" s="2979"/>
      <c r="P62" s="2969"/>
      <c r="Q62" s="2966"/>
      <c r="R62" s="2886"/>
      <c r="S62" s="2886"/>
      <c r="T62" s="2886"/>
      <c r="U62" s="2886"/>
      <c r="V62" s="2886"/>
      <c r="W62" s="2886"/>
      <c r="X62" s="2886"/>
      <c r="Y62" s="2886"/>
      <c r="Z62" s="2886"/>
      <c r="AA62" s="2886"/>
      <c r="AB62" s="2886"/>
      <c r="AC62" s="2886"/>
    </row>
    <row r="63" spans="1:29">
      <c r="A63" s="484" t="s">
        <v>2409</v>
      </c>
      <c r="B63" s="485" t="s">
        <v>2375</v>
      </c>
      <c r="C63" s="486" t="str">
        <f>C9</f>
        <v>商业</v>
      </c>
      <c r="D63" s="487"/>
      <c r="E63" s="487"/>
      <c r="F63" s="487"/>
      <c r="G63" s="487"/>
      <c r="H63" s="487"/>
      <c r="I63" s="487"/>
      <c r="J63" s="487"/>
      <c r="K63" s="488"/>
      <c r="L63" s="489"/>
      <c r="M63" s="490"/>
      <c r="N63" s="2980"/>
      <c r="O63" s="2980"/>
      <c r="P63" s="2971"/>
      <c r="Q63" s="2966"/>
      <c r="R63" s="2952"/>
      <c r="S63" s="2952"/>
      <c r="T63" s="2952"/>
      <c r="U63" s="2952"/>
      <c r="V63" s="2952"/>
      <c r="W63" s="2952"/>
      <c r="X63" s="2952"/>
      <c r="Y63" s="2952"/>
      <c r="Z63" s="2952"/>
      <c r="AA63" s="2952"/>
      <c r="AB63" s="2952"/>
      <c r="AC63" s="2952"/>
    </row>
    <row r="64" spans="1:29" ht="15.75" thickBot="1">
      <c r="A64" s="491"/>
      <c r="B64" s="492"/>
      <c r="C64" s="493">
        <v>100</v>
      </c>
      <c r="D64" s="493"/>
      <c r="E64" s="493"/>
      <c r="F64" s="493"/>
      <c r="G64" s="493"/>
      <c r="H64" s="493"/>
      <c r="I64" s="493"/>
      <c r="J64" s="493"/>
      <c r="K64" s="493"/>
      <c r="L64" s="493"/>
      <c r="M64" s="494"/>
      <c r="N64" s="2981"/>
      <c r="O64" s="2981"/>
      <c r="P64" s="2971"/>
      <c r="Q64" s="2966"/>
      <c r="R64" s="2952"/>
      <c r="S64" s="2952"/>
      <c r="T64" s="2952"/>
      <c r="U64" s="2952"/>
      <c r="V64" s="2952"/>
      <c r="W64" s="2952"/>
      <c r="X64" s="2952"/>
      <c r="Y64" s="2952"/>
      <c r="Z64" s="2952"/>
      <c r="AA64" s="2952"/>
      <c r="AB64" s="2952"/>
      <c r="AC64" s="2952"/>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0"/>
      <c r="O65" s="2980"/>
      <c r="P65" s="2971"/>
      <c r="Q65" s="2966"/>
      <c r="R65" s="2952"/>
      <c r="S65" s="2952"/>
      <c r="T65" s="2952"/>
      <c r="U65" s="2952"/>
      <c r="V65" s="2952"/>
      <c r="W65" s="2952"/>
      <c r="X65" s="2952"/>
      <c r="Y65" s="2952"/>
      <c r="Z65" s="2952"/>
      <c r="AA65" s="2952"/>
      <c r="AB65" s="2952"/>
      <c r="AC65" s="295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1"/>
      <c r="O66" s="2981"/>
      <c r="P66" s="2971"/>
      <c r="Q66" s="2966"/>
      <c r="R66" s="2952"/>
      <c r="S66" s="2952"/>
      <c r="T66" s="2952"/>
      <c r="U66" s="2952"/>
      <c r="V66" s="2952"/>
      <c r="W66" s="2952"/>
      <c r="X66" s="2952"/>
      <c r="Y66" s="2952"/>
      <c r="Z66" s="2952"/>
      <c r="AA66" s="2952"/>
      <c r="AB66" s="2952"/>
      <c r="AC66" s="2952"/>
    </row>
    <row r="67" spans="1:29" ht="15.75" thickTop="1">
      <c r="A67" s="491"/>
      <c r="B67" s="503" t="s">
        <v>2379</v>
      </c>
      <c r="C67" s="504" t="str">
        <f>C68&amp;"（含）"&amp;"-"&amp;D68</f>
        <v>0（含）-1</v>
      </c>
      <c r="D67" s="504" t="str">
        <f t="shared" ref="D67:L67" si="14">D68&amp;"（含）"&amp;"-"&amp;E68</f>
        <v>1（含）-2</v>
      </c>
      <c r="E67" s="504" t="str">
        <f t="shared" si="14"/>
        <v>2（含）-3</v>
      </c>
      <c r="F67" s="504" t="str">
        <f t="shared" si="14"/>
        <v>3（含）-</v>
      </c>
      <c r="G67" s="504" t="str">
        <f t="shared" si="14"/>
        <v>（含）-</v>
      </c>
      <c r="H67" s="504" t="str">
        <f t="shared" si="14"/>
        <v>（含）-</v>
      </c>
      <c r="I67" s="504" t="str">
        <f t="shared" si="14"/>
        <v>（含）-</v>
      </c>
      <c r="J67" s="504" t="str">
        <f t="shared" si="14"/>
        <v>（含）-</v>
      </c>
      <c r="K67" s="504" t="str">
        <f t="shared" si="14"/>
        <v>（含）-</v>
      </c>
      <c r="L67" s="504" t="str">
        <f t="shared" si="14"/>
        <v>（含）-</v>
      </c>
      <c r="M67" s="407" t="str">
        <f>M68&amp;"（含）"&amp;"-"&amp;P68</f>
        <v>（含）-</v>
      </c>
      <c r="N67" s="2981"/>
      <c r="O67" s="2981"/>
      <c r="P67" s="2971"/>
      <c r="Q67" s="2966"/>
      <c r="R67" s="2952"/>
      <c r="S67" s="2952"/>
      <c r="T67" s="2952"/>
      <c r="U67" s="2952"/>
      <c r="V67" s="2952"/>
      <c r="W67" s="2952"/>
      <c r="X67" s="2952"/>
      <c r="Y67" s="2952"/>
      <c r="Z67" s="2952"/>
      <c r="AA67" s="2952"/>
      <c r="AB67" s="2952"/>
      <c r="AC67" s="2952"/>
    </row>
    <row r="68" spans="1:29" ht="15">
      <c r="A68" s="491"/>
      <c r="B68" s="505"/>
      <c r="C68" s="506">
        <v>0</v>
      </c>
      <c r="D68" s="506">
        <v>1</v>
      </c>
      <c r="E68" s="506">
        <v>2</v>
      </c>
      <c r="F68" s="506">
        <v>3</v>
      </c>
      <c r="G68" s="506"/>
      <c r="H68" s="506"/>
      <c r="I68" s="506"/>
      <c r="J68" s="506"/>
      <c r="K68" s="507"/>
      <c r="L68" s="508"/>
      <c r="M68" s="509"/>
      <c r="N68" s="2980"/>
      <c r="O68" s="2980"/>
      <c r="P68" s="2971"/>
      <c r="Q68" s="2966"/>
      <c r="R68" s="2952"/>
      <c r="S68" s="2952"/>
      <c r="T68" s="2952"/>
      <c r="U68" s="2952"/>
      <c r="V68" s="2952"/>
      <c r="W68" s="2952"/>
      <c r="X68" s="2952"/>
      <c r="Y68" s="2952"/>
      <c r="Z68" s="2952"/>
      <c r="AA68" s="2952"/>
      <c r="AB68" s="2952"/>
      <c r="AC68" s="2952"/>
    </row>
    <row r="69" spans="1:29" ht="15.75" thickBot="1">
      <c r="A69" s="491"/>
      <c r="B69" s="492"/>
      <c r="C69" s="501">
        <v>100</v>
      </c>
      <c r="D69" s="501">
        <f t="shared" ref="D69:M69" si="15">C69-$K11</f>
        <v>100</v>
      </c>
      <c r="E69" s="501">
        <f t="shared" si="15"/>
        <v>100</v>
      </c>
      <c r="F69" s="501">
        <f t="shared" si="15"/>
        <v>100</v>
      </c>
      <c r="G69" s="501">
        <f t="shared" si="15"/>
        <v>100</v>
      </c>
      <c r="H69" s="501">
        <f t="shared" si="15"/>
        <v>100</v>
      </c>
      <c r="I69" s="501">
        <f t="shared" si="15"/>
        <v>100</v>
      </c>
      <c r="J69" s="501">
        <f t="shared" si="15"/>
        <v>100</v>
      </c>
      <c r="K69" s="501">
        <f t="shared" si="15"/>
        <v>100</v>
      </c>
      <c r="L69" s="501">
        <f t="shared" si="15"/>
        <v>100</v>
      </c>
      <c r="M69" s="502">
        <f t="shared" si="15"/>
        <v>100</v>
      </c>
      <c r="N69" s="2981"/>
      <c r="O69" s="2981"/>
      <c r="P69" s="2971"/>
      <c r="Q69" s="2966"/>
      <c r="R69" s="2952"/>
      <c r="S69" s="2952"/>
      <c r="T69" s="2952"/>
      <c r="U69" s="2952"/>
      <c r="V69" s="2952"/>
      <c r="W69" s="2952"/>
      <c r="X69" s="2952"/>
      <c r="Y69" s="2952"/>
      <c r="Z69" s="2952"/>
      <c r="AA69" s="2952"/>
      <c r="AB69" s="2952"/>
      <c r="AC69" s="2952"/>
    </row>
    <row r="70" spans="1:29" s="430" customFormat="1" ht="15.75" thickTop="1">
      <c r="A70" s="510"/>
      <c r="B70" s="495" t="str">
        <f>B12</f>
        <v>租期</v>
      </c>
      <c r="C70" s="511">
        <v>3</v>
      </c>
      <c r="D70" s="511">
        <v>8</v>
      </c>
      <c r="E70" s="511">
        <v>10</v>
      </c>
      <c r="F70" s="511">
        <v>15</v>
      </c>
      <c r="G70" s="511"/>
      <c r="H70" s="512"/>
      <c r="I70" s="512"/>
      <c r="J70" s="512"/>
      <c r="K70" s="512"/>
      <c r="L70" s="513"/>
      <c r="M70" s="514"/>
      <c r="N70" s="2982"/>
      <c r="O70" s="2982"/>
      <c r="P70" s="2972"/>
      <c r="Q70" s="2973"/>
      <c r="R70" s="2974"/>
      <c r="S70" s="2974"/>
      <c r="T70" s="2974"/>
      <c r="U70" s="2974"/>
      <c r="V70" s="2974"/>
      <c r="W70" s="2974"/>
      <c r="X70" s="2974"/>
      <c r="Y70" s="2974"/>
      <c r="Z70" s="2974"/>
      <c r="AA70" s="2974"/>
      <c r="AB70" s="2974"/>
      <c r="AC70" s="2974"/>
    </row>
    <row r="71" spans="1:29" s="430" customFormat="1" ht="15.75" thickBot="1">
      <c r="A71" s="510"/>
      <c r="B71" s="500"/>
      <c r="C71" s="517">
        <v>100</v>
      </c>
      <c r="D71" s="493">
        <v>98</v>
      </c>
      <c r="E71" s="493">
        <v>98</v>
      </c>
      <c r="F71" s="493">
        <v>96</v>
      </c>
      <c r="G71" s="493"/>
      <c r="H71" s="493"/>
      <c r="I71" s="493"/>
      <c r="J71" s="493"/>
      <c r="K71" s="493"/>
      <c r="L71" s="493"/>
      <c r="M71" s="494"/>
      <c r="N71" s="2981"/>
      <c r="O71" s="2981"/>
      <c r="P71" s="2972"/>
      <c r="Q71" s="2973"/>
      <c r="R71" s="2974"/>
      <c r="S71" s="2974"/>
      <c r="T71" s="2974"/>
      <c r="U71" s="2974"/>
      <c r="V71" s="2974"/>
      <c r="W71" s="2974"/>
      <c r="X71" s="2974"/>
      <c r="Y71" s="2974"/>
      <c r="Z71" s="2974"/>
      <c r="AA71" s="2974"/>
      <c r="AB71" s="2974"/>
      <c r="AC71" s="2974"/>
    </row>
    <row r="72" spans="1:29" s="430" customFormat="1" ht="15.75" thickTop="1">
      <c r="A72" s="510"/>
      <c r="B72" s="495" t="str">
        <f>B13</f>
        <v>产权/统一经营</v>
      </c>
      <c r="C72" s="3168" t="s">
        <v>4189</v>
      </c>
      <c r="D72" s="3168" t="s">
        <v>4190</v>
      </c>
      <c r="E72" s="511"/>
      <c r="F72" s="511"/>
      <c r="G72" s="511"/>
      <c r="H72" s="512"/>
      <c r="I72" s="512"/>
      <c r="J72" s="512"/>
      <c r="K72" s="512"/>
      <c r="L72" s="513"/>
      <c r="M72" s="514"/>
      <c r="N72" s="2982"/>
      <c r="O72" s="2982"/>
      <c r="P72" s="2975"/>
      <c r="Q72" s="2976"/>
      <c r="R72" s="2974"/>
      <c r="S72" s="2974"/>
      <c r="T72" s="2974"/>
      <c r="U72" s="2974"/>
      <c r="V72" s="2974"/>
      <c r="W72" s="2974"/>
      <c r="X72" s="2974"/>
      <c r="Y72" s="2974"/>
      <c r="Z72" s="2974"/>
      <c r="AA72" s="2974"/>
      <c r="AB72" s="2974"/>
      <c r="AC72" s="2974"/>
    </row>
    <row r="73" spans="1:29" s="430" customFormat="1" ht="15.75" thickBot="1">
      <c r="A73" s="510"/>
      <c r="B73" s="500"/>
      <c r="C73" s="517">
        <v>100</v>
      </c>
      <c r="D73" s="493">
        <v>95</v>
      </c>
      <c r="E73" s="493"/>
      <c r="F73" s="493"/>
      <c r="G73" s="517"/>
      <c r="H73" s="519"/>
      <c r="I73" s="519"/>
      <c r="J73" s="519"/>
      <c r="K73" s="519"/>
      <c r="L73" s="519"/>
      <c r="M73" s="520"/>
      <c r="N73" s="2982"/>
      <c r="O73" s="2982"/>
      <c r="P73" s="2972"/>
      <c r="Q73" s="2973"/>
      <c r="R73" s="2974"/>
      <c r="S73" s="2974"/>
      <c r="T73" s="2974"/>
      <c r="U73" s="2974"/>
      <c r="V73" s="2974"/>
      <c r="W73" s="2974"/>
      <c r="X73" s="2974"/>
      <c r="Y73" s="2974"/>
      <c r="Z73" s="2974"/>
      <c r="AA73" s="2974"/>
      <c r="AB73" s="2974"/>
      <c r="AC73" s="2974"/>
    </row>
    <row r="74" spans="1:29" s="430" customFormat="1" ht="15.75" thickTop="1">
      <c r="A74" s="510"/>
      <c r="B74" s="503">
        <f>B14</f>
        <v>111</v>
      </c>
      <c r="C74" s="511"/>
      <c r="D74" s="511"/>
      <c r="E74" s="511"/>
      <c r="F74" s="511"/>
      <c r="G74" s="480"/>
      <c r="H74" s="521"/>
      <c r="I74" s="521"/>
      <c r="J74" s="521"/>
      <c r="K74" s="521"/>
      <c r="L74" s="522"/>
      <c r="M74" s="523"/>
      <c r="N74" s="2982"/>
      <c r="O74" s="2982"/>
      <c r="P74" s="2977"/>
      <c r="Q74" s="2973"/>
      <c r="R74" s="2974"/>
      <c r="S74" s="2974"/>
      <c r="T74" s="2974"/>
      <c r="U74" s="2974"/>
      <c r="V74" s="2974"/>
      <c r="W74" s="2974"/>
      <c r="X74" s="2974"/>
      <c r="Y74" s="2974"/>
      <c r="Z74" s="2974"/>
      <c r="AA74" s="2974"/>
      <c r="AB74" s="2974"/>
      <c r="AC74" s="2974"/>
    </row>
    <row r="75" spans="1:29" s="430" customFormat="1" ht="15.75" thickBot="1">
      <c r="A75" s="525"/>
      <c r="B75" s="526"/>
      <c r="C75" s="527"/>
      <c r="D75" s="527"/>
      <c r="E75" s="527"/>
      <c r="F75" s="527"/>
      <c r="G75" s="527"/>
      <c r="H75" s="528"/>
      <c r="I75" s="528"/>
      <c r="J75" s="528"/>
      <c r="K75" s="528"/>
      <c r="L75" s="528"/>
      <c r="M75" s="529"/>
      <c r="N75" s="2982"/>
      <c r="O75" s="2982"/>
      <c r="P75" s="2972"/>
      <c r="Q75" s="2973"/>
      <c r="R75" s="2974"/>
      <c r="S75" s="2974"/>
      <c r="T75" s="2974"/>
      <c r="U75" s="2974"/>
      <c r="V75" s="2974"/>
      <c r="W75" s="2974"/>
      <c r="X75" s="2974"/>
      <c r="Y75" s="2974"/>
      <c r="Z75" s="2974"/>
      <c r="AA75" s="2974"/>
      <c r="AB75" s="2974"/>
      <c r="AC75" s="2974"/>
    </row>
    <row r="76" spans="1:29">
      <c r="A76" s="484" t="s">
        <v>2380</v>
      </c>
      <c r="B76" s="485" t="s">
        <v>2417</v>
      </c>
      <c r="C76" s="530" t="s">
        <v>2418</v>
      </c>
      <c r="D76" s="530" t="s">
        <v>2419</v>
      </c>
      <c r="E76" s="530" t="s">
        <v>2420</v>
      </c>
      <c r="F76" s="530" t="s">
        <v>2421</v>
      </c>
      <c r="G76" s="530" t="s">
        <v>2422</v>
      </c>
      <c r="H76" s="486"/>
      <c r="I76" s="486"/>
      <c r="J76" s="486"/>
      <c r="K76" s="531"/>
      <c r="L76" s="532"/>
      <c r="M76" s="533"/>
      <c r="N76" s="2980"/>
      <c r="O76" s="2980"/>
      <c r="P76" s="2978"/>
      <c r="Q76" s="2966"/>
      <c r="R76" s="2952"/>
      <c r="S76" s="2952"/>
      <c r="T76" s="2952"/>
      <c r="U76" s="2952"/>
      <c r="V76" s="2952"/>
      <c r="W76" s="2952"/>
      <c r="X76" s="2952"/>
      <c r="Y76" s="2952"/>
      <c r="Z76" s="2952"/>
      <c r="AA76" s="2952"/>
      <c r="AB76" s="2952"/>
      <c r="AC76" s="2952"/>
    </row>
    <row r="77" spans="1:29" ht="15.75" thickBot="1">
      <c r="A77" s="491"/>
      <c r="B77" s="500"/>
      <c r="C77" s="501">
        <v>100</v>
      </c>
      <c r="D77" s="501">
        <f>C77-$K15</f>
        <v>97</v>
      </c>
      <c r="E77" s="501">
        <f>D77-$K15</f>
        <v>94</v>
      </c>
      <c r="F77" s="501">
        <f>E77-$K15</f>
        <v>91</v>
      </c>
      <c r="G77" s="501">
        <f>F77-$K15</f>
        <v>88</v>
      </c>
      <c r="H77" s="501"/>
      <c r="I77" s="501"/>
      <c r="J77" s="501"/>
      <c r="K77" s="501"/>
      <c r="L77" s="501"/>
      <c r="M77" s="502"/>
      <c r="N77" s="2981"/>
      <c r="O77" s="2981"/>
      <c r="P77" s="2971"/>
      <c r="Q77" s="2966"/>
      <c r="R77" s="2952"/>
      <c r="S77" s="2952"/>
      <c r="T77" s="2952"/>
      <c r="U77" s="2952"/>
      <c r="V77" s="2952"/>
      <c r="W77" s="2952"/>
      <c r="X77" s="2952"/>
      <c r="Y77" s="2952"/>
      <c r="Z77" s="2952"/>
      <c r="AA77" s="2952"/>
      <c r="AB77" s="2952"/>
      <c r="AC77" s="2952"/>
    </row>
    <row r="78" spans="1:29" ht="15.75" thickTop="1">
      <c r="A78" s="491"/>
      <c r="B78" s="495" t="s">
        <v>2423</v>
      </c>
      <c r="C78" s="535" t="s">
        <v>2418</v>
      </c>
      <c r="D78" s="535" t="s">
        <v>2419</v>
      </c>
      <c r="E78" s="535" t="s">
        <v>2420</v>
      </c>
      <c r="F78" s="535" t="s">
        <v>2421</v>
      </c>
      <c r="G78" s="535" t="s">
        <v>2422</v>
      </c>
      <c r="H78" s="496"/>
      <c r="I78" s="496"/>
      <c r="J78" s="496"/>
      <c r="K78" s="497"/>
      <c r="L78" s="498"/>
      <c r="M78" s="499"/>
      <c r="N78" s="2980"/>
      <c r="O78" s="2980"/>
      <c r="P78" s="2971"/>
      <c r="Q78" s="2966"/>
      <c r="R78" s="2952"/>
      <c r="S78" s="2952"/>
      <c r="T78" s="2952"/>
      <c r="U78" s="2952"/>
      <c r="V78" s="2952"/>
      <c r="W78" s="2952"/>
      <c r="X78" s="2952"/>
      <c r="Y78" s="2952"/>
      <c r="Z78" s="2952"/>
      <c r="AA78" s="2952"/>
      <c r="AB78" s="2952"/>
      <c r="AC78" s="2952"/>
    </row>
    <row r="79" spans="1:29" ht="15.75" thickBot="1">
      <c r="A79" s="491"/>
      <c r="B79" s="500"/>
      <c r="C79" s="501">
        <v>100</v>
      </c>
      <c r="D79" s="501">
        <f>C79-$K17</f>
        <v>97</v>
      </c>
      <c r="E79" s="501">
        <f>D79-$K17</f>
        <v>94</v>
      </c>
      <c r="F79" s="501">
        <f>E79-$K17</f>
        <v>91</v>
      </c>
      <c r="G79" s="501">
        <f>F79-$K17</f>
        <v>88</v>
      </c>
      <c r="H79" s="501"/>
      <c r="I79" s="501"/>
      <c r="J79" s="501"/>
      <c r="K79" s="501"/>
      <c r="L79" s="501"/>
      <c r="M79" s="502"/>
      <c r="N79" s="2981"/>
      <c r="O79" s="2981"/>
      <c r="P79" s="2971"/>
      <c r="Q79" s="2966"/>
      <c r="R79" s="2952"/>
      <c r="S79" s="2952"/>
      <c r="T79" s="2952"/>
      <c r="U79" s="2952"/>
      <c r="V79" s="2952"/>
      <c r="W79" s="2952"/>
      <c r="X79" s="2952"/>
      <c r="Y79" s="2952"/>
      <c r="Z79" s="2952"/>
      <c r="AA79" s="2952"/>
      <c r="AB79" s="2952"/>
      <c r="AC79" s="2952"/>
    </row>
    <row r="80" spans="1:29" ht="15.75" thickTop="1">
      <c r="A80" s="491"/>
      <c r="B80" s="495" t="s">
        <v>2424</v>
      </c>
      <c r="C80" s="535" t="s">
        <v>2418</v>
      </c>
      <c r="D80" s="535" t="s">
        <v>2419</v>
      </c>
      <c r="E80" s="535" t="s">
        <v>2420</v>
      </c>
      <c r="F80" s="535" t="s">
        <v>2421</v>
      </c>
      <c r="G80" s="535" t="s">
        <v>2422</v>
      </c>
      <c r="H80" s="496"/>
      <c r="I80" s="496"/>
      <c r="J80" s="496"/>
      <c r="K80" s="497"/>
      <c r="L80" s="498"/>
      <c r="M80" s="499"/>
      <c r="N80" s="2980"/>
      <c r="O80" s="2980"/>
      <c r="P80" s="2971"/>
      <c r="Q80" s="2966"/>
      <c r="R80" s="2952"/>
      <c r="S80" s="2952"/>
      <c r="T80" s="2952"/>
      <c r="U80" s="2952"/>
      <c r="V80" s="2952"/>
      <c r="W80" s="2952"/>
      <c r="X80" s="2952"/>
      <c r="Y80" s="2952"/>
      <c r="Z80" s="2952"/>
      <c r="AA80" s="2952"/>
      <c r="AB80" s="2952"/>
      <c r="AC80" s="2952"/>
    </row>
    <row r="81" spans="1:29" ht="15.75" thickBot="1">
      <c r="A81" s="491"/>
      <c r="B81" s="500"/>
      <c r="C81" s="501">
        <v>100</v>
      </c>
      <c r="D81" s="501">
        <f>C81-$K19</f>
        <v>98</v>
      </c>
      <c r="E81" s="501">
        <f>D81-$K19</f>
        <v>96</v>
      </c>
      <c r="F81" s="501">
        <f>E81-$K19</f>
        <v>94</v>
      </c>
      <c r="G81" s="501">
        <f>F81-$K19</f>
        <v>92</v>
      </c>
      <c r="H81" s="501"/>
      <c r="I81" s="501"/>
      <c r="J81" s="501"/>
      <c r="K81" s="501"/>
      <c r="L81" s="501"/>
      <c r="M81" s="502"/>
      <c r="N81" s="2981"/>
      <c r="O81" s="2981"/>
      <c r="P81" s="2971"/>
      <c r="Q81" s="2966"/>
      <c r="R81" s="2952"/>
      <c r="S81" s="2952"/>
      <c r="T81" s="2952"/>
      <c r="U81" s="2952"/>
      <c r="V81" s="2952"/>
      <c r="W81" s="2952"/>
      <c r="X81" s="2952"/>
      <c r="Y81" s="2952"/>
      <c r="Z81" s="2952"/>
      <c r="AA81" s="2952"/>
      <c r="AB81" s="2952"/>
      <c r="AC81" s="2952"/>
    </row>
    <row r="82" spans="1:29" ht="15.75" thickTop="1">
      <c r="A82" s="491"/>
      <c r="B82" s="503" t="s">
        <v>2476</v>
      </c>
      <c r="C82" s="616" t="s">
        <v>2496</v>
      </c>
      <c r="D82" s="616" t="s">
        <v>2497</v>
      </c>
      <c r="E82" s="616" t="s">
        <v>2498</v>
      </c>
      <c r="F82" s="616" t="s">
        <v>2499</v>
      </c>
      <c r="G82" s="616" t="s">
        <v>2500</v>
      </c>
      <c r="H82" s="496"/>
      <c r="I82" s="496"/>
      <c r="J82" s="496"/>
      <c r="K82" s="496"/>
      <c r="L82" s="496"/>
      <c r="M82" s="1291"/>
      <c r="N82" s="2981"/>
      <c r="O82" s="2981"/>
      <c r="P82" s="2971"/>
      <c r="Q82" s="2966"/>
      <c r="R82" s="2952"/>
      <c r="S82" s="2952"/>
      <c r="T82" s="2952"/>
      <c r="U82" s="2952"/>
      <c r="V82" s="2952"/>
      <c r="W82" s="2952"/>
      <c r="X82" s="2952"/>
      <c r="Y82" s="2952"/>
      <c r="Z82" s="2952"/>
      <c r="AA82" s="2952"/>
      <c r="AB82" s="2952"/>
      <c r="AC82" s="2952"/>
    </row>
    <row r="83" spans="1:29" ht="15.75" thickBot="1">
      <c r="A83" s="491"/>
      <c r="B83" s="503"/>
      <c r="C83" s="501">
        <v>100</v>
      </c>
      <c r="D83" s="501">
        <f>C83-$K21</f>
        <v>98</v>
      </c>
      <c r="E83" s="501">
        <f>D83-$K21</f>
        <v>96</v>
      </c>
      <c r="F83" s="501">
        <f>E83-$K21</f>
        <v>94</v>
      </c>
      <c r="G83" s="501">
        <f>F83-$K21</f>
        <v>92</v>
      </c>
      <c r="H83" s="616"/>
      <c r="I83" s="616"/>
      <c r="J83" s="616"/>
      <c r="K83" s="616"/>
      <c r="L83" s="616"/>
      <c r="M83" s="409"/>
      <c r="N83" s="2981"/>
      <c r="O83" s="2981"/>
      <c r="P83" s="2971"/>
      <c r="Q83" s="2966"/>
      <c r="R83" s="2952"/>
      <c r="S83" s="2952"/>
      <c r="T83" s="2952"/>
      <c r="U83" s="2952"/>
      <c r="V83" s="2952"/>
      <c r="W83" s="2952"/>
      <c r="X83" s="2952"/>
      <c r="Y83" s="2952"/>
      <c r="Z83" s="2952"/>
      <c r="AA83" s="2952"/>
      <c r="AB83" s="2952"/>
      <c r="AC83" s="2952"/>
    </row>
    <row r="84" spans="1:29" ht="15.75" thickTop="1">
      <c r="A84" s="491"/>
      <c r="B84" s="495" t="s">
        <v>2430</v>
      </c>
      <c r="C84" s="535" t="s">
        <v>2418</v>
      </c>
      <c r="D84" s="535" t="s">
        <v>2419</v>
      </c>
      <c r="E84" s="535" t="s">
        <v>2420</v>
      </c>
      <c r="F84" s="535" t="s">
        <v>2421</v>
      </c>
      <c r="G84" s="535" t="s">
        <v>2422</v>
      </c>
      <c r="H84" s="496"/>
      <c r="I84" s="496"/>
      <c r="J84" s="496"/>
      <c r="K84" s="497"/>
      <c r="L84" s="498"/>
      <c r="M84" s="499"/>
      <c r="N84" s="2980"/>
      <c r="O84" s="2980"/>
      <c r="P84" s="2971"/>
      <c r="Q84" s="2966"/>
      <c r="R84" s="2952"/>
      <c r="S84" s="2952"/>
      <c r="T84" s="2952"/>
      <c r="U84" s="2952"/>
      <c r="V84" s="2952"/>
      <c r="W84" s="2952"/>
      <c r="X84" s="2952"/>
      <c r="Y84" s="2952"/>
      <c r="Z84" s="2952"/>
      <c r="AA84" s="2952"/>
      <c r="AB84" s="2952"/>
      <c r="AC84" s="2952"/>
    </row>
    <row r="85" spans="1:29" ht="15.75" thickBot="1">
      <c r="A85" s="491"/>
      <c r="B85" s="500"/>
      <c r="C85" s="501">
        <v>100</v>
      </c>
      <c r="D85" s="501">
        <f>C85-$K23</f>
        <v>98</v>
      </c>
      <c r="E85" s="501">
        <f>D85-$K23</f>
        <v>96</v>
      </c>
      <c r="F85" s="501">
        <f>E85-$K23</f>
        <v>94</v>
      </c>
      <c r="G85" s="501">
        <f>F85-$K23</f>
        <v>92</v>
      </c>
      <c r="H85" s="501"/>
      <c r="I85" s="501"/>
      <c r="J85" s="501"/>
      <c r="K85" s="501"/>
      <c r="L85" s="501"/>
      <c r="M85" s="502"/>
      <c r="N85" s="2981"/>
      <c r="O85" s="2981"/>
      <c r="P85" s="2971"/>
      <c r="Q85" s="2966"/>
      <c r="R85" s="2952"/>
      <c r="S85" s="2952"/>
      <c r="T85" s="2952"/>
      <c r="U85" s="2952"/>
      <c r="V85" s="2952"/>
      <c r="W85" s="2952"/>
      <c r="X85" s="2952"/>
      <c r="Y85" s="2952"/>
      <c r="Z85" s="2952"/>
      <c r="AA85" s="2952"/>
      <c r="AB85" s="2952"/>
      <c r="AC85" s="2952"/>
    </row>
    <row r="86" spans="1:29" s="113" customFormat="1" ht="15.75" thickTop="1">
      <c r="A86" s="536"/>
      <c r="B86" s="495" t="s">
        <v>2501</v>
      </c>
      <c r="C86" s="3168" t="s">
        <v>3481</v>
      </c>
      <c r="D86" s="3168" t="s">
        <v>3477</v>
      </c>
      <c r="E86" s="3168" t="s">
        <v>3478</v>
      </c>
      <c r="F86" s="511"/>
      <c r="G86" s="511"/>
      <c r="H86" s="511"/>
      <c r="I86" s="511"/>
      <c r="J86" s="511"/>
      <c r="K86" s="511"/>
      <c r="L86" s="537"/>
      <c r="M86" s="538"/>
      <c r="N86" s="2979"/>
      <c r="O86" s="2979"/>
      <c r="P86" s="2971"/>
      <c r="Q86" s="2966"/>
      <c r="R86" s="2886"/>
      <c r="S86" s="2886"/>
      <c r="T86" s="2886"/>
      <c r="U86" s="2886"/>
      <c r="V86" s="2886"/>
      <c r="W86" s="2886"/>
      <c r="X86" s="2886"/>
      <c r="Y86" s="2886"/>
      <c r="Z86" s="2886"/>
      <c r="AA86" s="2886"/>
      <c r="AB86" s="2886"/>
      <c r="AC86" s="2886"/>
    </row>
    <row r="87" spans="1:29" s="113" customFormat="1" ht="15.75" thickBot="1">
      <c r="A87" s="536"/>
      <c r="B87" s="500"/>
      <c r="C87" s="539">
        <v>100</v>
      </c>
      <c r="D87" s="501">
        <f t="shared" ref="D87:M87" si="16">C87-$K25</f>
        <v>97</v>
      </c>
      <c r="E87" s="501">
        <f t="shared" si="16"/>
        <v>94</v>
      </c>
      <c r="F87" s="501">
        <f t="shared" si="16"/>
        <v>91</v>
      </c>
      <c r="G87" s="501">
        <f t="shared" si="16"/>
        <v>88</v>
      </c>
      <c r="H87" s="501">
        <f t="shared" si="16"/>
        <v>85</v>
      </c>
      <c r="I87" s="501">
        <f t="shared" si="16"/>
        <v>82</v>
      </c>
      <c r="J87" s="501">
        <f t="shared" si="16"/>
        <v>79</v>
      </c>
      <c r="K87" s="501">
        <f t="shared" si="16"/>
        <v>76</v>
      </c>
      <c r="L87" s="501">
        <f t="shared" si="16"/>
        <v>73</v>
      </c>
      <c r="M87" s="501">
        <f t="shared" si="16"/>
        <v>70</v>
      </c>
      <c r="N87" s="2981"/>
      <c r="O87" s="2981"/>
      <c r="P87" s="2971"/>
      <c r="Q87" s="2966"/>
      <c r="R87" s="2886"/>
      <c r="S87" s="2886"/>
      <c r="T87" s="2886"/>
      <c r="U87" s="2886"/>
      <c r="V87" s="2886"/>
      <c r="W87" s="2886"/>
      <c r="X87" s="2886"/>
      <c r="Y87" s="2886"/>
      <c r="Z87" s="2886"/>
      <c r="AA87" s="2886"/>
      <c r="AB87" s="2886"/>
      <c r="AC87" s="2886"/>
    </row>
    <row r="88" spans="1:29" s="113" customFormat="1" ht="15.75" thickTop="1">
      <c r="A88" s="536"/>
      <c r="B88" s="495" t="str">
        <f>B26</f>
        <v>展示面/可视性</v>
      </c>
      <c r="C88" s="3168" t="s">
        <v>4037</v>
      </c>
      <c r="D88" s="3168" t="s">
        <v>4038</v>
      </c>
      <c r="E88" s="3168" t="s">
        <v>4039</v>
      </c>
      <c r="F88" s="2113"/>
      <c r="G88" s="511"/>
      <c r="H88" s="511"/>
      <c r="I88" s="511"/>
      <c r="J88" s="511"/>
      <c r="K88" s="511"/>
      <c r="L88" s="511"/>
      <c r="M88" s="538"/>
      <c r="N88" s="2979"/>
      <c r="O88" s="2979"/>
      <c r="P88" s="2971"/>
      <c r="Q88" s="2966"/>
      <c r="R88" s="2886"/>
      <c r="S88" s="2886"/>
      <c r="T88" s="2886"/>
      <c r="U88" s="2886"/>
      <c r="V88" s="2886"/>
      <c r="W88" s="2886"/>
      <c r="X88" s="2886"/>
      <c r="Y88" s="2886"/>
      <c r="Z88" s="2886"/>
      <c r="AA88" s="2886"/>
      <c r="AB88" s="2886"/>
      <c r="AC88" s="2886"/>
    </row>
    <row r="89" spans="1:29" s="113" customFormat="1" ht="15.75" thickBot="1">
      <c r="A89" s="536"/>
      <c r="B89" s="500"/>
      <c r="C89" s="517">
        <v>100</v>
      </c>
      <c r="D89" s="493">
        <v>90</v>
      </c>
      <c r="E89" s="493">
        <v>80</v>
      </c>
      <c r="F89" s="493"/>
      <c r="G89" s="493"/>
      <c r="H89" s="493"/>
      <c r="I89" s="493"/>
      <c r="J89" s="493"/>
      <c r="K89" s="493"/>
      <c r="L89" s="493"/>
      <c r="M89" s="493"/>
      <c r="N89" s="2981"/>
      <c r="O89" s="2981"/>
      <c r="P89" s="2971"/>
      <c r="Q89" s="2966"/>
      <c r="R89" s="2886"/>
      <c r="S89" s="2886"/>
      <c r="T89" s="2886"/>
      <c r="U89" s="2886"/>
      <c r="V89" s="2886"/>
      <c r="W89" s="2886"/>
      <c r="X89" s="2886"/>
      <c r="Y89" s="2886"/>
      <c r="Z89" s="2886"/>
      <c r="AA89" s="2886"/>
      <c r="AB89" s="2886"/>
      <c r="AC89" s="2886"/>
    </row>
    <row r="90" spans="1:29" s="430" customFormat="1" ht="15.75" thickTop="1">
      <c r="A90" s="510"/>
      <c r="B90" s="495" t="str">
        <f>B27</f>
        <v>人流量</v>
      </c>
      <c r="C90" s="3186" t="s">
        <v>4041</v>
      </c>
      <c r="D90" s="3168" t="s">
        <v>4042</v>
      </c>
      <c r="E90" s="3168" t="s">
        <v>4039</v>
      </c>
      <c r="F90" s="511"/>
      <c r="G90" s="511"/>
      <c r="H90" s="512"/>
      <c r="I90" s="512"/>
      <c r="J90" s="512"/>
      <c r="K90" s="512"/>
      <c r="L90" s="513"/>
      <c r="M90" s="514"/>
      <c r="N90" s="2982"/>
      <c r="O90" s="2982"/>
      <c r="P90" s="2972"/>
      <c r="Q90" s="2973"/>
      <c r="R90" s="2974"/>
      <c r="S90" s="2974"/>
      <c r="T90" s="2974"/>
      <c r="U90" s="2974"/>
      <c r="V90" s="2974"/>
      <c r="W90" s="2974"/>
      <c r="X90" s="2974"/>
      <c r="Y90" s="2974"/>
      <c r="Z90" s="2974"/>
      <c r="AA90" s="2974"/>
      <c r="AB90" s="2974"/>
      <c r="AC90" s="2974"/>
    </row>
    <row r="91" spans="1:29" s="430" customFormat="1" ht="15.75" thickBot="1">
      <c r="A91" s="510"/>
      <c r="B91" s="500"/>
      <c r="C91" s="539">
        <v>100</v>
      </c>
      <c r="D91" s="501">
        <f>C91-$K27</f>
        <v>98</v>
      </c>
      <c r="E91" s="501">
        <f t="shared" ref="E91:M91" si="17">D91-$K27</f>
        <v>96</v>
      </c>
      <c r="F91" s="501">
        <f t="shared" si="17"/>
        <v>94</v>
      </c>
      <c r="G91" s="501">
        <f t="shared" si="17"/>
        <v>92</v>
      </c>
      <c r="H91" s="501">
        <f t="shared" si="17"/>
        <v>90</v>
      </c>
      <c r="I91" s="501">
        <f t="shared" si="17"/>
        <v>88</v>
      </c>
      <c r="J91" s="501">
        <f t="shared" si="17"/>
        <v>86</v>
      </c>
      <c r="K91" s="501">
        <f t="shared" si="17"/>
        <v>84</v>
      </c>
      <c r="L91" s="501">
        <f t="shared" si="17"/>
        <v>82</v>
      </c>
      <c r="M91" s="501">
        <f t="shared" si="17"/>
        <v>80</v>
      </c>
      <c r="N91" s="2982"/>
      <c r="O91" s="2982"/>
      <c r="P91" s="2972"/>
      <c r="Q91" s="2973"/>
      <c r="R91" s="2974"/>
      <c r="S91" s="2974"/>
      <c r="T91" s="2974"/>
      <c r="U91" s="2974"/>
      <c r="V91" s="2974"/>
      <c r="W91" s="2974"/>
      <c r="X91" s="2974"/>
      <c r="Y91" s="2974"/>
      <c r="Z91" s="2974"/>
      <c r="AA91" s="2974"/>
      <c r="AB91" s="2974"/>
      <c r="AC91" s="2974"/>
    </row>
    <row r="92" spans="1:29" ht="15.75" thickTop="1">
      <c r="A92" s="491"/>
      <c r="B92" s="495" t="str">
        <f>B28</f>
        <v>楼层</v>
      </c>
      <c r="C92" s="511">
        <v>1</v>
      </c>
      <c r="D92" s="511"/>
      <c r="E92" s="511"/>
      <c r="F92" s="511"/>
      <c r="G92" s="511"/>
      <c r="H92" s="511"/>
      <c r="I92" s="511"/>
      <c r="J92" s="511"/>
      <c r="K92" s="511"/>
      <c r="L92" s="537"/>
      <c r="M92" s="538"/>
      <c r="N92" s="2980"/>
      <c r="O92" s="2980"/>
      <c r="P92" s="2971"/>
      <c r="Q92" s="2966"/>
      <c r="R92" s="2952"/>
      <c r="S92" s="2952"/>
      <c r="T92" s="2952"/>
      <c r="U92" s="2952"/>
      <c r="V92" s="2952"/>
      <c r="W92" s="2952"/>
      <c r="X92" s="2952"/>
      <c r="Y92" s="2952"/>
      <c r="Z92" s="2952"/>
      <c r="AA92" s="2952"/>
      <c r="AB92" s="2952"/>
      <c r="AC92" s="2952"/>
    </row>
    <row r="93" spans="1:29" ht="15.75" thickBot="1">
      <c r="A93" s="491"/>
      <c r="B93" s="500"/>
      <c r="C93" s="493">
        <v>100</v>
      </c>
      <c r="D93" s="493"/>
      <c r="E93" s="493"/>
      <c r="F93" s="493"/>
      <c r="G93" s="493"/>
      <c r="H93" s="493"/>
      <c r="I93" s="493"/>
      <c r="J93" s="493"/>
      <c r="K93" s="493"/>
      <c r="L93" s="493"/>
      <c r="M93" s="494"/>
      <c r="N93" s="2981"/>
      <c r="O93" s="2981"/>
      <c r="P93" s="2971"/>
      <c r="Q93" s="2966"/>
      <c r="R93" s="2952"/>
      <c r="S93" s="2952"/>
      <c r="T93" s="2952"/>
      <c r="U93" s="2952"/>
      <c r="V93" s="2952"/>
      <c r="W93" s="2952"/>
      <c r="X93" s="2952"/>
      <c r="Y93" s="2952"/>
      <c r="Z93" s="2952"/>
      <c r="AA93" s="2952"/>
      <c r="AB93" s="2952"/>
      <c r="AC93" s="2952"/>
    </row>
    <row r="94" spans="1:29" ht="15.75" thickTop="1">
      <c r="A94" s="491"/>
      <c r="B94" s="495">
        <f>B29</f>
        <v>111</v>
      </c>
      <c r="C94" s="511"/>
      <c r="D94" s="511"/>
      <c r="E94" s="511"/>
      <c r="F94" s="511"/>
      <c r="G94" s="540"/>
      <c r="H94" s="540"/>
      <c r="I94" s="540"/>
      <c r="J94" s="540"/>
      <c r="K94" s="541"/>
      <c r="L94" s="542"/>
      <c r="M94" s="543"/>
      <c r="N94" s="2980"/>
      <c r="O94" s="2980"/>
      <c r="P94" s="2971"/>
      <c r="Q94" s="2966"/>
      <c r="R94" s="2952"/>
      <c r="S94" s="2952"/>
      <c r="T94" s="2952"/>
      <c r="U94" s="2952"/>
      <c r="V94" s="2952"/>
      <c r="W94" s="2952"/>
      <c r="X94" s="2952"/>
      <c r="Y94" s="2952"/>
      <c r="Z94" s="2952"/>
      <c r="AA94" s="2952"/>
      <c r="AB94" s="2952"/>
      <c r="AC94" s="2952"/>
    </row>
    <row r="95" spans="1:29" ht="15.75" thickBot="1">
      <c r="A95" s="491"/>
      <c r="B95" s="500"/>
      <c r="C95" s="517"/>
      <c r="D95" s="493"/>
      <c r="E95" s="493"/>
      <c r="F95" s="493"/>
      <c r="G95" s="493"/>
      <c r="H95" s="493"/>
      <c r="I95" s="493"/>
      <c r="J95" s="493"/>
      <c r="K95" s="493"/>
      <c r="L95" s="493"/>
      <c r="M95" s="494"/>
      <c r="N95" s="2981"/>
      <c r="O95" s="2981"/>
      <c r="P95" s="2971"/>
      <c r="Q95" s="2966"/>
      <c r="R95" s="2952"/>
      <c r="S95" s="2952"/>
      <c r="T95" s="2952"/>
      <c r="U95" s="2952"/>
      <c r="V95" s="2952"/>
      <c r="W95" s="2952"/>
      <c r="X95" s="2952"/>
      <c r="Y95" s="2952"/>
      <c r="Z95" s="2952"/>
      <c r="AA95" s="2952"/>
      <c r="AB95" s="2952"/>
      <c r="AC95" s="2952"/>
    </row>
    <row r="96" spans="1:29" ht="15.75" thickTop="1">
      <c r="A96" s="491"/>
      <c r="B96" s="495">
        <f>B30</f>
        <v>111</v>
      </c>
      <c r="C96" s="511"/>
      <c r="D96" s="511"/>
      <c r="E96" s="511"/>
      <c r="F96" s="511"/>
      <c r="G96" s="540"/>
      <c r="H96" s="540"/>
      <c r="I96" s="540"/>
      <c r="J96" s="540"/>
      <c r="K96" s="541"/>
      <c r="L96" s="542"/>
      <c r="M96" s="543"/>
      <c r="N96" s="2980"/>
      <c r="O96" s="2980"/>
      <c r="P96" s="2971"/>
      <c r="Q96" s="2966"/>
      <c r="R96" s="2952"/>
      <c r="S96" s="2952"/>
      <c r="T96" s="2952"/>
      <c r="U96" s="2952"/>
      <c r="V96" s="2952"/>
      <c r="W96" s="2952"/>
      <c r="X96" s="2952"/>
      <c r="Y96" s="2952"/>
      <c r="Z96" s="2952"/>
      <c r="AA96" s="2952"/>
      <c r="AB96" s="2952"/>
      <c r="AC96" s="2952"/>
    </row>
    <row r="97" spans="1:29" ht="15.75" thickBot="1">
      <c r="A97" s="491"/>
      <c r="B97" s="500"/>
      <c r="C97" s="517"/>
      <c r="D97" s="493"/>
      <c r="E97" s="493"/>
      <c r="F97" s="493"/>
      <c r="G97" s="493"/>
      <c r="H97" s="493"/>
      <c r="I97" s="493"/>
      <c r="J97" s="493"/>
      <c r="K97" s="493"/>
      <c r="L97" s="493"/>
      <c r="M97" s="494"/>
      <c r="N97" s="2981"/>
      <c r="O97" s="2981"/>
      <c r="P97" s="2971"/>
      <c r="Q97" s="2966"/>
      <c r="R97" s="2952"/>
      <c r="S97" s="2952"/>
      <c r="T97" s="2952"/>
      <c r="U97" s="2952"/>
      <c r="V97" s="2952"/>
      <c r="W97" s="2952"/>
      <c r="X97" s="2952"/>
      <c r="Y97" s="2952"/>
      <c r="Z97" s="2952"/>
      <c r="AA97" s="2952"/>
      <c r="AB97" s="2952"/>
      <c r="AC97" s="2952"/>
    </row>
    <row r="98" spans="1:29" ht="15.75" thickTop="1">
      <c r="A98" s="491"/>
      <c r="B98" s="503">
        <f>B31</f>
        <v>111</v>
      </c>
      <c r="C98" s="511"/>
      <c r="D98" s="511"/>
      <c r="E98" s="511"/>
      <c r="F98" s="511"/>
      <c r="G98" s="544"/>
      <c r="H98" s="544"/>
      <c r="I98" s="544"/>
      <c r="J98" s="544"/>
      <c r="K98" s="545"/>
      <c r="L98" s="546"/>
      <c r="M98" s="547"/>
      <c r="N98" s="2980"/>
      <c r="O98" s="2980"/>
      <c r="P98" s="2971"/>
      <c r="Q98" s="2966"/>
      <c r="R98" s="2952"/>
      <c r="S98" s="2952"/>
      <c r="T98" s="2952"/>
      <c r="U98" s="2952"/>
      <c r="V98" s="2952"/>
      <c r="W98" s="2952"/>
      <c r="X98" s="2952"/>
      <c r="Y98" s="2952"/>
      <c r="Z98" s="2952"/>
      <c r="AA98" s="2952"/>
      <c r="AB98" s="2952"/>
      <c r="AC98" s="2952"/>
    </row>
    <row r="99" spans="1:29" ht="15.75" thickBot="1">
      <c r="A99" s="2114"/>
      <c r="B99" s="526"/>
      <c r="C99" s="527"/>
      <c r="D99" s="527"/>
      <c r="E99" s="527"/>
      <c r="F99" s="527"/>
      <c r="G99" s="548"/>
      <c r="H99" s="548"/>
      <c r="I99" s="548"/>
      <c r="J99" s="548"/>
      <c r="K99" s="548"/>
      <c r="L99" s="548"/>
      <c r="M99" s="549"/>
      <c r="N99" s="2981"/>
      <c r="O99" s="2981"/>
      <c r="P99" s="2971"/>
      <c r="Q99" s="2966"/>
      <c r="R99" s="2952"/>
      <c r="S99" s="2952"/>
      <c r="T99" s="2952"/>
      <c r="U99" s="2952"/>
      <c r="V99" s="2952"/>
      <c r="W99" s="2952"/>
      <c r="X99" s="2952"/>
      <c r="Y99" s="2952"/>
      <c r="Z99" s="2952"/>
      <c r="AA99" s="2952"/>
      <c r="AB99" s="2952"/>
      <c r="AC99" s="2952"/>
    </row>
    <row r="100" spans="1:29">
      <c r="A100" s="484" t="s">
        <v>2384</v>
      </c>
      <c r="B100" s="485" t="s">
        <v>2502</v>
      </c>
      <c r="C100" s="3183" t="s">
        <v>4045</v>
      </c>
      <c r="D100" s="3183" t="s">
        <v>4044</v>
      </c>
      <c r="E100" s="3321" t="s">
        <v>4192</v>
      </c>
      <c r="F100" s="487"/>
      <c r="G100" s="487"/>
      <c r="H100" s="487"/>
      <c r="I100" s="487"/>
      <c r="J100" s="487"/>
      <c r="K100" s="488"/>
      <c r="L100" s="489"/>
      <c r="M100" s="490"/>
      <c r="N100" s="2980"/>
      <c r="O100" s="2980"/>
      <c r="P100" s="2971"/>
      <c r="Q100" s="2966"/>
      <c r="R100" s="2952"/>
      <c r="S100" s="2952"/>
      <c r="T100" s="2952"/>
      <c r="U100" s="2952"/>
      <c r="V100" s="2952"/>
      <c r="W100" s="2952"/>
      <c r="X100" s="2952"/>
      <c r="Y100" s="2952"/>
      <c r="Z100" s="2952"/>
      <c r="AA100" s="2952"/>
      <c r="AB100" s="2952"/>
      <c r="AC100" s="2952"/>
    </row>
    <row r="101" spans="1:29" ht="15.75" thickBot="1">
      <c r="A101" s="491"/>
      <c r="B101" s="500"/>
      <c r="C101" s="501">
        <v>100</v>
      </c>
      <c r="D101" s="501">
        <f t="shared" ref="D101:M101" si="18">C101-$K32</f>
        <v>97</v>
      </c>
      <c r="E101" s="501">
        <f t="shared" si="18"/>
        <v>94</v>
      </c>
      <c r="F101" s="501">
        <f t="shared" si="18"/>
        <v>91</v>
      </c>
      <c r="G101" s="501">
        <f t="shared" si="18"/>
        <v>88</v>
      </c>
      <c r="H101" s="501">
        <f t="shared" si="18"/>
        <v>85</v>
      </c>
      <c r="I101" s="501">
        <f t="shared" si="18"/>
        <v>82</v>
      </c>
      <c r="J101" s="501">
        <f t="shared" si="18"/>
        <v>79</v>
      </c>
      <c r="K101" s="501">
        <f t="shared" si="18"/>
        <v>76</v>
      </c>
      <c r="L101" s="501">
        <f t="shared" si="18"/>
        <v>73</v>
      </c>
      <c r="M101" s="502">
        <f t="shared" si="18"/>
        <v>70</v>
      </c>
      <c r="N101" s="2981"/>
      <c r="O101" s="2981"/>
      <c r="P101" s="2971"/>
      <c r="Q101" s="2966"/>
      <c r="R101" s="2952"/>
      <c r="S101" s="2952"/>
      <c r="T101" s="2952"/>
      <c r="U101" s="2952"/>
      <c r="V101" s="2952"/>
      <c r="W101" s="2952"/>
      <c r="X101" s="2952"/>
      <c r="Y101" s="2952"/>
      <c r="Z101" s="2952"/>
      <c r="AA101" s="2952"/>
      <c r="AB101" s="2952"/>
      <c r="AC101" s="2952"/>
    </row>
    <row r="102" spans="1:29" ht="29.25" thickTop="1">
      <c r="A102" s="491"/>
      <c r="B102" s="495" t="s">
        <v>2434</v>
      </c>
      <c r="C102" s="535" t="str">
        <f>C103&amp;"(含)"&amp;"-"&amp;D103</f>
        <v>0(含)-20000</v>
      </c>
      <c r="D102" s="535" t="str">
        <f t="shared" ref="D102:L102" si="19">D103&amp;"(含)"&amp;"-"&amp;E103</f>
        <v>20000(含)-50000</v>
      </c>
      <c r="E102" s="535" t="str">
        <f t="shared" si="19"/>
        <v>50000(含)-100000</v>
      </c>
      <c r="F102" s="535" t="str">
        <f t="shared" si="19"/>
        <v>100000(含)-150000</v>
      </c>
      <c r="G102" s="535" t="str">
        <f t="shared" si="19"/>
        <v>150000(含)-</v>
      </c>
      <c r="H102" s="535" t="str">
        <f t="shared" si="19"/>
        <v>(含)-</v>
      </c>
      <c r="I102" s="535" t="str">
        <f t="shared" si="19"/>
        <v>(含)-</v>
      </c>
      <c r="J102" s="535" t="str">
        <f t="shared" si="19"/>
        <v>(含)-</v>
      </c>
      <c r="K102" s="535" t="str">
        <f t="shared" si="19"/>
        <v>(含)-</v>
      </c>
      <c r="L102" s="535" t="str">
        <f t="shared" si="19"/>
        <v>(含)-</v>
      </c>
      <c r="M102" s="578"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30" customFormat="1">
      <c r="A103" s="550"/>
      <c r="B103" s="551"/>
      <c r="C103" s="552">
        <v>0</v>
      </c>
      <c r="D103" s="552">
        <v>20000</v>
      </c>
      <c r="E103" s="552">
        <v>50000</v>
      </c>
      <c r="F103" s="552">
        <v>100000</v>
      </c>
      <c r="G103" s="552">
        <v>150000</v>
      </c>
      <c r="H103" s="552"/>
      <c r="I103" s="552"/>
      <c r="J103" s="553"/>
      <c r="K103" s="553"/>
      <c r="L103" s="554"/>
      <c r="M103" s="555"/>
      <c r="N103" s="2982"/>
      <c r="O103" s="2982"/>
      <c r="P103" s="2972"/>
      <c r="Q103" s="2973"/>
      <c r="R103" s="2974"/>
      <c r="S103" s="2974"/>
      <c r="T103" s="2974"/>
      <c r="U103" s="2974"/>
      <c r="V103" s="2974"/>
      <c r="W103" s="2974"/>
      <c r="X103" s="2974"/>
      <c r="Y103" s="2974"/>
      <c r="Z103" s="2974"/>
      <c r="AA103" s="2974"/>
      <c r="AB103" s="2974"/>
      <c r="AC103" s="2974"/>
    </row>
    <row r="104" spans="1:29" s="430" customFormat="1" ht="15.75" thickBot="1">
      <c r="A104" s="510"/>
      <c r="B104" s="500"/>
      <c r="C104" s="517">
        <v>100</v>
      </c>
      <c r="D104" s="517">
        <v>100</v>
      </c>
      <c r="E104" s="517">
        <v>100</v>
      </c>
      <c r="F104" s="517">
        <v>100</v>
      </c>
      <c r="G104" s="517">
        <v>100</v>
      </c>
      <c r="H104" s="493"/>
      <c r="I104" s="493"/>
      <c r="J104" s="493"/>
      <c r="K104" s="493"/>
      <c r="L104" s="493"/>
      <c r="M104" s="494"/>
      <c r="N104" s="2981"/>
      <c r="O104" s="2981"/>
      <c r="P104" s="2972"/>
      <c r="Q104" s="2973"/>
      <c r="R104" s="2974"/>
      <c r="S104" s="2974"/>
      <c r="T104" s="2974"/>
      <c r="U104" s="2974"/>
      <c r="V104" s="2974"/>
      <c r="W104" s="2974"/>
      <c r="X104" s="2974"/>
      <c r="Y104" s="2974"/>
      <c r="Z104" s="2974"/>
      <c r="AA104" s="2974"/>
      <c r="AB104" s="2974"/>
      <c r="AC104" s="2974"/>
    </row>
    <row r="105" spans="1:29" ht="15" thickTop="1">
      <c r="A105" s="556"/>
      <c r="B105" s="495" t="s">
        <v>2435</v>
      </c>
      <c r="C105" s="3186" t="s">
        <v>3559</v>
      </c>
      <c r="D105" s="511"/>
      <c r="E105" s="540"/>
      <c r="F105" s="540"/>
      <c r="G105" s="540"/>
      <c r="H105" s="540"/>
      <c r="I105" s="540"/>
      <c r="J105" s="540"/>
      <c r="K105" s="541"/>
      <c r="L105" s="542"/>
      <c r="M105" s="543"/>
      <c r="N105" s="2980"/>
      <c r="O105" s="2980"/>
      <c r="P105" s="2971"/>
      <c r="Q105" s="2966"/>
      <c r="R105" s="2952"/>
      <c r="S105" s="2952"/>
      <c r="T105" s="2952"/>
      <c r="U105" s="2952"/>
      <c r="V105" s="2952"/>
      <c r="W105" s="2952"/>
      <c r="X105" s="2952"/>
      <c r="Y105" s="2952"/>
      <c r="Z105" s="2952"/>
      <c r="AA105" s="2952"/>
      <c r="AB105" s="2952"/>
      <c r="AC105" s="2952"/>
    </row>
    <row r="106" spans="1:29" ht="15.75" thickBot="1">
      <c r="A106" s="491"/>
      <c r="B106" s="500"/>
      <c r="C106" s="501">
        <v>100</v>
      </c>
      <c r="D106" s="501">
        <f t="shared" ref="D106:M106" si="20">C106-$K34</f>
        <v>98</v>
      </c>
      <c r="E106" s="501">
        <f t="shared" si="20"/>
        <v>96</v>
      </c>
      <c r="F106" s="501">
        <f t="shared" si="20"/>
        <v>94</v>
      </c>
      <c r="G106" s="501">
        <f t="shared" si="20"/>
        <v>92</v>
      </c>
      <c r="H106" s="501">
        <f t="shared" si="20"/>
        <v>90</v>
      </c>
      <c r="I106" s="501">
        <f t="shared" si="20"/>
        <v>88</v>
      </c>
      <c r="J106" s="501">
        <f t="shared" si="20"/>
        <v>86</v>
      </c>
      <c r="K106" s="501">
        <f t="shared" si="20"/>
        <v>84</v>
      </c>
      <c r="L106" s="501">
        <f t="shared" si="20"/>
        <v>82</v>
      </c>
      <c r="M106" s="502">
        <f t="shared" si="20"/>
        <v>80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6"/>
      <c r="B107" s="495" t="s">
        <v>2437</v>
      </c>
      <c r="C107" s="3168" t="s">
        <v>3483</v>
      </c>
      <c r="D107" s="3168" t="s">
        <v>3484</v>
      </c>
      <c r="E107" s="3168" t="s">
        <v>3485</v>
      </c>
      <c r="F107" s="540"/>
      <c r="G107" s="540"/>
      <c r="H107" s="540"/>
      <c r="I107" s="540"/>
      <c r="J107" s="540"/>
      <c r="K107" s="541"/>
      <c r="L107" s="542"/>
      <c r="M107" s="543"/>
      <c r="N107" s="2980"/>
      <c r="O107" s="2980"/>
      <c r="P107" s="2971"/>
      <c r="Q107" s="2966"/>
      <c r="R107" s="2952"/>
      <c r="S107" s="2952"/>
      <c r="T107" s="2952"/>
      <c r="U107" s="2952"/>
      <c r="V107" s="2952"/>
      <c r="W107" s="2952"/>
      <c r="X107" s="2952"/>
      <c r="Y107" s="2952"/>
      <c r="Z107" s="2952"/>
      <c r="AA107" s="2952"/>
      <c r="AB107" s="2952"/>
      <c r="AC107" s="2952"/>
    </row>
    <row r="108" spans="1:29" ht="15.75" thickBot="1">
      <c r="A108" s="491"/>
      <c r="B108" s="500"/>
      <c r="C108" s="501">
        <v>100</v>
      </c>
      <c r="D108" s="501">
        <f t="shared" ref="D108:M108" si="21">C108-$K35</f>
        <v>98</v>
      </c>
      <c r="E108" s="501">
        <f t="shared" si="21"/>
        <v>96</v>
      </c>
      <c r="F108" s="501">
        <f t="shared" si="21"/>
        <v>94</v>
      </c>
      <c r="G108" s="501">
        <f t="shared" si="21"/>
        <v>92</v>
      </c>
      <c r="H108" s="501">
        <f t="shared" si="21"/>
        <v>90</v>
      </c>
      <c r="I108" s="501">
        <f t="shared" si="21"/>
        <v>88</v>
      </c>
      <c r="J108" s="501">
        <f t="shared" si="21"/>
        <v>86</v>
      </c>
      <c r="K108" s="501">
        <f t="shared" si="21"/>
        <v>84</v>
      </c>
      <c r="L108" s="501">
        <f t="shared" si="21"/>
        <v>82</v>
      </c>
      <c r="M108" s="502">
        <f t="shared" si="21"/>
        <v>80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0"/>
      <c r="O109" s="2980"/>
      <c r="P109" s="2971"/>
      <c r="Q109" s="2966"/>
      <c r="R109" s="2952"/>
      <c r="S109" s="2952"/>
      <c r="T109" s="2952"/>
      <c r="U109" s="2952"/>
      <c r="V109" s="2952"/>
      <c r="W109" s="2952"/>
      <c r="X109" s="2952"/>
      <c r="Y109" s="2952"/>
      <c r="Z109" s="2952"/>
      <c r="AA109" s="2952"/>
      <c r="AB109" s="2952"/>
      <c r="AC109" s="2952"/>
    </row>
    <row r="110" spans="1:29">
      <c r="A110" s="556"/>
      <c r="B110" s="503"/>
      <c r="C110" s="560">
        <v>0.5</v>
      </c>
      <c r="D110" s="560">
        <v>0.6</v>
      </c>
      <c r="E110" s="560">
        <v>0.7</v>
      </c>
      <c r="F110" s="560">
        <v>0.8</v>
      </c>
      <c r="G110" s="560">
        <v>0.9</v>
      </c>
      <c r="H110" s="560">
        <v>1.0001</v>
      </c>
      <c r="I110" s="579"/>
      <c r="J110" s="579"/>
      <c r="K110" s="580"/>
      <c r="L110" s="581"/>
      <c r="M110" s="582"/>
      <c r="N110" s="2980"/>
      <c r="O110" s="2980"/>
      <c r="P110" s="2971"/>
      <c r="Q110" s="2966"/>
      <c r="R110" s="2952"/>
      <c r="S110" s="2952"/>
      <c r="T110" s="2952"/>
      <c r="U110" s="2952"/>
      <c r="V110" s="2952"/>
      <c r="W110" s="2952"/>
      <c r="X110" s="2952"/>
      <c r="Y110" s="2952"/>
      <c r="Z110" s="2952"/>
      <c r="AA110" s="2952"/>
      <c r="AB110" s="2952"/>
      <c r="AC110" s="2952"/>
    </row>
    <row r="111" spans="1:29" ht="15.75" thickBot="1">
      <c r="A111" s="491"/>
      <c r="B111" s="500"/>
      <c r="C111" s="539">
        <v>100</v>
      </c>
      <c r="D111" s="501">
        <f>C111+$K36</f>
        <v>100</v>
      </c>
      <c r="E111" s="501">
        <f t="shared" ref="E111:M111" si="22">D111+$K36</f>
        <v>100</v>
      </c>
      <c r="F111" s="501">
        <f t="shared" si="22"/>
        <v>100</v>
      </c>
      <c r="G111" s="501">
        <f t="shared" si="22"/>
        <v>100</v>
      </c>
      <c r="H111" s="501">
        <f t="shared" si="22"/>
        <v>100</v>
      </c>
      <c r="I111" s="501">
        <f t="shared" si="22"/>
        <v>100</v>
      </c>
      <c r="J111" s="501">
        <f t="shared" si="22"/>
        <v>100</v>
      </c>
      <c r="K111" s="501">
        <f t="shared" si="22"/>
        <v>100</v>
      </c>
      <c r="L111" s="501">
        <f t="shared" si="22"/>
        <v>100</v>
      </c>
      <c r="M111" s="501">
        <f t="shared" si="22"/>
        <v>100</v>
      </c>
      <c r="N111" s="2981"/>
      <c r="O111" s="2981"/>
      <c r="P111" s="2971"/>
      <c r="Q111" s="2966"/>
      <c r="R111" s="2952"/>
      <c r="S111" s="2952"/>
      <c r="T111" s="2952"/>
      <c r="U111" s="2952"/>
      <c r="V111" s="2952"/>
      <c r="W111" s="2952"/>
      <c r="X111" s="2952"/>
      <c r="Y111" s="2952"/>
      <c r="Z111" s="2952"/>
      <c r="AA111" s="2952"/>
      <c r="AB111" s="2952"/>
      <c r="AC111" s="2952"/>
    </row>
    <row r="112" spans="1:29" s="430" customFormat="1" ht="15" thickTop="1">
      <c r="A112" s="550"/>
      <c r="B112" s="495" t="s">
        <v>2439</v>
      </c>
      <c r="C112" s="3186" t="s">
        <v>3560</v>
      </c>
      <c r="D112" s="3186" t="s">
        <v>3561</v>
      </c>
      <c r="E112" s="3186" t="s">
        <v>3562</v>
      </c>
      <c r="F112" s="3186" t="s">
        <v>3563</v>
      </c>
      <c r="G112" s="3186" t="s">
        <v>3564</v>
      </c>
      <c r="H112" s="540"/>
      <c r="I112" s="540"/>
      <c r="J112" s="540"/>
      <c r="K112" s="541"/>
      <c r="L112" s="542"/>
      <c r="M112" s="543"/>
      <c r="N112" s="2982"/>
      <c r="O112" s="2982"/>
      <c r="P112" s="2972"/>
      <c r="Q112" s="2973"/>
      <c r="R112" s="2974"/>
      <c r="S112" s="2974"/>
      <c r="T112" s="2974"/>
      <c r="U112" s="2974"/>
      <c r="V112" s="2974"/>
      <c r="W112" s="2974"/>
      <c r="X112" s="2974"/>
      <c r="Y112" s="2974"/>
      <c r="Z112" s="2974"/>
      <c r="AA112" s="2974"/>
      <c r="AB112" s="2974"/>
      <c r="AC112" s="2974"/>
    </row>
    <row r="113" spans="1:29" s="430" customFormat="1" ht="15.75" thickBot="1">
      <c r="A113" s="510"/>
      <c r="B113" s="500"/>
      <c r="C113" s="501">
        <v>100</v>
      </c>
      <c r="D113" s="501">
        <f>C113-$K37</f>
        <v>98</v>
      </c>
      <c r="E113" s="501">
        <f t="shared" ref="E113:M113" si="23">D113-$K37</f>
        <v>96</v>
      </c>
      <c r="F113" s="501">
        <f t="shared" si="23"/>
        <v>94</v>
      </c>
      <c r="G113" s="501">
        <f t="shared" si="23"/>
        <v>92</v>
      </c>
      <c r="H113" s="501">
        <f t="shared" si="23"/>
        <v>90</v>
      </c>
      <c r="I113" s="501">
        <f t="shared" si="23"/>
        <v>88</v>
      </c>
      <c r="J113" s="501">
        <f t="shared" si="23"/>
        <v>86</v>
      </c>
      <c r="K113" s="501">
        <f t="shared" si="23"/>
        <v>84</v>
      </c>
      <c r="L113" s="501">
        <f t="shared" si="23"/>
        <v>82</v>
      </c>
      <c r="M113" s="501">
        <f t="shared" si="23"/>
        <v>80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6"/>
      <c r="B114" s="495" t="s">
        <v>2503</v>
      </c>
      <c r="C114" s="511"/>
      <c r="D114" s="511"/>
      <c r="E114" s="540"/>
      <c r="F114" s="540"/>
      <c r="G114" s="540"/>
      <c r="H114" s="540"/>
      <c r="I114" s="540"/>
      <c r="J114" s="540"/>
      <c r="K114" s="541"/>
      <c r="L114" s="542"/>
      <c r="M114" s="543"/>
      <c r="N114" s="2980"/>
      <c r="O114" s="2980"/>
      <c r="P114" s="2971"/>
      <c r="Q114" s="2966"/>
      <c r="R114" s="2952"/>
      <c r="S114" s="2952"/>
      <c r="T114" s="2952"/>
      <c r="U114" s="2952"/>
      <c r="V114" s="2952"/>
      <c r="W114" s="2952"/>
      <c r="X114" s="2952"/>
      <c r="Y114" s="2952"/>
      <c r="Z114" s="2952"/>
      <c r="AA114" s="2952"/>
      <c r="AB114" s="2952"/>
      <c r="AC114" s="2952"/>
    </row>
    <row r="115" spans="1:29" ht="15.75" thickBot="1">
      <c r="A115" s="491"/>
      <c r="B115" s="500"/>
      <c r="C115" s="501">
        <v>100</v>
      </c>
      <c r="D115" s="501">
        <f t="shared" ref="D115:M115" si="24">C115-$K38</f>
        <v>100</v>
      </c>
      <c r="E115" s="501">
        <f t="shared" si="24"/>
        <v>100</v>
      </c>
      <c r="F115" s="501">
        <f t="shared" si="24"/>
        <v>100</v>
      </c>
      <c r="G115" s="501">
        <f t="shared" si="24"/>
        <v>100</v>
      </c>
      <c r="H115" s="501">
        <f t="shared" si="24"/>
        <v>100</v>
      </c>
      <c r="I115" s="501">
        <f t="shared" si="24"/>
        <v>100</v>
      </c>
      <c r="J115" s="501">
        <f t="shared" si="24"/>
        <v>100</v>
      </c>
      <c r="K115" s="501">
        <f t="shared" si="24"/>
        <v>100</v>
      </c>
      <c r="L115" s="501">
        <f t="shared" si="24"/>
        <v>100</v>
      </c>
      <c r="M115" s="502">
        <f t="shared" si="24"/>
        <v>100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6"/>
      <c r="B116" s="495" t="s">
        <v>2504</v>
      </c>
      <c r="C116" s="511">
        <v>3.3</v>
      </c>
      <c r="D116" s="511"/>
      <c r="E116" s="511"/>
      <c r="F116" s="511"/>
      <c r="G116" s="511"/>
      <c r="H116" s="540"/>
      <c r="I116" s="540"/>
      <c r="J116" s="540"/>
      <c r="K116" s="541"/>
      <c r="L116" s="542"/>
      <c r="M116" s="543"/>
      <c r="N116" s="2980"/>
      <c r="O116" s="2980"/>
      <c r="P116" s="2971"/>
      <c r="Q116" s="2966"/>
      <c r="R116" s="2952"/>
      <c r="S116" s="2952"/>
      <c r="T116" s="2952"/>
      <c r="U116" s="2952"/>
      <c r="V116" s="2952"/>
      <c r="W116" s="2952"/>
      <c r="X116" s="2952"/>
      <c r="Y116" s="2952"/>
      <c r="Z116" s="2952"/>
      <c r="AA116" s="2952"/>
      <c r="AB116" s="2952"/>
      <c r="AC116" s="295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1"/>
      <c r="O117" s="2981"/>
      <c r="P117" s="2971"/>
      <c r="Q117" s="2966"/>
      <c r="R117" s="2952"/>
      <c r="S117" s="2952"/>
      <c r="T117" s="2952"/>
      <c r="U117" s="2952"/>
      <c r="V117" s="2952"/>
      <c r="W117" s="2952"/>
      <c r="X117" s="2952"/>
      <c r="Y117" s="2952"/>
      <c r="Z117" s="2952"/>
      <c r="AA117" s="2952"/>
      <c r="AB117" s="2952"/>
      <c r="AC117" s="2952"/>
    </row>
    <row r="118" spans="1:29" ht="15" thickTop="1">
      <c r="A118" s="556"/>
      <c r="B118" s="495" t="s">
        <v>2505</v>
      </c>
      <c r="C118" s="583">
        <f>I40</f>
        <v>130</v>
      </c>
      <c r="D118" s="583">
        <f>E40</f>
        <v>227.5</v>
      </c>
      <c r="E118" s="583">
        <f>G40</f>
        <v>673.84999999999991</v>
      </c>
      <c r="F118" s="583">
        <f>C40</f>
        <v>3839.16</v>
      </c>
      <c r="G118" s="583"/>
      <c r="H118" s="512"/>
      <c r="I118" s="512"/>
      <c r="J118" s="512"/>
      <c r="K118" s="512"/>
      <c r="L118" s="513"/>
      <c r="M118" s="514"/>
      <c r="N118" s="2980"/>
      <c r="O118" s="2980"/>
      <c r="P118" s="2971"/>
      <c r="Q118" s="2966"/>
      <c r="R118" s="2952"/>
      <c r="S118" s="2952"/>
      <c r="T118" s="2952"/>
      <c r="U118" s="2952"/>
      <c r="V118" s="2952"/>
      <c r="W118" s="2952"/>
      <c r="X118" s="2952"/>
      <c r="Y118" s="2952"/>
      <c r="Z118" s="2952"/>
      <c r="AA118" s="2952"/>
      <c r="AB118" s="2952"/>
      <c r="AC118" s="2952"/>
    </row>
    <row r="119" spans="1:29" ht="15.75" thickBot="1">
      <c r="A119" s="491"/>
      <c r="B119" s="500"/>
      <c r="C119" s="517">
        <v>100</v>
      </c>
      <c r="D119" s="493">
        <v>100</v>
      </c>
      <c r="E119" s="493">
        <v>99</v>
      </c>
      <c r="F119" s="493">
        <v>98</v>
      </c>
      <c r="G119" s="493"/>
      <c r="H119" s="493"/>
      <c r="I119" s="493"/>
      <c r="J119" s="493"/>
      <c r="K119" s="493"/>
      <c r="L119" s="493"/>
      <c r="M119" s="494"/>
      <c r="N119" s="2981"/>
      <c r="O119" s="2981"/>
      <c r="P119" s="2971"/>
      <c r="Q119" s="2966"/>
      <c r="R119" s="2952"/>
      <c r="S119" s="2952"/>
      <c r="T119" s="2952"/>
      <c r="U119" s="2952"/>
      <c r="V119" s="2952"/>
      <c r="W119" s="2952"/>
      <c r="X119" s="2952"/>
      <c r="Y119" s="2952"/>
      <c r="Z119" s="2952"/>
      <c r="AA119" s="2952"/>
      <c r="AB119" s="2952"/>
      <c r="AC119" s="2952"/>
    </row>
    <row r="120" spans="1:29" s="430" customFormat="1" ht="15" thickTop="1">
      <c r="A120" s="550"/>
      <c r="B120" s="495" t="s">
        <v>2506</v>
      </c>
      <c r="C120" s="540"/>
      <c r="D120" s="540"/>
      <c r="E120" s="540"/>
      <c r="F120" s="540"/>
      <c r="G120" s="512"/>
      <c r="H120" s="512"/>
      <c r="I120" s="512"/>
      <c r="J120" s="512"/>
      <c r="K120" s="512"/>
      <c r="L120" s="513"/>
      <c r="M120" s="514"/>
      <c r="N120" s="2982"/>
      <c r="O120" s="2982"/>
      <c r="P120" s="2972"/>
      <c r="Q120" s="2973"/>
      <c r="R120" s="2974"/>
      <c r="S120" s="2974"/>
      <c r="T120" s="2974"/>
      <c r="U120" s="2974"/>
      <c r="V120" s="2974"/>
      <c r="W120" s="2974"/>
      <c r="X120" s="2974"/>
      <c r="Y120" s="2974"/>
      <c r="Z120" s="2974"/>
      <c r="AA120" s="2974"/>
      <c r="AB120" s="2974"/>
      <c r="AC120" s="2974"/>
    </row>
    <row r="121" spans="1:29" s="430" customFormat="1" ht="15.75" thickBot="1">
      <c r="A121" s="510"/>
      <c r="B121" s="492"/>
      <c r="C121" s="539">
        <v>100</v>
      </c>
      <c r="D121" s="501">
        <f>C121-$K41</f>
        <v>100</v>
      </c>
      <c r="E121" s="501">
        <f t="shared" ref="E121:M121" si="25">D121-$K41</f>
        <v>100</v>
      </c>
      <c r="F121" s="501">
        <f t="shared" si="25"/>
        <v>100</v>
      </c>
      <c r="G121" s="501">
        <f t="shared" si="25"/>
        <v>100</v>
      </c>
      <c r="H121" s="501">
        <f t="shared" si="25"/>
        <v>100</v>
      </c>
      <c r="I121" s="501">
        <f t="shared" si="25"/>
        <v>100</v>
      </c>
      <c r="J121" s="501">
        <f t="shared" si="25"/>
        <v>100</v>
      </c>
      <c r="K121" s="501">
        <f t="shared" si="25"/>
        <v>100</v>
      </c>
      <c r="L121" s="501">
        <f t="shared" si="25"/>
        <v>100</v>
      </c>
      <c r="M121" s="502">
        <f t="shared" si="25"/>
        <v>100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6"/>
      <c r="B122" s="495" t="s">
        <v>2441</v>
      </c>
      <c r="C122" s="3168" t="s">
        <v>3483</v>
      </c>
      <c r="D122" s="3168" t="s">
        <v>3484</v>
      </c>
      <c r="E122" s="3168" t="s">
        <v>3485</v>
      </c>
      <c r="F122" s="540"/>
      <c r="G122" s="540"/>
      <c r="H122" s="540"/>
      <c r="I122" s="540"/>
      <c r="J122" s="540"/>
      <c r="K122" s="541"/>
      <c r="L122" s="542"/>
      <c r="M122" s="543"/>
      <c r="N122" s="2980"/>
      <c r="O122" s="2980"/>
      <c r="P122" s="2971"/>
      <c r="Q122" s="2966"/>
      <c r="R122" s="2952"/>
      <c r="S122" s="2952"/>
      <c r="T122" s="2952"/>
      <c r="U122" s="2952"/>
      <c r="V122" s="2952"/>
      <c r="W122" s="2952"/>
      <c r="X122" s="2952"/>
      <c r="Y122" s="2952"/>
      <c r="Z122" s="2952"/>
      <c r="AA122" s="2952"/>
      <c r="AB122" s="2952"/>
      <c r="AC122" s="2952"/>
    </row>
    <row r="123" spans="1:29" ht="15.75" thickBot="1">
      <c r="A123" s="491"/>
      <c r="B123" s="500"/>
      <c r="C123" s="501">
        <v>100</v>
      </c>
      <c r="D123" s="501">
        <f t="shared" ref="D123:M123" si="26">C123-$K42</f>
        <v>100</v>
      </c>
      <c r="E123" s="501">
        <f t="shared" si="26"/>
        <v>100</v>
      </c>
      <c r="F123" s="501">
        <f t="shared" si="26"/>
        <v>100</v>
      </c>
      <c r="G123" s="501">
        <f t="shared" si="26"/>
        <v>100</v>
      </c>
      <c r="H123" s="501">
        <f t="shared" si="26"/>
        <v>100</v>
      </c>
      <c r="I123" s="501">
        <f t="shared" si="26"/>
        <v>100</v>
      </c>
      <c r="J123" s="501">
        <f t="shared" si="26"/>
        <v>100</v>
      </c>
      <c r="K123" s="501">
        <f t="shared" si="26"/>
        <v>100</v>
      </c>
      <c r="L123" s="501">
        <f t="shared" si="26"/>
        <v>100</v>
      </c>
      <c r="M123" s="502">
        <f t="shared" si="26"/>
        <v>100</v>
      </c>
      <c r="N123" s="2981"/>
      <c r="O123" s="2981"/>
      <c r="P123" s="2971"/>
      <c r="Q123" s="2966"/>
      <c r="R123" s="2952"/>
      <c r="S123" s="2952"/>
      <c r="T123" s="2952"/>
      <c r="U123" s="2952"/>
      <c r="V123" s="2952"/>
      <c r="W123" s="2952"/>
      <c r="X123" s="2952"/>
      <c r="Y123" s="2952"/>
      <c r="Z123" s="2952"/>
      <c r="AA123" s="2952"/>
      <c r="AB123" s="2952"/>
      <c r="AC123" s="2952"/>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0"/>
      <c r="O124" s="2980"/>
      <c r="P124" s="2972"/>
      <c r="Q124" s="2966"/>
      <c r="R124" s="2952"/>
      <c r="S124" s="2952"/>
      <c r="T124" s="2952"/>
      <c r="U124" s="2952"/>
      <c r="V124" s="2952"/>
      <c r="W124" s="2952"/>
      <c r="X124" s="2952"/>
      <c r="Y124" s="2952"/>
      <c r="Z124" s="2952"/>
      <c r="AA124" s="2952"/>
      <c r="AB124" s="2952"/>
      <c r="AC124" s="2952"/>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81"/>
      <c r="O125" s="2981"/>
      <c r="P125" s="2971"/>
      <c r="Q125" s="2966"/>
      <c r="R125" s="2952"/>
      <c r="S125" s="2952"/>
      <c r="T125" s="2952"/>
      <c r="U125" s="2952"/>
      <c r="V125" s="2952"/>
      <c r="W125" s="2952"/>
      <c r="X125" s="2952"/>
      <c r="Y125" s="2952"/>
      <c r="Z125" s="2952"/>
      <c r="AA125" s="2952"/>
      <c r="AB125" s="2952"/>
      <c r="AC125" s="2952"/>
    </row>
    <row r="126" spans="1:29" s="430" customFormat="1" ht="15" thickTop="1">
      <c r="A126" s="550"/>
      <c r="B126" s="495" t="str">
        <f>B44</f>
        <v>租赁类型</v>
      </c>
      <c r="C126" s="3186" t="s">
        <v>4137</v>
      </c>
      <c r="D126" s="3186" t="s">
        <v>4138</v>
      </c>
      <c r="E126" s="511"/>
      <c r="F126" s="511"/>
      <c r="G126" s="511"/>
      <c r="H126" s="512"/>
      <c r="I126" s="512"/>
      <c r="J126" s="512"/>
      <c r="K126" s="512"/>
      <c r="L126" s="513"/>
      <c r="M126" s="514"/>
      <c r="N126" s="2982"/>
      <c r="O126" s="2982"/>
      <c r="P126" s="2972"/>
      <c r="Q126" s="2973"/>
      <c r="R126" s="2974"/>
      <c r="S126" s="2974"/>
      <c r="T126" s="2974"/>
      <c r="U126" s="2974"/>
      <c r="V126" s="2974"/>
      <c r="W126" s="2974"/>
      <c r="X126" s="2974"/>
      <c r="Y126" s="2974"/>
      <c r="Z126" s="2974"/>
      <c r="AA126" s="2974"/>
      <c r="AB126" s="2974"/>
      <c r="AC126" s="2974"/>
    </row>
    <row r="127" spans="1:29" s="430" customFormat="1" ht="15.75" thickBot="1">
      <c r="A127" s="510"/>
      <c r="B127" s="500"/>
      <c r="C127" s="517">
        <v>100</v>
      </c>
      <c r="D127" s="493">
        <v>102</v>
      </c>
      <c r="E127" s="493"/>
      <c r="F127" s="493"/>
      <c r="G127" s="517"/>
      <c r="H127" s="519"/>
      <c r="I127" s="519"/>
      <c r="J127" s="519"/>
      <c r="K127" s="519"/>
      <c r="L127" s="519"/>
      <c r="M127" s="520"/>
      <c r="N127" s="2982"/>
      <c r="O127" s="2982"/>
      <c r="P127" s="2972"/>
      <c r="Q127" s="2973"/>
      <c r="R127" s="2974"/>
      <c r="S127" s="2974"/>
      <c r="T127" s="2974"/>
      <c r="U127" s="2974"/>
      <c r="V127" s="2974"/>
      <c r="W127" s="2974"/>
      <c r="X127" s="2974"/>
      <c r="Y127" s="2974"/>
      <c r="Z127" s="2974"/>
      <c r="AA127" s="2974"/>
      <c r="AB127" s="2974"/>
      <c r="AC127" s="2974"/>
    </row>
    <row r="128" spans="1:29" ht="15" thickTop="1">
      <c r="A128" s="556"/>
      <c r="B128" s="495">
        <f>B45</f>
        <v>111</v>
      </c>
      <c r="C128" s="511"/>
      <c r="D128" s="511"/>
      <c r="E128" s="511"/>
      <c r="F128" s="511"/>
      <c r="G128" s="540"/>
      <c r="H128" s="540"/>
      <c r="I128" s="540"/>
      <c r="J128" s="540"/>
      <c r="K128" s="541"/>
      <c r="L128" s="542"/>
      <c r="M128" s="543"/>
      <c r="N128" s="2980"/>
      <c r="O128" s="2980"/>
      <c r="P128" s="2971"/>
      <c r="Q128" s="2966"/>
      <c r="R128" s="2952"/>
      <c r="S128" s="2952"/>
      <c r="T128" s="2952"/>
      <c r="U128" s="2952"/>
      <c r="V128" s="2952"/>
      <c r="W128" s="2952"/>
      <c r="X128" s="2952"/>
      <c r="Y128" s="2952"/>
      <c r="Z128" s="2952"/>
      <c r="AA128" s="2952"/>
      <c r="AB128" s="2952"/>
      <c r="AC128" s="2952"/>
    </row>
    <row r="129" spans="1:29" ht="15.75" thickBot="1">
      <c r="A129" s="491"/>
      <c r="B129" s="500"/>
      <c r="C129" s="517"/>
      <c r="D129" s="493"/>
      <c r="E129" s="493"/>
      <c r="F129" s="493"/>
      <c r="G129" s="493"/>
      <c r="H129" s="493"/>
      <c r="I129" s="493"/>
      <c r="J129" s="493"/>
      <c r="K129" s="493"/>
      <c r="L129" s="493"/>
      <c r="M129" s="494"/>
      <c r="N129" s="2981"/>
      <c r="O129" s="2981"/>
      <c r="P129" s="2971"/>
      <c r="Q129" s="2966"/>
      <c r="R129" s="2952"/>
      <c r="S129" s="2952"/>
      <c r="T129" s="2952"/>
      <c r="U129" s="2952"/>
      <c r="V129" s="2952"/>
      <c r="W129" s="2952"/>
      <c r="X129" s="2952"/>
      <c r="Y129" s="2952"/>
      <c r="Z129" s="2952"/>
      <c r="AA129" s="2952"/>
      <c r="AB129" s="2952"/>
      <c r="AC129" s="2952"/>
    </row>
    <row r="130" spans="1:29" ht="15" thickTop="1">
      <c r="A130" s="556"/>
      <c r="B130" s="503">
        <f>B46</f>
        <v>111</v>
      </c>
      <c r="C130" s="511"/>
      <c r="D130" s="511"/>
      <c r="E130" s="511"/>
      <c r="F130" s="511"/>
      <c r="G130" s="544"/>
      <c r="H130" s="544"/>
      <c r="I130" s="544"/>
      <c r="J130" s="544"/>
      <c r="K130" s="480"/>
      <c r="L130" s="481"/>
      <c r="M130" s="547"/>
      <c r="N130" s="2980"/>
      <c r="O130" s="2980"/>
      <c r="P130" s="2971"/>
      <c r="Q130" s="2966"/>
      <c r="R130" s="2952"/>
      <c r="S130" s="2952"/>
      <c r="T130" s="2952"/>
      <c r="U130" s="2952"/>
      <c r="V130" s="2952"/>
      <c r="W130" s="2952"/>
      <c r="X130" s="2952"/>
      <c r="Y130" s="2952"/>
      <c r="Z130" s="2952"/>
      <c r="AA130" s="2952"/>
      <c r="AB130" s="2952"/>
      <c r="AC130" s="2952"/>
    </row>
    <row r="131" spans="1:29" ht="15.75" thickBot="1">
      <c r="A131" s="2114"/>
      <c r="B131" s="526"/>
      <c r="C131" s="527"/>
      <c r="D131" s="527"/>
      <c r="E131" s="527"/>
      <c r="F131" s="527"/>
      <c r="G131" s="548"/>
      <c r="H131" s="548"/>
      <c r="I131" s="548"/>
      <c r="J131" s="548"/>
      <c r="K131" s="548"/>
      <c r="L131" s="548"/>
      <c r="M131" s="549"/>
      <c r="N131" s="2981"/>
      <c r="O131" s="2981"/>
      <c r="P131" s="2971"/>
      <c r="Q131" s="2966"/>
      <c r="R131" s="2952"/>
      <c r="S131" s="2952"/>
      <c r="T131" s="2952"/>
      <c r="U131" s="2952"/>
      <c r="V131" s="2952"/>
      <c r="W131" s="2952"/>
      <c r="X131" s="2952"/>
      <c r="Y131" s="2952"/>
      <c r="Z131" s="2952"/>
      <c r="AA131" s="2952"/>
      <c r="AB131" s="2952"/>
      <c r="AC131" s="295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78" priority="21" stopIfTrue="1" operator="containsText" text="超过">
      <formula>NOT(ISERROR(SEARCH("超过",F52)))</formula>
    </cfRule>
  </conditionalFormatting>
  <conditionalFormatting sqref="H54">
    <cfRule type="containsText" dxfId="77" priority="19" stopIfTrue="1" operator="containsText" text="超过">
      <formula>NOT(ISERROR(SEARCH("超过",H54)))</formula>
    </cfRule>
  </conditionalFormatting>
  <conditionalFormatting sqref="F54">
    <cfRule type="containsText" dxfId="76" priority="18" stopIfTrue="1" operator="containsText" text="超过">
      <formula>NOT(ISERROR(SEARCH("超过",F54)))</formula>
    </cfRule>
  </conditionalFormatting>
  <conditionalFormatting sqref="F53 H53">
    <cfRule type="containsText" dxfId="75" priority="17" stopIfTrue="1" operator="containsText" text="超过">
      <formula>NOT(ISERROR(SEARCH("超过",F53)))</formula>
    </cfRule>
  </conditionalFormatting>
  <conditionalFormatting sqref="E52">
    <cfRule type="expression" dxfId="74" priority="16" stopIfTrue="1">
      <formula>$F$52="超过30%"</formula>
    </cfRule>
  </conditionalFormatting>
  <conditionalFormatting sqref="E53">
    <cfRule type="expression" dxfId="73" priority="15" stopIfTrue="1">
      <formula>$F$53="超过20%"</formula>
    </cfRule>
  </conditionalFormatting>
  <conditionalFormatting sqref="E54">
    <cfRule type="expression" dxfId="72" priority="14" stopIfTrue="1">
      <formula>$F$54="超过30%"</formula>
    </cfRule>
  </conditionalFormatting>
  <conditionalFormatting sqref="G54">
    <cfRule type="expression" dxfId="71" priority="13" stopIfTrue="1">
      <formula>$H$54="超过30%"</formula>
    </cfRule>
  </conditionalFormatting>
  <conditionalFormatting sqref="G52">
    <cfRule type="expression" dxfId="70" priority="12" stopIfTrue="1">
      <formula>$H$52="超过30%"</formula>
    </cfRule>
  </conditionalFormatting>
  <conditionalFormatting sqref="G53">
    <cfRule type="expression" dxfId="69" priority="11" stopIfTrue="1">
      <formula>$H$53="超过20%"</formula>
    </cfRule>
  </conditionalFormatting>
  <conditionalFormatting sqref="J52">
    <cfRule type="containsText" dxfId="68" priority="10" stopIfTrue="1" operator="containsText" text="超过">
      <formula>NOT(ISERROR(SEARCH("超过",J52)))</formula>
    </cfRule>
  </conditionalFormatting>
  <conditionalFormatting sqref="J54">
    <cfRule type="containsText" dxfId="67" priority="9" stopIfTrue="1" operator="containsText" text="超过">
      <formula>NOT(ISERROR(SEARCH("超过",J54)))</formula>
    </cfRule>
  </conditionalFormatting>
  <conditionalFormatting sqref="J53">
    <cfRule type="containsText" dxfId="66" priority="8" stopIfTrue="1" operator="containsText" text="超过">
      <formula>NOT(ISERROR(SEARCH("超过",J53)))</formula>
    </cfRule>
  </conditionalFormatting>
  <conditionalFormatting sqref="I52">
    <cfRule type="expression" dxfId="65" priority="7" stopIfTrue="1">
      <formula>$J$52="超过30%"</formula>
    </cfRule>
  </conditionalFormatting>
  <conditionalFormatting sqref="I53">
    <cfRule type="expression" dxfId="64" priority="6" stopIfTrue="1">
      <formula>$J$53="超过20%"</formula>
    </cfRule>
  </conditionalFormatting>
  <conditionalFormatting sqref="I54">
    <cfRule type="expression" dxfId="63" priority="5" stopIfTrue="1">
      <formula>$J$54="超过30%"</formula>
    </cfRule>
  </conditionalFormatting>
  <conditionalFormatting sqref="F48">
    <cfRule type="expression" dxfId="62" priority="4">
      <formula>$D$48="简单平均"</formula>
    </cfRule>
  </conditionalFormatting>
  <conditionalFormatting sqref="H48">
    <cfRule type="expression" dxfId="61" priority="3">
      <formula>$D$48="简单平均"</formula>
    </cfRule>
  </conditionalFormatting>
  <conditionalFormatting sqref="J48">
    <cfRule type="expression" dxfId="60" priority="2">
      <formula>$D$48="简单平均"</formula>
    </cfRule>
  </conditionalFormatting>
  <conditionalFormatting sqref="F7:F46 H7:H46 J7:J46">
    <cfRule type="cellIs" dxfId="59" priority="1" operator="notEqual">
      <formula>100</formula>
    </cfRule>
  </conditionalFormatting>
  <dataValidations count="25">
    <dataValidation type="list" allowBlank="1" showInputMessage="1" showErrorMessage="1" sqref="C10 E10 G10 I10" xr:uid="{00000000-0002-0000-2600-000000000000}">
      <formula1>土地年限区间</formula1>
    </dataValidation>
    <dataValidation type="list" allowBlank="1" showInputMessage="1" showErrorMessage="1" sqref="D1" xr:uid="{00000000-0002-0000-2600-000001000000}">
      <formula1>项目类型</formula1>
    </dataValidation>
    <dataValidation type="list" allowBlank="1" showInputMessage="1" showErrorMessage="1" sqref="C43 E43 G43 I43" xr:uid="{00000000-0002-0000-2600-000002000000}">
      <formula1>内部装修维护情况</formula1>
    </dataValidation>
    <dataValidation type="list" allowBlank="1" showInputMessage="1" showErrorMessage="1" sqref="E20 I20 G20 C20" xr:uid="{00000000-0002-0000-2600-000003000000}">
      <formula1>公共配套设施</formula1>
    </dataValidation>
    <dataValidation type="list" allowBlank="1" showInputMessage="1" showErrorMessage="1" sqref="E18 G18 I18 C18" xr:uid="{00000000-0002-0000-2600-000004000000}">
      <formula1>交通便捷度</formula1>
    </dataValidation>
    <dataValidation type="list" allowBlank="1" showInputMessage="1" showErrorMessage="1" sqref="E24 G24 I24 C24" xr:uid="{00000000-0002-0000-2600-000005000000}">
      <formula1>环境</formula1>
    </dataValidation>
    <dataValidation type="list" allowBlank="1" showInputMessage="1" showErrorMessage="1" sqref="C25 E25 G25 I25" xr:uid="{00000000-0002-0000-2600-000006000000}">
      <formula1>商业临街状况</formula1>
    </dataValidation>
    <dataValidation type="list" allowBlank="1" showInputMessage="1" showErrorMessage="1" sqref="C27 E27 G27 I27" xr:uid="{00000000-0002-0000-2600-000007000000}">
      <formula1>商业人流量</formula1>
    </dataValidation>
    <dataValidation type="list" allowBlank="1" showInputMessage="1" showErrorMessage="1" sqref="C28 E28 G28 I28" xr:uid="{00000000-0002-0000-2600-000008000000}">
      <formula1>商业楼层</formula1>
    </dataValidation>
    <dataValidation type="list" allowBlank="1" showInputMessage="1" showErrorMessage="1" sqref="C32 E32 G32 I32" xr:uid="{00000000-0002-0000-2600-000009000000}">
      <formula1>商业类型</formula1>
    </dataValidation>
    <dataValidation type="list" allowBlank="1" showInputMessage="1" showErrorMessage="1" sqref="C34 E34 G34 I34" xr:uid="{00000000-0002-0000-2600-00000A000000}">
      <formula1>商业建筑结构</formula1>
    </dataValidation>
    <dataValidation type="list" allowBlank="1" showInputMessage="1" showErrorMessage="1" sqref="C35 E35 G35 I35" xr:uid="{00000000-0002-0000-2600-00000B000000}">
      <formula1>商业公共部分装修</formula1>
    </dataValidation>
    <dataValidation type="list" allowBlank="1" showInputMessage="1" showErrorMessage="1" sqref="C37 E37 G37 I37" xr:uid="{00000000-0002-0000-2600-00000C000000}">
      <formula1>商业基础设施水平</formula1>
    </dataValidation>
    <dataValidation type="list" allowBlank="1" showInputMessage="1" showErrorMessage="1" sqref="C41 E41 G41 I41" xr:uid="{00000000-0002-0000-2600-00000D000000}">
      <formula1>商业进深比</formula1>
    </dataValidation>
    <dataValidation type="list" allowBlank="1" showInputMessage="1" showErrorMessage="1" sqref="C42 E42 G42 I42" xr:uid="{00000000-0002-0000-2600-00000E000000}">
      <formula1>商业内部装修</formula1>
    </dataValidation>
    <dataValidation type="list" allowBlank="1" showInputMessage="1" showErrorMessage="1" sqref="E9 G9 I9" xr:uid="{00000000-0002-0000-2600-00000F000000}">
      <formula1>商业用途</formula1>
    </dataValidation>
    <dataValidation type="list" allowBlank="1" showInputMessage="1" showErrorMessage="1" sqref="C38 E38 G38 I38" xr:uid="{00000000-0002-0000-2600-000010000000}">
      <formula1>商业业态</formula1>
    </dataValidation>
    <dataValidation type="list" allowBlank="1" showInputMessage="1" showErrorMessage="1" sqref="C39 E39 G39 I39" xr:uid="{00000000-0002-0000-2600-000011000000}">
      <formula1>商业层高</formula1>
    </dataValidation>
    <dataValidation type="list" allowBlank="1" showInputMessage="1" showErrorMessage="1" sqref="C8 E8 G8 I8" xr:uid="{00000000-0002-0000-2600-000012000000}">
      <formula1>商业交易情况</formula1>
    </dataValidation>
    <dataValidation type="list" allowBlank="1" showInputMessage="1" showErrorMessage="1" sqref="C16 E16 G16 I16" xr:uid="{00000000-0002-0000-2600-000013000000}">
      <formula1>商业繁华度</formula1>
    </dataValidation>
    <dataValidation type="list" allowBlank="1" showInputMessage="1" showErrorMessage="1" sqref="C22 E22 G22 I22" xr:uid="{00000000-0002-0000-2600-000014000000}">
      <formula1>基础设施水平</formula1>
    </dataValidation>
    <dataValidation type="list" allowBlank="1" showInputMessage="1" showErrorMessage="1" sqref="F1" xr:uid="{00000000-0002-0000-2600-000015000000}">
      <formula1>"售价,租金"</formula1>
    </dataValidation>
    <dataValidation type="list" allowBlank="1" showInputMessage="1" showErrorMessage="1" sqref="C2" xr:uid="{00000000-0002-0000-2600-000016000000}">
      <formula1>"需扣减承租人权益,——"</formula1>
    </dataValidation>
    <dataValidation type="list" allowBlank="1" showInputMessage="1" showErrorMessage="1" sqref="F2" xr:uid="{00000000-0002-0000-2600-000017000000}">
      <formula1>估价方法</formula1>
    </dataValidation>
    <dataValidation type="list" allowBlank="1" showInputMessage="1" showErrorMessage="1" sqref="D48" xr:uid="{00000000-0002-0000-2600-000018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50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8"/>
      <c r="C2" s="3508"/>
      <c r="D2" s="3508"/>
      <c r="E2" s="3508"/>
    </row>
    <row r="3" spans="1:5" ht="18">
      <c r="A3" s="3509" t="str">
        <f>IF(项目基本情况!B9="房地产市场价值","估价结果一览表（市场价值不需“结果表-1”）","估价结果一览表")</f>
        <v>估价结果一览表</v>
      </c>
      <c r="B3" s="3509"/>
      <c r="C3" s="3509"/>
      <c r="D3" s="3509"/>
      <c r="E3" s="3509"/>
    </row>
    <row r="4" spans="1:5" ht="19.5" thickBot="1">
      <c r="A4" s="1678"/>
      <c r="B4" s="3507" t="s">
        <v>1595</v>
      </c>
      <c r="C4" s="3507"/>
      <c r="D4" s="3507"/>
      <c r="E4" s="1678"/>
    </row>
    <row r="5" spans="1:5" ht="16.5" thickTop="1">
      <c r="A5" s="1676"/>
      <c r="B5" s="3505" t="s">
        <v>1587</v>
      </c>
      <c r="C5" s="1679" t="s">
        <v>1588</v>
      </c>
      <c r="D5" s="959">
        <f ca="1">结果表!H101</f>
        <v>179559</v>
      </c>
      <c r="E5" s="1676"/>
    </row>
    <row r="6" spans="1:5" ht="15.75">
      <c r="A6" s="1676"/>
      <c r="B6" s="3505"/>
      <c r="C6" s="1679" t="s">
        <v>1589</v>
      </c>
      <c r="D6" s="959" t="str">
        <f ca="1">NUMBERSTRING(INT(D5*10000),2)&amp;"元整"</f>
        <v>壹拾柒亿玖仟伍佰伍拾玖万元整</v>
      </c>
      <c r="E6" s="1676"/>
    </row>
    <row r="7" spans="1:5" ht="15.75">
      <c r="A7" s="1676"/>
      <c r="B7" s="3510"/>
      <c r="C7" s="1680" t="s">
        <v>1590</v>
      </c>
      <c r="D7" s="960">
        <f ca="1">结果表!H102</f>
        <v>37652</v>
      </c>
      <c r="E7" s="1676"/>
    </row>
    <row r="8" spans="1:5" ht="15.75">
      <c r="A8" s="1676"/>
      <c r="B8" s="3511" t="str">
        <f>结果表!E103</f>
        <v>2.估价师知悉的法定优先受偿款</v>
      </c>
      <c r="C8" s="1681" t="s">
        <v>1591</v>
      </c>
      <c r="D8" s="960">
        <f>结果表!H103</f>
        <v>0</v>
      </c>
      <c r="E8" s="1676"/>
    </row>
    <row r="9" spans="1:5" ht="15.75">
      <c r="A9" s="1676"/>
      <c r="B9" s="3513"/>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504" t="str">
        <f>结果表!E107</f>
        <v>3.房地产抵押价值</v>
      </c>
      <c r="C13" s="1684" t="s">
        <v>1588</v>
      </c>
      <c r="D13" s="962">
        <f ca="1">结果表!H107</f>
        <v>179559</v>
      </c>
      <c r="E13" s="1676"/>
    </row>
    <row r="14" spans="1:5" ht="15.75">
      <c r="A14" s="1676"/>
      <c r="B14" s="3505"/>
      <c r="C14" s="1679" t="s">
        <v>1589</v>
      </c>
      <c r="D14" s="959" t="str">
        <f ca="1">NUMBERSTRING(INT(D13*10000),2)&amp;"元整"</f>
        <v>壹拾柒亿玖仟伍佰伍拾玖万元整</v>
      </c>
      <c r="E14" s="1676"/>
    </row>
    <row r="15" spans="1:5" ht="15">
      <c r="A15" s="1676"/>
      <c r="B15" s="3510"/>
      <c r="C15" s="1680" t="s">
        <v>1599</v>
      </c>
      <c r="D15" s="968">
        <f ca="1">结果表!H108</f>
        <v>37652</v>
      </c>
      <c r="E15" s="1676"/>
    </row>
    <row r="16" spans="1:5" ht="15">
      <c r="A16" s="1676"/>
      <c r="B16" s="3511" t="str">
        <f>结果表!E109</f>
        <v>——</v>
      </c>
      <c r="C16" s="1684" t="s">
        <v>1600</v>
      </c>
      <c r="D16" s="1685" t="str">
        <f>结果表!H109</f>
        <v>——</v>
      </c>
      <c r="E16" s="1676"/>
    </row>
    <row r="17" spans="1:5" ht="15.75">
      <c r="A17" s="1676"/>
      <c r="B17" s="3512"/>
      <c r="C17" s="1679" t="s">
        <v>1601</v>
      </c>
      <c r="D17" s="959" t="e">
        <f>NUMBERSTRING(INT(D16*10000),2)&amp;"元整"</f>
        <v>#VALUE!</v>
      </c>
      <c r="E17" s="1676"/>
    </row>
    <row r="18" spans="1:5" ht="15">
      <c r="A18" s="1676"/>
      <c r="B18" s="3513"/>
      <c r="C18" s="1680" t="s">
        <v>1590</v>
      </c>
      <c r="D18" s="968" t="str">
        <f>结果表!H110</f>
        <v>——</v>
      </c>
      <c r="E18" s="1676"/>
    </row>
    <row r="19" spans="1:5" ht="15.75">
      <c r="A19" s="1676"/>
      <c r="B19" s="3504" t="str">
        <f>结果表!E111</f>
        <v>——</v>
      </c>
      <c r="C19" s="1684" t="s">
        <v>1588</v>
      </c>
      <c r="D19" s="960" t="str">
        <f>结果表!H111</f>
        <v>——</v>
      </c>
      <c r="E19" s="1676"/>
    </row>
    <row r="20" spans="1:5" ht="15.75">
      <c r="A20" s="1676"/>
      <c r="B20" s="3505"/>
      <c r="C20" s="1679" t="s">
        <v>1601</v>
      </c>
      <c r="D20" s="959" t="e">
        <f>NUMBERSTRING(INT(D19*10000),2)&amp;"元整"</f>
        <v>#VALUE!</v>
      </c>
      <c r="E20" s="1676"/>
    </row>
    <row r="21" spans="1:5" ht="15.75" thickBot="1">
      <c r="A21" s="1676"/>
      <c r="B21" s="3506"/>
      <c r="C21" s="1686" t="s">
        <v>1599</v>
      </c>
      <c r="D21" s="969" t="str">
        <f>结果表!H112</f>
        <v>——</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AC131"/>
  <sheetViews>
    <sheetView view="pageBreakPreview" topLeftCell="A35" zoomScaleNormal="70" zoomScaleSheetLayoutView="100" workbookViewId="0">
      <selection activeCell="C49" sqref="C49"/>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8.25" style="363" customWidth="1"/>
    <col min="6" max="6" width="12.25" style="363" customWidth="1"/>
    <col min="7" max="7" width="17.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2463</v>
      </c>
      <c r="C1" s="1406" t="s">
        <v>2351</v>
      </c>
      <c r="D1" s="1393"/>
      <c r="E1" s="2543"/>
      <c r="F1" s="2065" t="s">
        <v>3229</v>
      </c>
      <c r="G1" s="1403" t="s">
        <v>2353</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1359</v>
      </c>
      <c r="B2" s="1326">
        <f>IF(C2="——",ROUND(C49*D3/10000,0),ROUND(C49*D3/10000,0)-D2)</f>
        <v>25</v>
      </c>
      <c r="C2" s="2067" t="s">
        <v>70</v>
      </c>
      <c r="D2" s="1275" t="e">
        <f ca="1">SUMIF(INDIRECT("'"&amp;F2&amp;"'"&amp;"!A:A"),"承租人权益价值",INDIRECT("'"&amp;F2&amp;"'"&amp;"!c:c"))</f>
        <v>#REF!</v>
      </c>
      <c r="E2" s="2068" t="s">
        <v>2149</v>
      </c>
      <c r="F2" s="2069"/>
      <c r="G2" s="1039"/>
      <c r="H2" s="1039"/>
      <c r="I2" s="1039"/>
      <c r="J2" s="1039"/>
      <c r="K2" s="1039"/>
      <c r="L2" s="2961"/>
      <c r="M2" s="2962"/>
      <c r="N2" s="2962"/>
      <c r="O2" s="2962"/>
      <c r="P2" s="2138"/>
      <c r="Q2" s="1043"/>
      <c r="R2" s="1043"/>
      <c r="S2" s="1043"/>
      <c r="T2" s="1043"/>
      <c r="U2" s="1043"/>
      <c r="V2" s="1043"/>
      <c r="W2" s="1043"/>
      <c r="X2" s="1043"/>
      <c r="Y2" s="1043"/>
      <c r="Z2" s="1043"/>
      <c r="AA2" s="1043"/>
      <c r="AB2" s="1043"/>
      <c r="AC2" s="2139"/>
    </row>
    <row r="3" spans="1:29" s="358" customFormat="1" ht="28.5" customHeight="1" thickBot="1">
      <c r="A3" s="209" t="s">
        <v>1360</v>
      </c>
      <c r="B3" s="566">
        <f>IF(C2="——",C49,ROUND(B2*10000/D3,0))</f>
        <v>5.2</v>
      </c>
      <c r="C3" s="360" t="s">
        <v>2355</v>
      </c>
      <c r="D3" s="359">
        <f>IF(D1="",'数据-汇总表'!E3,SUMIF('数据-汇总表'!$C19:$C33,D1,'数据-汇总表'!$E19:$E33))</f>
        <v>47689.05</v>
      </c>
      <c r="E3" s="2140"/>
      <c r="F3" s="1040"/>
      <c r="G3" s="1039"/>
      <c r="H3" s="1039"/>
      <c r="I3" s="1039"/>
      <c r="J3" s="1039"/>
      <c r="K3" s="1041"/>
      <c r="L3" s="2961"/>
      <c r="M3" s="2962"/>
      <c r="N3" s="2962"/>
      <c r="O3" s="2962"/>
      <c r="P3" s="2138"/>
      <c r="Q3" s="1043"/>
      <c r="R3" s="1043"/>
      <c r="S3" s="1043"/>
      <c r="T3" s="1043"/>
      <c r="U3" s="1043"/>
      <c r="V3" s="1043"/>
      <c r="W3" s="1043"/>
      <c r="X3" s="1043"/>
      <c r="Y3" s="1043"/>
      <c r="Z3" s="1043"/>
      <c r="AA3" s="1043"/>
      <c r="AB3" s="1043"/>
      <c r="AC3" s="2140"/>
    </row>
    <row r="4" spans="1:29" ht="15">
      <c r="A4" s="361" t="s">
        <v>2356</v>
      </c>
      <c r="B4" s="362"/>
      <c r="C4" s="3781" t="s">
        <v>2357</v>
      </c>
      <c r="D4" s="3782"/>
      <c r="E4" s="3783" t="s">
        <v>2358</v>
      </c>
      <c r="F4" s="3784"/>
      <c r="G4" s="3781" t="s">
        <v>2359</v>
      </c>
      <c r="H4" s="3782"/>
      <c r="I4" s="3781" t="s">
        <v>2360</v>
      </c>
      <c r="J4" s="3782"/>
      <c r="K4" s="567" t="s">
        <v>2361</v>
      </c>
      <c r="L4" s="2942"/>
      <c r="M4" s="2943"/>
      <c r="N4" s="2943"/>
      <c r="O4" s="2943"/>
      <c r="P4" s="3785" t="s">
        <v>2362</v>
      </c>
      <c r="Q4" s="3786"/>
      <c r="R4" s="3768" t="s">
        <v>2358</v>
      </c>
      <c r="S4" s="3769"/>
      <c r="T4" s="3768" t="s">
        <v>2359</v>
      </c>
      <c r="U4" s="3769"/>
      <c r="V4" s="3793" t="s">
        <v>2360</v>
      </c>
      <c r="W4" s="3793"/>
      <c r="X4" s="3288"/>
      <c r="Y4" s="3768" t="s">
        <v>2362</v>
      </c>
      <c r="Z4" s="3769"/>
      <c r="AA4" s="3763" t="s">
        <v>2358</v>
      </c>
      <c r="AB4" s="3793" t="s">
        <v>2359</v>
      </c>
      <c r="AC4" s="3763" t="s">
        <v>2360</v>
      </c>
    </row>
    <row r="5" spans="1:29" ht="13.9" customHeight="1">
      <c r="A5" s="364"/>
      <c r="B5" s="365"/>
      <c r="C5" s="3846" t="s">
        <v>3756</v>
      </c>
      <c r="D5" s="3775"/>
      <c r="E5" s="3863" t="str">
        <f>'案例-租金'!L25</f>
        <v>丰联大厦</v>
      </c>
      <c r="F5" s="3773"/>
      <c r="G5" s="3774" t="str">
        <f>'案例-租金'!L26</f>
        <v>朝阳门SOHO</v>
      </c>
      <c r="H5" s="3775"/>
      <c r="I5" s="3774" t="str">
        <f>'案例-租金'!L28</f>
        <v>凯恒中心</v>
      </c>
      <c r="J5" s="3775"/>
      <c r="K5" s="567"/>
      <c r="L5" s="2942"/>
      <c r="M5" s="2943"/>
      <c r="N5" s="2943"/>
      <c r="O5" s="2943"/>
      <c r="P5" s="3787"/>
      <c r="Q5" s="3788"/>
      <c r="R5" s="3770"/>
      <c r="S5" s="3771"/>
      <c r="T5" s="3770"/>
      <c r="U5" s="3771"/>
      <c r="V5" s="3793"/>
      <c r="W5" s="3793"/>
      <c r="X5" s="3288"/>
      <c r="Y5" s="3770"/>
      <c r="Z5" s="3771"/>
      <c r="AA5" s="3764"/>
      <c r="AB5" s="3793"/>
      <c r="AC5" s="3764"/>
    </row>
    <row r="6" spans="1:29" ht="15.75" customHeight="1" thickBot="1">
      <c r="A6" s="366"/>
      <c r="B6" s="367"/>
      <c r="C6" s="3847" t="s">
        <v>3482</v>
      </c>
      <c r="D6" s="3777"/>
      <c r="E6" s="3864" t="s">
        <v>4289</v>
      </c>
      <c r="F6" s="3779"/>
      <c r="G6" s="3864" t="s">
        <v>4285</v>
      </c>
      <c r="H6" s="3779"/>
      <c r="I6" s="3847" t="s">
        <v>4288</v>
      </c>
      <c r="J6" s="3777"/>
      <c r="K6" s="567" t="s">
        <v>2368</v>
      </c>
      <c r="L6" s="2942"/>
      <c r="M6" s="2943"/>
      <c r="N6" s="2943"/>
      <c r="O6" s="2943"/>
      <c r="P6" s="3789"/>
      <c r="Q6" s="3790"/>
      <c r="R6" s="3770"/>
      <c r="S6" s="3771"/>
      <c r="T6" s="3791"/>
      <c r="U6" s="3792"/>
      <c r="V6" s="3793"/>
      <c r="W6" s="3793"/>
      <c r="X6" s="3288"/>
      <c r="Y6" s="3791"/>
      <c r="Z6" s="3792"/>
      <c r="AA6" s="3765"/>
      <c r="AB6" s="3793"/>
      <c r="AC6" s="3765"/>
    </row>
    <row r="7" spans="1:29" s="113" customFormat="1" ht="15.75" thickBot="1">
      <c r="A7" s="368" t="s">
        <v>2369</v>
      </c>
      <c r="B7" s="369"/>
      <c r="C7" s="370">
        <f>'数据-取费表'!B2</f>
        <v>42914</v>
      </c>
      <c r="D7" s="371">
        <v>100</v>
      </c>
      <c r="E7" s="372">
        <v>42635</v>
      </c>
      <c r="F7" s="373">
        <f>SUMIF(58:58,YEAR(E7)&amp;"-"&amp;MONTH(E7),59:59)</f>
        <v>99</v>
      </c>
      <c r="G7" s="372">
        <v>42886</v>
      </c>
      <c r="H7" s="371">
        <f>SUMIF(58:58,YEAR(G7)&amp;"-"&amp;MONTH(G7),59:59)</f>
        <v>100</v>
      </c>
      <c r="I7" s="372">
        <v>42803</v>
      </c>
      <c r="J7" s="371">
        <f>SUMIF(58:58,YEAR(I7)&amp;"-"&amp;MONTH(I7),59:59)</f>
        <v>100</v>
      </c>
      <c r="K7" s="568"/>
      <c r="L7" s="2944"/>
      <c r="M7" s="2945"/>
      <c r="N7" s="2945"/>
      <c r="O7" s="2945"/>
      <c r="P7" s="3766" t="s">
        <v>2370</v>
      </c>
      <c r="Q7" s="3794"/>
      <c r="R7" s="710" t="s">
        <v>17</v>
      </c>
      <c r="S7" s="711">
        <f t="shared" ref="S7:S15" si="0">F7</f>
        <v>99</v>
      </c>
      <c r="T7" s="710" t="s">
        <v>17</v>
      </c>
      <c r="U7" s="711">
        <f t="shared" ref="U7:U15" si="1">H7</f>
        <v>100</v>
      </c>
      <c r="V7" s="710" t="s">
        <v>17</v>
      </c>
      <c r="W7" s="711">
        <f t="shared" ref="W7:W15" si="2">J7</f>
        <v>100</v>
      </c>
      <c r="X7" s="712"/>
      <c r="Y7" s="3766" t="s">
        <v>2370</v>
      </c>
      <c r="Z7" s="3767"/>
      <c r="AA7" s="713">
        <f>D7/F7</f>
        <v>1.0101010101010102</v>
      </c>
      <c r="AB7" s="713">
        <f>D7/H7</f>
        <v>1</v>
      </c>
      <c r="AC7" s="713">
        <f>D7/J7</f>
        <v>1</v>
      </c>
    </row>
    <row r="8" spans="1:29" s="113" customFormat="1" ht="15.75" thickBot="1">
      <c r="A8" s="368" t="s">
        <v>2371</v>
      </c>
      <c r="B8" s="369"/>
      <c r="C8" s="374" t="s">
        <v>2408</v>
      </c>
      <c r="D8" s="371">
        <v>100</v>
      </c>
      <c r="E8" s="374" t="s">
        <v>2408</v>
      </c>
      <c r="F8" s="373">
        <f>SUMIF(61:61,E8,62:62)-SUMIF(61:61,C8,62:62)+100</f>
        <v>100</v>
      </c>
      <c r="G8" s="374" t="s">
        <v>2408</v>
      </c>
      <c r="H8" s="371">
        <f>SUMIF(61:61,G8,62:62)-SUMIF(61:61,C8,62:62)+100</f>
        <v>100</v>
      </c>
      <c r="I8" s="374" t="s">
        <v>2408</v>
      </c>
      <c r="J8" s="371">
        <f>SUMIF(61:61,I8,62:62)-SUMIF(61:61,C8,62:62)+100</f>
        <v>100</v>
      </c>
      <c r="K8" s="568"/>
      <c r="L8" s="2944"/>
      <c r="M8" s="2945"/>
      <c r="N8" s="2945"/>
      <c r="O8" s="2945"/>
      <c r="P8" s="3766" t="s">
        <v>2373</v>
      </c>
      <c r="Q8" s="3767"/>
      <c r="R8" s="710" t="s">
        <v>17</v>
      </c>
      <c r="S8" s="711">
        <f t="shared" si="0"/>
        <v>100</v>
      </c>
      <c r="T8" s="710" t="s">
        <v>17</v>
      </c>
      <c r="U8" s="711">
        <f t="shared" si="1"/>
        <v>100</v>
      </c>
      <c r="V8" s="710" t="s">
        <v>17</v>
      </c>
      <c r="W8" s="711">
        <f t="shared" si="2"/>
        <v>100</v>
      </c>
      <c r="X8" s="712"/>
      <c r="Y8" s="3766" t="s">
        <v>2373</v>
      </c>
      <c r="Z8" s="3767"/>
      <c r="AA8" s="713">
        <f t="shared" ref="AA8:AA46" si="3">D8/F8</f>
        <v>1</v>
      </c>
      <c r="AB8" s="713">
        <f t="shared" ref="AB8:AB46" si="4">D8/H8</f>
        <v>1</v>
      </c>
      <c r="AC8" s="713">
        <f t="shared" ref="AC8:AC46" si="5">D8/J8</f>
        <v>1</v>
      </c>
    </row>
    <row r="9" spans="1:29" s="113" customFormat="1">
      <c r="A9" s="375" t="s">
        <v>2374</v>
      </c>
      <c r="B9" s="67" t="s">
        <v>2375</v>
      </c>
      <c r="C9" s="3185" t="s">
        <v>3558</v>
      </c>
      <c r="D9" s="131">
        <v>100</v>
      </c>
      <c r="E9" s="377" t="s">
        <v>1343</v>
      </c>
      <c r="F9" s="378">
        <f>SUMIF(63:63,E9,64:64)-SUMIF(63:63,C9,64:64)+100</f>
        <v>100</v>
      </c>
      <c r="G9" s="377" t="s">
        <v>1343</v>
      </c>
      <c r="H9" s="131">
        <f>SUMIF(63:63,G9,64:64)-SUMIF(63:63,C9,64:64)+100</f>
        <v>100</v>
      </c>
      <c r="I9" s="377" t="s">
        <v>1343</v>
      </c>
      <c r="J9" s="131">
        <f>SUMIF(63:63,I9,64:64)-SUMIF(63:63,C9,64:64)+100</f>
        <v>100</v>
      </c>
      <c r="K9" s="568"/>
      <c r="L9" s="2944"/>
      <c r="M9" s="2945"/>
      <c r="N9" s="2945"/>
      <c r="O9" s="2945"/>
      <c r="P9" s="3780" t="s">
        <v>2376</v>
      </c>
      <c r="Q9" s="3287" t="str">
        <f t="shared" ref="Q9:Q15" si="6">B9</f>
        <v>用途</v>
      </c>
      <c r="R9" s="710" t="s">
        <v>17</v>
      </c>
      <c r="S9" s="711">
        <f t="shared" si="0"/>
        <v>100</v>
      </c>
      <c r="T9" s="710" t="s">
        <v>17</v>
      </c>
      <c r="U9" s="711">
        <f t="shared" si="1"/>
        <v>100</v>
      </c>
      <c r="V9" s="710" t="s">
        <v>17</v>
      </c>
      <c r="W9" s="711">
        <f t="shared" si="2"/>
        <v>100</v>
      </c>
      <c r="X9" s="712"/>
      <c r="Y9" s="3708" t="s">
        <v>2377</v>
      </c>
      <c r="Z9" s="3286" t="str">
        <f t="shared" ref="Z9:Z15" si="7">Q9</f>
        <v>用途</v>
      </c>
      <c r="AA9" s="713">
        <f t="shared" si="3"/>
        <v>1</v>
      </c>
      <c r="AB9" s="713">
        <f t="shared" si="4"/>
        <v>1</v>
      </c>
      <c r="AC9" s="713">
        <f t="shared" si="5"/>
        <v>1</v>
      </c>
    </row>
    <row r="10" spans="1:29" s="386" customFormat="1" ht="27" hidden="1">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6"/>
      <c r="M10" s="2947"/>
      <c r="N10" s="2947"/>
      <c r="O10" s="2947"/>
      <c r="P10" s="3780"/>
      <c r="Q10" s="3287" t="str">
        <f t="shared" si="6"/>
        <v>土地使用年限（年）</v>
      </c>
      <c r="R10" s="710" t="s">
        <v>17</v>
      </c>
      <c r="S10" s="711">
        <f t="shared" si="0"/>
        <v>100</v>
      </c>
      <c r="T10" s="710" t="s">
        <v>17</v>
      </c>
      <c r="U10" s="711">
        <f t="shared" si="1"/>
        <v>100</v>
      </c>
      <c r="V10" s="710" t="s">
        <v>17</v>
      </c>
      <c r="W10" s="711">
        <f t="shared" si="2"/>
        <v>100</v>
      </c>
      <c r="X10" s="712"/>
      <c r="Y10" s="3708"/>
      <c r="Z10" s="3286" t="str">
        <f t="shared" si="7"/>
        <v>土地使用年限（年）</v>
      </c>
      <c r="AA10" s="713">
        <f t="shared" si="3"/>
        <v>1</v>
      </c>
      <c r="AB10" s="713">
        <f t="shared" si="4"/>
        <v>1</v>
      </c>
      <c r="AC10" s="713">
        <f t="shared" si="5"/>
        <v>1</v>
      </c>
    </row>
    <row r="11" spans="1:29" ht="15" hidden="1">
      <c r="A11" s="387"/>
      <c r="B11" s="381" t="s">
        <v>2379</v>
      </c>
      <c r="C11" s="388"/>
      <c r="D11" s="132">
        <v>100</v>
      </c>
      <c r="E11" s="389"/>
      <c r="F11" s="384">
        <f>LOOKUP(E11,68:68,69:69)-LOOKUP(C11,68:68,69:69)+100</f>
        <v>100</v>
      </c>
      <c r="G11" s="388"/>
      <c r="H11" s="132">
        <f>LOOKUP(G11,68:68,69:69)-LOOKUP(C11,68:68,69:69)+100</f>
        <v>100</v>
      </c>
      <c r="I11" s="388"/>
      <c r="J11" s="132">
        <f>LOOKUP(I11,68:68,69:69)-LOOKUP(C11,68:68,69:69)+100</f>
        <v>100</v>
      </c>
      <c r="K11" s="569"/>
      <c r="L11" s="2948"/>
      <c r="M11" s="2943"/>
      <c r="N11" s="2943"/>
      <c r="O11" s="2943"/>
      <c r="P11" s="3780"/>
      <c r="Q11" s="3287" t="str">
        <f t="shared" si="6"/>
        <v>容积率</v>
      </c>
      <c r="R11" s="710" t="s">
        <v>17</v>
      </c>
      <c r="S11" s="711">
        <f t="shared" si="0"/>
        <v>100</v>
      </c>
      <c r="T11" s="710" t="s">
        <v>17</v>
      </c>
      <c r="U11" s="711">
        <f t="shared" si="1"/>
        <v>100</v>
      </c>
      <c r="V11" s="710" t="s">
        <v>17</v>
      </c>
      <c r="W11" s="711">
        <f t="shared" si="2"/>
        <v>100</v>
      </c>
      <c r="X11" s="712"/>
      <c r="Y11" s="3708"/>
      <c r="Z11" s="3286" t="str">
        <f t="shared" si="7"/>
        <v>容积率</v>
      </c>
      <c r="AA11" s="713">
        <f t="shared" si="3"/>
        <v>1</v>
      </c>
      <c r="AB11" s="713">
        <f t="shared" si="4"/>
        <v>1</v>
      </c>
      <c r="AC11" s="713">
        <f t="shared" si="5"/>
        <v>1</v>
      </c>
    </row>
    <row r="12" spans="1:29" s="113" customFormat="1" ht="15">
      <c r="A12" s="390"/>
      <c r="B12" s="3315" t="s">
        <v>4242</v>
      </c>
      <c r="C12" s="3313" t="s">
        <v>4243</v>
      </c>
      <c r="D12" s="392">
        <v>100</v>
      </c>
      <c r="E12" s="3170" t="s">
        <v>4243</v>
      </c>
      <c r="F12" s="384">
        <f>SUMIF(70:70,E12,71:71)-SUMIF(70:70,C12,71:71)+100</f>
        <v>100</v>
      </c>
      <c r="G12" s="3170" t="s">
        <v>4244</v>
      </c>
      <c r="H12" s="132">
        <f>SUMIF(70:70,G12,71:71)-SUMIF(70:70,C12,71:71)+100</f>
        <v>95</v>
      </c>
      <c r="I12" s="3170" t="s">
        <v>4243</v>
      </c>
      <c r="J12" s="132">
        <f>SUMIF(70:70,I12,71:71)-SUMIF(70:70,C12,71:71)+100</f>
        <v>100</v>
      </c>
      <c r="K12" s="570"/>
      <c r="L12" s="2944"/>
      <c r="M12" s="2945"/>
      <c r="N12" s="2945"/>
      <c r="O12" s="2945"/>
      <c r="P12" s="3780"/>
      <c r="Q12" s="3287" t="str">
        <f t="shared" si="6"/>
        <v>产权</v>
      </c>
      <c r="R12" s="710" t="s">
        <v>17</v>
      </c>
      <c r="S12" s="711">
        <f t="shared" si="0"/>
        <v>100</v>
      </c>
      <c r="T12" s="710" t="s">
        <v>17</v>
      </c>
      <c r="U12" s="711">
        <f t="shared" si="1"/>
        <v>95</v>
      </c>
      <c r="V12" s="710" t="s">
        <v>17</v>
      </c>
      <c r="W12" s="711">
        <f t="shared" si="2"/>
        <v>100</v>
      </c>
      <c r="X12" s="712"/>
      <c r="Y12" s="3708"/>
      <c r="Z12" s="3286" t="str">
        <f t="shared" si="7"/>
        <v>产权</v>
      </c>
      <c r="AA12" s="713">
        <f>D12/F12</f>
        <v>1</v>
      </c>
      <c r="AB12" s="713">
        <f>D12/H12</f>
        <v>1.0526315789473684</v>
      </c>
      <c r="AC12" s="713">
        <f>D12/J12</f>
        <v>1</v>
      </c>
    </row>
    <row r="13" spans="1:29" ht="15">
      <c r="A13" s="387"/>
      <c r="B13" s="3315" t="s">
        <v>4253</v>
      </c>
      <c r="C13" s="393">
        <v>15</v>
      </c>
      <c r="D13" s="394">
        <v>100</v>
      </c>
      <c r="E13" s="393">
        <v>3</v>
      </c>
      <c r="F13" s="384">
        <f>SUMIF(72:72,E13,73:73)-SUMIF(72:72,C13,73:73)+100</f>
        <v>104</v>
      </c>
      <c r="G13" s="393">
        <v>5</v>
      </c>
      <c r="H13" s="394">
        <f>SUMIF(72:72,G13,73:73)-SUMIF(72:72,C13,73:73)+100</f>
        <v>102</v>
      </c>
      <c r="I13" s="393">
        <v>7</v>
      </c>
      <c r="J13" s="394">
        <f>SUMIF(72:72,I13,73:73)-SUMIF(72:72,C13,73:73)+100</f>
        <v>102</v>
      </c>
      <c r="K13" s="570"/>
      <c r="L13" s="2949"/>
      <c r="M13" s="2943"/>
      <c r="N13" s="2943"/>
      <c r="O13" s="2943"/>
      <c r="P13" s="3780"/>
      <c r="Q13" s="3287" t="str">
        <f t="shared" si="6"/>
        <v>租期</v>
      </c>
      <c r="R13" s="710" t="s">
        <v>17</v>
      </c>
      <c r="S13" s="711">
        <f t="shared" si="0"/>
        <v>104</v>
      </c>
      <c r="T13" s="710" t="s">
        <v>17</v>
      </c>
      <c r="U13" s="711">
        <f t="shared" si="1"/>
        <v>102</v>
      </c>
      <c r="V13" s="710" t="s">
        <v>17</v>
      </c>
      <c r="W13" s="711">
        <f t="shared" si="2"/>
        <v>102</v>
      </c>
      <c r="X13" s="712"/>
      <c r="Y13" s="3708"/>
      <c r="Z13" s="3286" t="str">
        <f t="shared" si="7"/>
        <v>租期</v>
      </c>
      <c r="AA13" s="713">
        <f t="shared" si="3"/>
        <v>0.96153846153846156</v>
      </c>
      <c r="AB13" s="713">
        <f t="shared" si="4"/>
        <v>0.98039215686274506</v>
      </c>
      <c r="AC13" s="713">
        <f t="shared" si="5"/>
        <v>0.98039215686274506</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3312"/>
      <c r="M14" s="2943"/>
      <c r="N14" s="2943"/>
      <c r="O14" s="2943"/>
      <c r="P14" s="3780"/>
      <c r="Q14" s="3287">
        <f t="shared" si="6"/>
        <v>111</v>
      </c>
      <c r="R14" s="710" t="s">
        <v>17</v>
      </c>
      <c r="S14" s="711">
        <f t="shared" si="0"/>
        <v>100</v>
      </c>
      <c r="T14" s="710" t="s">
        <v>17</v>
      </c>
      <c r="U14" s="711">
        <f t="shared" si="1"/>
        <v>100</v>
      </c>
      <c r="V14" s="710" t="s">
        <v>17</v>
      </c>
      <c r="W14" s="711">
        <f t="shared" si="2"/>
        <v>100</v>
      </c>
      <c r="X14" s="712"/>
      <c r="Y14" s="3708"/>
      <c r="Z14" s="3286">
        <f t="shared" si="7"/>
        <v>111</v>
      </c>
      <c r="AA14" s="713">
        <f t="shared" si="3"/>
        <v>1</v>
      </c>
      <c r="AB14" s="713">
        <f t="shared" si="4"/>
        <v>1</v>
      </c>
      <c r="AC14" s="713">
        <f t="shared" si="5"/>
        <v>1</v>
      </c>
    </row>
    <row r="15" spans="1:29" ht="74.25" customHeight="1">
      <c r="A15" s="399" t="s">
        <v>2380</v>
      </c>
      <c r="B15" s="65" t="s">
        <v>2474</v>
      </c>
      <c r="C15" s="2082" t="str">
        <f>估价对象房地状况!C4</f>
        <v>估价对象位于东四商圈，位于商业类一级地价区，周边有隆福大厦、隆福广场、物美超市，东四大街、朝内大街沿街商业氛围成熟，人流量大，商业繁华度较好。</v>
      </c>
      <c r="D15" s="400">
        <v>100</v>
      </c>
      <c r="E15" s="3229" t="s">
        <v>3774</v>
      </c>
      <c r="F15" s="402">
        <f>SUMIF(76:76,E16,77:77)-SUMIF(76:76,C16,77:77)+100</f>
        <v>103</v>
      </c>
      <c r="G15" s="3225" t="str">
        <f>'比较法-商业租金'!G15</f>
        <v>位于朝阳门区域，有朝阳SOHO、悠唐中心等购物场所，商业氛围较成熟，人流量较大，商业繁华度较好</v>
      </c>
      <c r="H15" s="400">
        <f>SUMIF(76:76,G16,77:77)-SUMIF(76:76,C16,77:77)+100</f>
        <v>100</v>
      </c>
      <c r="I15" s="3225" t="str">
        <f>G15</f>
        <v>位于朝阳门区域，有朝阳SOHO、悠唐中心等购物场所，商业氛围较成熟，人流量较大，商业繁华度较好</v>
      </c>
      <c r="J15" s="400">
        <f>SUMIF(76:76,I16,77:77)-SUMIF(76:76,C16,77:77)+100</f>
        <v>100</v>
      </c>
      <c r="K15" s="571">
        <v>3</v>
      </c>
      <c r="L15" s="3229"/>
      <c r="M15" s="2943"/>
      <c r="N15" s="2943"/>
      <c r="O15" s="2943"/>
      <c r="P15" s="3807" t="s">
        <v>2381</v>
      </c>
      <c r="Q15" s="3291" t="str">
        <f t="shared" si="6"/>
        <v>商业繁华度</v>
      </c>
      <c r="R15" s="714" t="s">
        <v>17</v>
      </c>
      <c r="S15" s="715">
        <f t="shared" si="0"/>
        <v>103</v>
      </c>
      <c r="T15" s="714" t="s">
        <v>17</v>
      </c>
      <c r="U15" s="715">
        <f t="shared" si="1"/>
        <v>100</v>
      </c>
      <c r="V15" s="714" t="s">
        <v>17</v>
      </c>
      <c r="W15" s="715">
        <f t="shared" si="2"/>
        <v>100</v>
      </c>
      <c r="X15" s="3288"/>
      <c r="Y15" s="3800" t="s">
        <v>2381</v>
      </c>
      <c r="Z15" s="3289" t="str">
        <f t="shared" si="7"/>
        <v>商业繁华度</v>
      </c>
      <c r="AA15" s="3292">
        <f t="shared" si="3"/>
        <v>0.970873786407767</v>
      </c>
      <c r="AB15" s="3292">
        <f t="shared" si="4"/>
        <v>1</v>
      </c>
      <c r="AC15" s="3292">
        <f t="shared" si="5"/>
        <v>1</v>
      </c>
    </row>
    <row r="16" spans="1:29" ht="15">
      <c r="A16" s="387"/>
      <c r="B16" s="405"/>
      <c r="C16" s="406" t="s">
        <v>3094</v>
      </c>
      <c r="D16" s="407"/>
      <c r="E16" s="406" t="s">
        <v>3095</v>
      </c>
      <c r="F16" s="408"/>
      <c r="G16" s="406" t="s">
        <v>3094</v>
      </c>
      <c r="H16" s="409"/>
      <c r="I16" s="406" t="s">
        <v>3094</v>
      </c>
      <c r="J16" s="407"/>
      <c r="K16" s="572"/>
      <c r="L16" s="2949"/>
      <c r="M16" s="2943"/>
      <c r="N16" s="2943"/>
      <c r="O16" s="2943"/>
      <c r="P16" s="3808"/>
      <c r="Q16" s="3291"/>
      <c r="R16" s="714"/>
      <c r="S16" s="715"/>
      <c r="T16" s="714"/>
      <c r="U16" s="715"/>
      <c r="V16" s="714"/>
      <c r="W16" s="715"/>
      <c r="X16" s="3288"/>
      <c r="Y16" s="3801"/>
      <c r="Z16" s="3289"/>
      <c r="AA16" s="3292">
        <v>1</v>
      </c>
      <c r="AB16" s="3292">
        <v>1</v>
      </c>
      <c r="AC16" s="3292">
        <v>1</v>
      </c>
    </row>
    <row r="17" spans="1:29" ht="66" customHeight="1">
      <c r="A17" s="387"/>
      <c r="B17" s="410" t="s">
        <v>1945</v>
      </c>
      <c r="C17" s="2086" t="str">
        <f>估价对象房地状况!C6</f>
        <v>估价对象位于东四路口的东南角，紧临城市主干道-朝阳门内大街，西距东四南大街100米，距离地铁5号线（2007年通车）与6号线（2012年通车）东四站75米，多条公交线路通达，公共交通便利，停车便捷度好，综合评价交通便捷度较好。</v>
      </c>
      <c r="D17" s="409">
        <v>100</v>
      </c>
      <c r="E17" s="3222" t="s">
        <v>3767</v>
      </c>
      <c r="F17" s="412">
        <f>SUMIF(78:78,E18,79:79)-SUMIF(78:78,C18,79:79)+100</f>
        <v>97</v>
      </c>
      <c r="G17" s="3222" t="str">
        <f>'比较法-商业租金'!G17</f>
        <v>主路口紧邻城市次干道-南竹杆胡同，距离地铁2号线（1984年）、6号线朝阳门站约300米，多条公交线路通达，公共交通便利，综合评价交通便捷度较好。</v>
      </c>
      <c r="H17" s="414">
        <f>SUMIF(78:78,G18,79:79)-SUMIF(78:78,C18,79:79)+100</f>
        <v>97</v>
      </c>
      <c r="I17" s="3222" t="str">
        <f>G17</f>
        <v>主路口紧邻城市次干道-南竹杆胡同，距离地铁2号线（1984年）、6号线朝阳门站约300米，多条公交线路通达，公共交通便利，综合评价交通便捷度较好。</v>
      </c>
      <c r="J17" s="414">
        <f>SUMIF(78:78,I18,79:79)-SUMIF(78:78,C18,79:79)+100</f>
        <v>97</v>
      </c>
      <c r="K17" s="571">
        <v>3</v>
      </c>
      <c r="L17" s="3222"/>
      <c r="M17" s="2943"/>
      <c r="N17" s="2943"/>
      <c r="O17" s="2943"/>
      <c r="P17" s="3808"/>
      <c r="Q17" s="3291" t="str">
        <f>B17</f>
        <v>交通便捷度</v>
      </c>
      <c r="R17" s="714" t="s">
        <v>17</v>
      </c>
      <c r="S17" s="715">
        <f>F17</f>
        <v>97</v>
      </c>
      <c r="T17" s="714" t="s">
        <v>17</v>
      </c>
      <c r="U17" s="715">
        <f>H17</f>
        <v>97</v>
      </c>
      <c r="V17" s="714" t="s">
        <v>17</v>
      </c>
      <c r="W17" s="715">
        <f>J17</f>
        <v>97</v>
      </c>
      <c r="X17" s="3288"/>
      <c r="Y17" s="3801"/>
      <c r="Z17" s="3289" t="str">
        <f>Q17</f>
        <v>交通便捷度</v>
      </c>
      <c r="AA17" s="3292">
        <f t="shared" si="3"/>
        <v>1.0309278350515463</v>
      </c>
      <c r="AB17" s="3292">
        <f t="shared" si="4"/>
        <v>1.0309278350515463</v>
      </c>
      <c r="AC17" s="3292">
        <f t="shared" si="5"/>
        <v>1.0309278350515463</v>
      </c>
    </row>
    <row r="18" spans="1:29" ht="15">
      <c r="A18" s="387"/>
      <c r="B18" s="415"/>
      <c r="C18" s="2087" t="s">
        <v>3095</v>
      </c>
      <c r="D18" s="409"/>
      <c r="E18" s="2087" t="s">
        <v>3094</v>
      </c>
      <c r="F18" s="412"/>
      <c r="G18" s="2087" t="s">
        <v>3094</v>
      </c>
      <c r="H18" s="407"/>
      <c r="I18" s="2087" t="s">
        <v>3094</v>
      </c>
      <c r="J18" s="407"/>
      <c r="K18" s="572"/>
      <c r="L18" s="2949"/>
      <c r="M18" s="2943"/>
      <c r="N18" s="2943"/>
      <c r="O18" s="2943"/>
      <c r="P18" s="3808"/>
      <c r="Q18" s="3291"/>
      <c r="R18" s="714"/>
      <c r="S18" s="715"/>
      <c r="T18" s="714"/>
      <c r="U18" s="715"/>
      <c r="V18" s="714"/>
      <c r="W18" s="715"/>
      <c r="X18" s="3288"/>
      <c r="Y18" s="3801"/>
      <c r="Z18" s="3289"/>
      <c r="AA18" s="3292">
        <v>1</v>
      </c>
      <c r="AB18" s="3292">
        <v>1</v>
      </c>
      <c r="AC18" s="3292">
        <v>1</v>
      </c>
    </row>
    <row r="19" spans="1:29" ht="85.5" customHeight="1">
      <c r="A19" s="387"/>
      <c r="B19" s="410" t="s">
        <v>2475</v>
      </c>
      <c r="C19" s="2086" t="str">
        <f>估价对象房地状况!C7</f>
        <v>估价对象所在区域有购物场所（隆福广场、物美超市等），教育机构（灯市口小学、北京市第一六六中学），医疗网点（北京市东城区口腔医院、北京市东城区朝阳门社区卫生服务中心），金融网点（中国邮政储蓄银行、中国工商银行、北京农商银行、广发银行），综合分析，公共配套设施齐备程度较好。</v>
      </c>
      <c r="D19" s="414">
        <v>100</v>
      </c>
      <c r="E19" s="3224" t="s">
        <v>3768</v>
      </c>
      <c r="F19" s="417">
        <f>SUMIF(80:80,E20,81:81)-SUMIF(80:80,C20,81:81)+100</f>
        <v>100</v>
      </c>
      <c r="G19" s="3224" t="str">
        <f>'比较法-商业租金'!G19</f>
        <v>估价对象所在区域有购物场所（银河SOHO、悠唐购物中心、物美超市等），教育机构（新鲜胡同小学、东城区回民小学等），医疗网点（首都儿研所附属儿童医院、中国人民解放军总医院第七医学中心、朝阳中医院等），金融网点（中国银行、兴业银行、中国工商银行等），综合分析，公共配套设施齐备程度较好。</v>
      </c>
      <c r="H19" s="409">
        <f>SUMIF(80:80,G20,81:81)-SUMIF(80:80,C20,81:81)+100</f>
        <v>100</v>
      </c>
      <c r="I19" s="3224" t="str">
        <f>G19</f>
        <v>估价对象所在区域有购物场所（银河SOHO、悠唐购物中心、物美超市等），教育机构（新鲜胡同小学、东城区回民小学等），医疗网点（首都儿研所附属儿童医院、中国人民解放军总医院第七医学中心、朝阳中医院等），金融网点（中国银行、兴业银行、中国工商银行等），综合分析，公共配套设施齐备程度较好。</v>
      </c>
      <c r="J19" s="409">
        <f>SUMIF(80:80,I20,81:81)-SUMIF(80:80,C20,81:81)+100</f>
        <v>100</v>
      </c>
      <c r="K19" s="571">
        <v>2</v>
      </c>
      <c r="L19" s="3224"/>
      <c r="M19" s="2943"/>
      <c r="N19" s="2943"/>
      <c r="O19" s="2943"/>
      <c r="P19" s="3808"/>
      <c r="Q19" s="3291" t="str">
        <f>B19</f>
        <v>公共配套设施</v>
      </c>
      <c r="R19" s="714" t="s">
        <v>17</v>
      </c>
      <c r="S19" s="715">
        <f>F19</f>
        <v>100</v>
      </c>
      <c r="T19" s="714" t="s">
        <v>17</v>
      </c>
      <c r="U19" s="715">
        <f>H19</f>
        <v>100</v>
      </c>
      <c r="V19" s="714" t="s">
        <v>17</v>
      </c>
      <c r="W19" s="715">
        <f>J19</f>
        <v>100</v>
      </c>
      <c r="X19" s="3288"/>
      <c r="Y19" s="3801"/>
      <c r="Z19" s="3289" t="str">
        <f>Q19</f>
        <v>公共配套设施</v>
      </c>
      <c r="AA19" s="3292">
        <f t="shared" si="3"/>
        <v>1</v>
      </c>
      <c r="AB19" s="3292">
        <f t="shared" si="4"/>
        <v>1</v>
      </c>
      <c r="AC19" s="3292">
        <f t="shared" si="5"/>
        <v>1</v>
      </c>
    </row>
    <row r="20" spans="1:29" ht="15">
      <c r="A20" s="387"/>
      <c r="B20" s="415"/>
      <c r="C20" s="406" t="s">
        <v>3094</v>
      </c>
      <c r="D20" s="407"/>
      <c r="E20" s="406" t="s">
        <v>3094</v>
      </c>
      <c r="F20" s="408"/>
      <c r="G20" s="406" t="s">
        <v>3094</v>
      </c>
      <c r="H20" s="407"/>
      <c r="I20" s="406" t="s">
        <v>3094</v>
      </c>
      <c r="J20" s="407"/>
      <c r="K20" s="572"/>
      <c r="L20" s="2949"/>
      <c r="M20" s="2943"/>
      <c r="N20" s="2943"/>
      <c r="O20" s="2943"/>
      <c r="P20" s="3808"/>
      <c r="Q20" s="3291"/>
      <c r="R20" s="714"/>
      <c r="S20" s="715"/>
      <c r="T20" s="714"/>
      <c r="U20" s="715"/>
      <c r="V20" s="714"/>
      <c r="W20" s="715"/>
      <c r="X20" s="3288"/>
      <c r="Y20" s="3801"/>
      <c r="Z20" s="3289"/>
      <c r="AA20" s="3292">
        <v>1</v>
      </c>
      <c r="AB20" s="3292">
        <v>1</v>
      </c>
      <c r="AC20" s="3292">
        <v>1</v>
      </c>
    </row>
    <row r="21" spans="1:29" ht="21" customHeight="1">
      <c r="A21" s="387"/>
      <c r="B21" s="1293" t="s">
        <v>2476</v>
      </c>
      <c r="C21" s="2086"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v>2</v>
      </c>
      <c r="L21" s="2949"/>
      <c r="M21" s="2943"/>
      <c r="N21" s="2943"/>
      <c r="O21" s="2943"/>
      <c r="P21" s="3808"/>
      <c r="Q21" s="3291" t="str">
        <f>B21</f>
        <v>基础设施水平</v>
      </c>
      <c r="R21" s="714" t="s">
        <v>17</v>
      </c>
      <c r="S21" s="715">
        <f>F21</f>
        <v>100</v>
      </c>
      <c r="T21" s="714" t="s">
        <v>17</v>
      </c>
      <c r="U21" s="715">
        <f>H21</f>
        <v>100</v>
      </c>
      <c r="V21" s="714" t="s">
        <v>17</v>
      </c>
      <c r="W21" s="715">
        <f>J21</f>
        <v>100</v>
      </c>
      <c r="X21" s="3288"/>
      <c r="Y21" s="3801"/>
      <c r="Z21" s="3289" t="str">
        <f>Q21</f>
        <v>基础设施水平</v>
      </c>
      <c r="AA21" s="3292">
        <f>D21/F21</f>
        <v>1</v>
      </c>
      <c r="AB21" s="3292">
        <f>D21/H21</f>
        <v>1</v>
      </c>
      <c r="AC21" s="3292">
        <f>D21/J21</f>
        <v>1</v>
      </c>
    </row>
    <row r="22" spans="1:29" ht="15">
      <c r="A22" s="387"/>
      <c r="B22" s="1293"/>
      <c r="C22" s="2087" t="s">
        <v>3475</v>
      </c>
      <c r="D22" s="407"/>
      <c r="E22" s="2087" t="s">
        <v>3475</v>
      </c>
      <c r="F22" s="408"/>
      <c r="G22" s="2087" t="s">
        <v>3475</v>
      </c>
      <c r="H22" s="407"/>
      <c r="I22" s="2087" t="s">
        <v>3475</v>
      </c>
      <c r="J22" s="407"/>
      <c r="K22" s="1292"/>
      <c r="L22" s="2949"/>
      <c r="M22" s="2943"/>
      <c r="N22" s="2943"/>
      <c r="O22" s="2943"/>
      <c r="P22" s="3808"/>
      <c r="Q22" s="3291"/>
      <c r="R22" s="714"/>
      <c r="S22" s="715"/>
      <c r="T22" s="714"/>
      <c r="U22" s="715"/>
      <c r="V22" s="714"/>
      <c r="W22" s="715"/>
      <c r="X22" s="3288"/>
      <c r="Y22" s="3801"/>
      <c r="Z22" s="3289"/>
      <c r="AA22" s="3292">
        <v>1</v>
      </c>
      <c r="AB22" s="3292">
        <v>1</v>
      </c>
      <c r="AC22" s="3292">
        <v>1</v>
      </c>
    </row>
    <row r="23" spans="1:29" ht="25.5" customHeight="1">
      <c r="A23" s="387"/>
      <c r="B23" s="410" t="s">
        <v>1947</v>
      </c>
      <c r="C23" s="2141" t="str">
        <f>估价对象房地状况!C9</f>
        <v>周边有隆福寺广场、东四清真寺等，自然及人文环境较好</v>
      </c>
      <c r="D23" s="409">
        <v>100</v>
      </c>
      <c r="E23" s="3228" t="s">
        <v>3769</v>
      </c>
      <c r="F23" s="412">
        <f>SUMIF(84:84,E24,85:85)-SUMIF(84:84,C24,85:85)+100</f>
        <v>100</v>
      </c>
      <c r="G23" s="3222" t="str">
        <f>'比较法-商业租金'!G23</f>
        <v>周边有智化寺等，自然及人文环境较好</v>
      </c>
      <c r="H23" s="409">
        <f>SUMIF(84:84,G24,85:85)-SUMIF(84:84,C24,85:85)+100</f>
        <v>100</v>
      </c>
      <c r="I23" s="3223" t="str">
        <f>G23</f>
        <v>周边有智化寺等，自然及人文环境较好</v>
      </c>
      <c r="J23" s="409">
        <f>SUMIF(84:84,I24,85:85)-SUMIF(84:84,C24,85:85)+100</f>
        <v>100</v>
      </c>
      <c r="K23" s="571">
        <v>2</v>
      </c>
      <c r="L23" s="3228"/>
      <c r="M23" s="2943"/>
      <c r="N23" s="2943"/>
      <c r="O23" s="2943"/>
      <c r="P23" s="3808"/>
      <c r="Q23" s="3291" t="str">
        <f>B23</f>
        <v>自然及人文环境</v>
      </c>
      <c r="R23" s="714" t="s">
        <v>17</v>
      </c>
      <c r="S23" s="715">
        <f>F23</f>
        <v>100</v>
      </c>
      <c r="T23" s="714" t="s">
        <v>17</v>
      </c>
      <c r="U23" s="715">
        <f>H23</f>
        <v>100</v>
      </c>
      <c r="V23" s="714" t="s">
        <v>17</v>
      </c>
      <c r="W23" s="715">
        <f>J23</f>
        <v>100</v>
      </c>
      <c r="X23" s="3288"/>
      <c r="Y23" s="3801"/>
      <c r="Z23" s="3289" t="str">
        <f>Q23</f>
        <v>自然及人文环境</v>
      </c>
      <c r="AA23" s="3292">
        <f t="shared" si="3"/>
        <v>1</v>
      </c>
      <c r="AB23" s="3292">
        <f t="shared" si="4"/>
        <v>1</v>
      </c>
      <c r="AC23" s="3292">
        <f t="shared" si="5"/>
        <v>1</v>
      </c>
    </row>
    <row r="24" spans="1:29" ht="15">
      <c r="A24" s="387"/>
      <c r="B24" s="415"/>
      <c r="C24" s="406" t="s">
        <v>3094</v>
      </c>
      <c r="D24" s="407"/>
      <c r="E24" s="406" t="s">
        <v>3094</v>
      </c>
      <c r="F24" s="408"/>
      <c r="G24" s="406" t="s">
        <v>3094</v>
      </c>
      <c r="H24" s="407"/>
      <c r="I24" s="406" t="s">
        <v>3094</v>
      </c>
      <c r="J24" s="407"/>
      <c r="K24" s="572"/>
      <c r="L24" s="2949"/>
      <c r="M24" s="2943"/>
      <c r="N24" s="2943"/>
      <c r="O24" s="2943"/>
      <c r="P24" s="3808"/>
      <c r="Q24" s="3291"/>
      <c r="R24" s="714"/>
      <c r="S24" s="715"/>
      <c r="T24" s="714"/>
      <c r="U24" s="715"/>
      <c r="V24" s="714"/>
      <c r="W24" s="715"/>
      <c r="X24" s="3288"/>
      <c r="Y24" s="3801"/>
      <c r="Z24" s="3289"/>
      <c r="AA24" s="3292">
        <v>1</v>
      </c>
      <c r="AB24" s="3292">
        <v>1</v>
      </c>
      <c r="AC24" s="3292">
        <v>1</v>
      </c>
    </row>
    <row r="25" spans="1:29" ht="15" hidden="1">
      <c r="A25" s="387"/>
      <c r="B25" s="3460" t="s">
        <v>4263</v>
      </c>
      <c r="C25" s="573" t="s">
        <v>3476</v>
      </c>
      <c r="D25" s="394">
        <v>100</v>
      </c>
      <c r="E25" s="573" t="s">
        <v>3480</v>
      </c>
      <c r="F25" s="420">
        <f>SUMIF(86:86,E25,87:87)-SUMIF(86:86,C25,87:87)+100</f>
        <v>100</v>
      </c>
      <c r="G25" s="573" t="s">
        <v>3763</v>
      </c>
      <c r="H25" s="394">
        <f>SUMIF(86:86,G25,87:87)-SUMIF(86:86,C25,87:87)+100</f>
        <v>100</v>
      </c>
      <c r="I25" s="573" t="s">
        <v>3763</v>
      </c>
      <c r="J25" s="394">
        <f>SUMIF(86:86,I25,87:87)-SUMIF(86:86,C25,87:87)+100</f>
        <v>100</v>
      </c>
      <c r="K25" s="569">
        <v>0</v>
      </c>
      <c r="L25" s="2949"/>
      <c r="M25" s="2943"/>
      <c r="N25" s="2943"/>
      <c r="O25" s="2943"/>
      <c r="P25" s="3808"/>
      <c r="Q25" s="3291" t="str">
        <f t="shared" ref="Q25:Q46" si="8">B25</f>
        <v>临街状况</v>
      </c>
      <c r="R25" s="714" t="s">
        <v>17</v>
      </c>
      <c r="S25" s="715">
        <f>F25</f>
        <v>100</v>
      </c>
      <c r="T25" s="714" t="s">
        <v>17</v>
      </c>
      <c r="U25" s="715">
        <f>H25</f>
        <v>100</v>
      </c>
      <c r="V25" s="714" t="s">
        <v>17</v>
      </c>
      <c r="W25" s="715">
        <f>J25</f>
        <v>100</v>
      </c>
      <c r="X25" s="3288"/>
      <c r="Y25" s="3801"/>
      <c r="Z25" s="3289" t="str">
        <f>Q25</f>
        <v>临街状况</v>
      </c>
      <c r="AA25" s="3292">
        <f t="shared" si="3"/>
        <v>1</v>
      </c>
      <c r="AB25" s="3292">
        <f t="shared" si="4"/>
        <v>1</v>
      </c>
      <c r="AC25" s="3292">
        <f t="shared" si="5"/>
        <v>1</v>
      </c>
    </row>
    <row r="26" spans="1:29" ht="15" hidden="1">
      <c r="A26" s="387"/>
      <c r="B26" s="1295" t="s">
        <v>2478</v>
      </c>
      <c r="C26" s="3184"/>
      <c r="D26" s="394">
        <v>100</v>
      </c>
      <c r="E26" s="3184"/>
      <c r="F26" s="420">
        <f>SUMIF(88:88,E26,89:89)-SUMIF(88:88,C26,89:89)+100</f>
        <v>100</v>
      </c>
      <c r="G26" s="3184"/>
      <c r="H26" s="394">
        <f>SUMIF(88:88,G26,89:89)-SUMIF(88:88,C26,89:89)+100</f>
        <v>100</v>
      </c>
      <c r="I26" s="3184"/>
      <c r="J26" s="394">
        <f>SUMIF(88:88,I26,89:89)-SUMIF(88:88,C26,89:89)+100</f>
        <v>100</v>
      </c>
      <c r="K26" s="570"/>
      <c r="L26" s="2949"/>
      <c r="M26" s="2943"/>
      <c r="N26" s="2943"/>
      <c r="O26" s="2943"/>
      <c r="P26" s="3808"/>
      <c r="Q26" s="3291" t="str">
        <f t="shared" si="8"/>
        <v>平面位置/可视性</v>
      </c>
      <c r="R26" s="714" t="s">
        <v>17</v>
      </c>
      <c r="S26" s="715">
        <f>F26</f>
        <v>100</v>
      </c>
      <c r="T26" s="714" t="s">
        <v>17</v>
      </c>
      <c r="U26" s="715">
        <f>H26</f>
        <v>100</v>
      </c>
      <c r="V26" s="714" t="s">
        <v>17</v>
      </c>
      <c r="W26" s="715">
        <f>J26</f>
        <v>100</v>
      </c>
      <c r="X26" s="3288"/>
      <c r="Y26" s="3801"/>
      <c r="Z26" s="3289" t="str">
        <f>Q26</f>
        <v>平面位置/可视性</v>
      </c>
      <c r="AA26" s="3292">
        <f t="shared" si="3"/>
        <v>1</v>
      </c>
      <c r="AB26" s="3292">
        <f t="shared" si="4"/>
        <v>1</v>
      </c>
      <c r="AC26" s="3292">
        <f t="shared" si="5"/>
        <v>1</v>
      </c>
    </row>
    <row r="27" spans="1:29" s="113" customFormat="1" ht="15">
      <c r="A27" s="390"/>
      <c r="B27" s="410" t="s">
        <v>2479</v>
      </c>
      <c r="C27" s="2142" t="s">
        <v>3567</v>
      </c>
      <c r="D27" s="421">
        <v>100</v>
      </c>
      <c r="E27" s="2142" t="s">
        <v>3567</v>
      </c>
      <c r="F27" s="423">
        <f>SUMIF(90:90,E27,91:91)-SUMIF(90:90,C27,91:91)+100</f>
        <v>100</v>
      </c>
      <c r="G27" s="2142" t="s">
        <v>3567</v>
      </c>
      <c r="H27" s="421">
        <f>SUMIF(90:90,G27,91:91)-SUMIF(90:90,C27,91:91)+100</f>
        <v>100</v>
      </c>
      <c r="I27" s="2142" t="s">
        <v>3567</v>
      </c>
      <c r="J27" s="421">
        <f>SUMIF(90:90,I27,91:91)-SUMIF(90:90,C27,91:91)+100</f>
        <v>100</v>
      </c>
      <c r="K27" s="569">
        <v>2</v>
      </c>
      <c r="L27" s="2944"/>
      <c r="M27" s="2945"/>
      <c r="N27" s="2945"/>
      <c r="O27" s="2945"/>
      <c r="P27" s="3808"/>
      <c r="Q27" s="3287" t="str">
        <f t="shared" si="8"/>
        <v>人流量</v>
      </c>
      <c r="R27" s="710" t="s">
        <v>17</v>
      </c>
      <c r="S27" s="711">
        <f>F27</f>
        <v>100</v>
      </c>
      <c r="T27" s="710" t="s">
        <v>17</v>
      </c>
      <c r="U27" s="711">
        <f>H27</f>
        <v>100</v>
      </c>
      <c r="V27" s="710" t="s">
        <v>17</v>
      </c>
      <c r="W27" s="711">
        <f>J27</f>
        <v>100</v>
      </c>
      <c r="X27" s="712"/>
      <c r="Y27" s="3801"/>
      <c r="Z27" s="3286" t="str">
        <f>Q27</f>
        <v>人流量</v>
      </c>
      <c r="AA27" s="3292">
        <f>D27/F27</f>
        <v>1</v>
      </c>
      <c r="AB27" s="3292">
        <f>D27/H27</f>
        <v>1</v>
      </c>
      <c r="AC27" s="3292">
        <f>D27/J27</f>
        <v>1</v>
      </c>
    </row>
    <row r="28" spans="1:29" ht="15" hidden="1">
      <c r="A28" s="387"/>
      <c r="B28" s="381" t="s">
        <v>2480</v>
      </c>
      <c r="C28" s="573">
        <v>1</v>
      </c>
      <c r="D28" s="394">
        <v>100</v>
      </c>
      <c r="E28" s="573">
        <v>1</v>
      </c>
      <c r="F28" s="420">
        <f>SUMIF(92:92,E28,93:93)-SUMIF(92:92,C28,93:93)+100</f>
        <v>100</v>
      </c>
      <c r="G28" s="573">
        <v>1</v>
      </c>
      <c r="H28" s="394">
        <f>SUMIF(92:92,G28,93:93)-SUMIF(92:92,C28,93:93)+100</f>
        <v>100</v>
      </c>
      <c r="I28" s="573">
        <v>1</v>
      </c>
      <c r="J28" s="394">
        <f>SUMIF(92:92,I28,93:93)-SUMIF(92:92,C28,93:93)+100</f>
        <v>100</v>
      </c>
      <c r="K28" s="570"/>
      <c r="L28" s="2949"/>
      <c r="M28" s="2943"/>
      <c r="N28" s="2943"/>
      <c r="O28" s="2943"/>
      <c r="P28" s="3808"/>
      <c r="Q28" s="3291" t="str">
        <f t="shared" si="8"/>
        <v>楼层</v>
      </c>
      <c r="R28" s="714" t="s">
        <v>17</v>
      </c>
      <c r="S28" s="715">
        <f t="shared" ref="S28:S46" si="9">F28</f>
        <v>100</v>
      </c>
      <c r="T28" s="714" t="s">
        <v>17</v>
      </c>
      <c r="U28" s="715">
        <f t="shared" ref="U28:U46" si="10">H28</f>
        <v>100</v>
      </c>
      <c r="V28" s="714" t="s">
        <v>17</v>
      </c>
      <c r="W28" s="715">
        <f t="shared" ref="W28:W46" si="11">J28</f>
        <v>100</v>
      </c>
      <c r="X28" s="3288"/>
      <c r="Y28" s="3801"/>
      <c r="Z28" s="3289" t="str">
        <f t="shared" ref="Z28:Z46" si="12">Q28</f>
        <v>楼层</v>
      </c>
      <c r="AA28" s="3292">
        <f t="shared" si="3"/>
        <v>1</v>
      </c>
      <c r="AB28" s="3292">
        <f t="shared" si="4"/>
        <v>1</v>
      </c>
      <c r="AC28" s="3292">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49"/>
      <c r="M29" s="2943"/>
      <c r="N29" s="2943"/>
      <c r="O29" s="2943"/>
      <c r="P29" s="3808"/>
      <c r="Q29" s="3291">
        <f t="shared" si="8"/>
        <v>111</v>
      </c>
      <c r="R29" s="714" t="s">
        <v>17</v>
      </c>
      <c r="S29" s="715">
        <f t="shared" si="9"/>
        <v>100</v>
      </c>
      <c r="T29" s="714" t="s">
        <v>17</v>
      </c>
      <c r="U29" s="715">
        <f t="shared" si="10"/>
        <v>100</v>
      </c>
      <c r="V29" s="714" t="s">
        <v>17</v>
      </c>
      <c r="W29" s="715">
        <f t="shared" si="11"/>
        <v>100</v>
      </c>
      <c r="X29" s="3288"/>
      <c r="Y29" s="3801"/>
      <c r="Z29" s="3289">
        <f t="shared" si="12"/>
        <v>111</v>
      </c>
      <c r="AA29" s="3292">
        <f t="shared" si="3"/>
        <v>1</v>
      </c>
      <c r="AB29" s="3292">
        <f t="shared" si="4"/>
        <v>1</v>
      </c>
      <c r="AC29" s="3292">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49"/>
      <c r="M30" s="2943"/>
      <c r="N30" s="2943"/>
      <c r="O30" s="2943"/>
      <c r="P30" s="3808"/>
      <c r="Q30" s="3291">
        <f t="shared" si="8"/>
        <v>111</v>
      </c>
      <c r="R30" s="714" t="s">
        <v>17</v>
      </c>
      <c r="S30" s="715">
        <f t="shared" si="9"/>
        <v>100</v>
      </c>
      <c r="T30" s="714" t="s">
        <v>17</v>
      </c>
      <c r="U30" s="715">
        <f t="shared" si="10"/>
        <v>100</v>
      </c>
      <c r="V30" s="714" t="s">
        <v>17</v>
      </c>
      <c r="W30" s="715">
        <f t="shared" si="11"/>
        <v>100</v>
      </c>
      <c r="X30" s="3288"/>
      <c r="Y30" s="3801"/>
      <c r="Z30" s="3289">
        <f t="shared" si="12"/>
        <v>111</v>
      </c>
      <c r="AA30" s="3292">
        <f t="shared" si="3"/>
        <v>1</v>
      </c>
      <c r="AB30" s="3292">
        <f t="shared" si="4"/>
        <v>1</v>
      </c>
      <c r="AC30" s="3292">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49"/>
      <c r="M31" s="2943"/>
      <c r="N31" s="2943"/>
      <c r="O31" s="2943"/>
      <c r="P31" s="3808"/>
      <c r="Q31" s="3291">
        <f t="shared" si="8"/>
        <v>111</v>
      </c>
      <c r="R31" s="714" t="s">
        <v>17</v>
      </c>
      <c r="S31" s="715">
        <f t="shared" si="9"/>
        <v>100</v>
      </c>
      <c r="T31" s="714" t="s">
        <v>17</v>
      </c>
      <c r="U31" s="715">
        <f t="shared" si="10"/>
        <v>100</v>
      </c>
      <c r="V31" s="714" t="s">
        <v>17</v>
      </c>
      <c r="W31" s="715">
        <f t="shared" si="11"/>
        <v>100</v>
      </c>
      <c r="X31" s="3288"/>
      <c r="Y31" s="3801"/>
      <c r="Z31" s="3289">
        <f t="shared" si="12"/>
        <v>111</v>
      </c>
      <c r="AA31" s="3292">
        <f t="shared" si="3"/>
        <v>1</v>
      </c>
      <c r="AB31" s="3292">
        <f t="shared" si="4"/>
        <v>1</v>
      </c>
      <c r="AC31" s="3292">
        <f t="shared" si="5"/>
        <v>1</v>
      </c>
    </row>
    <row r="32" spans="1:29" ht="15">
      <c r="A32" s="399" t="s">
        <v>2384</v>
      </c>
      <c r="B32" s="67" t="s">
        <v>2481</v>
      </c>
      <c r="C32" s="2096" t="s">
        <v>3565</v>
      </c>
      <c r="D32" s="426">
        <v>100</v>
      </c>
      <c r="E32" s="2096" t="s">
        <v>3565</v>
      </c>
      <c r="F32" s="420">
        <f>SUMIF(100:100,E32,101:101)-SUMIF(100:100,C32,101:101)+100</f>
        <v>100</v>
      </c>
      <c r="G32" s="2096" t="s">
        <v>4043</v>
      </c>
      <c r="H32" s="394">
        <f>SUMIF(100:100,G32,101:101)-SUMIF(100:100,C32,101:101)+100</f>
        <v>102</v>
      </c>
      <c r="I32" s="2096" t="s">
        <v>3565</v>
      </c>
      <c r="J32" s="426">
        <f>SUMIF(100:100,I32,101:101)-SUMIF(100:100,C32,101:101)+100</f>
        <v>100</v>
      </c>
      <c r="K32" s="569">
        <v>2</v>
      </c>
      <c r="L32" s="2949"/>
      <c r="M32" s="2943"/>
      <c r="N32" s="2943"/>
      <c r="O32" s="2943"/>
      <c r="P32" s="3802" t="s">
        <v>2386</v>
      </c>
      <c r="Q32" s="3291" t="str">
        <f t="shared" si="8"/>
        <v>商业类型</v>
      </c>
      <c r="R32" s="714" t="s">
        <v>17</v>
      </c>
      <c r="S32" s="715">
        <f t="shared" si="9"/>
        <v>100</v>
      </c>
      <c r="T32" s="714" t="s">
        <v>17</v>
      </c>
      <c r="U32" s="715">
        <f t="shared" si="10"/>
        <v>102</v>
      </c>
      <c r="V32" s="714" t="s">
        <v>17</v>
      </c>
      <c r="W32" s="715">
        <f t="shared" si="11"/>
        <v>100</v>
      </c>
      <c r="X32" s="3288"/>
      <c r="Y32" s="3805" t="s">
        <v>2386</v>
      </c>
      <c r="Z32" s="3289" t="str">
        <f t="shared" si="12"/>
        <v>商业类型</v>
      </c>
      <c r="AA32" s="3292">
        <f t="shared" si="3"/>
        <v>1</v>
      </c>
      <c r="AB32" s="3292">
        <f t="shared" si="4"/>
        <v>0.98039215686274506</v>
      </c>
      <c r="AC32" s="3292">
        <f t="shared" si="5"/>
        <v>1</v>
      </c>
    </row>
    <row r="33" spans="1:29" s="430" customFormat="1" ht="15" hidden="1">
      <c r="A33" s="427"/>
      <c r="B33" s="381" t="s">
        <v>2387</v>
      </c>
      <c r="C33" s="428">
        <f>'数据-汇总表'!E3</f>
        <v>47689.05</v>
      </c>
      <c r="D33" s="132">
        <v>100</v>
      </c>
      <c r="E33" s="389">
        <v>59187</v>
      </c>
      <c r="F33" s="384">
        <f>LOOKUP(E33,103:103,104:104)-LOOKUP(C33,103:103,104:104)+100</f>
        <v>100</v>
      </c>
      <c r="G33" s="388">
        <v>149036</v>
      </c>
      <c r="H33" s="132">
        <f>LOOKUP(G33,103:103,104:104)-LOOKUP(C33,103:103,104:104)+100</f>
        <v>100</v>
      </c>
      <c r="I33" s="388">
        <v>126785</v>
      </c>
      <c r="J33" s="132">
        <f>LOOKUP(I33,103:103,104:104)-LOOKUP(C33,103:103,104:104)+100</f>
        <v>100</v>
      </c>
      <c r="K33" s="570"/>
      <c r="L33" s="2948"/>
      <c r="M33" s="2950"/>
      <c r="N33" s="2950"/>
      <c r="O33" s="2950"/>
      <c r="P33" s="3803"/>
      <c r="Q33" s="716" t="str">
        <f t="shared" si="8"/>
        <v>项目建筑规模</v>
      </c>
      <c r="R33" s="717" t="s">
        <v>17</v>
      </c>
      <c r="S33" s="718">
        <f t="shared" si="9"/>
        <v>100</v>
      </c>
      <c r="T33" s="717" t="s">
        <v>17</v>
      </c>
      <c r="U33" s="718">
        <f t="shared" si="10"/>
        <v>100</v>
      </c>
      <c r="V33" s="717" t="s">
        <v>17</v>
      </c>
      <c r="W33" s="718">
        <f t="shared" si="11"/>
        <v>100</v>
      </c>
      <c r="X33" s="719"/>
      <c r="Y33" s="3805"/>
      <c r="Z33" s="720" t="str">
        <f t="shared" si="12"/>
        <v>项目建筑规模</v>
      </c>
      <c r="AA33" s="3292">
        <f t="shared" si="3"/>
        <v>1</v>
      </c>
      <c r="AB33" s="3292">
        <f t="shared" si="4"/>
        <v>1</v>
      </c>
      <c r="AC33" s="3292">
        <f t="shared" si="5"/>
        <v>1</v>
      </c>
    </row>
    <row r="34" spans="1:29" ht="15">
      <c r="A34" s="431"/>
      <c r="B34" s="381" t="s">
        <v>2388</v>
      </c>
      <c r="C34" s="2098" t="s">
        <v>3499</v>
      </c>
      <c r="D34" s="394">
        <v>100</v>
      </c>
      <c r="E34" s="2098" t="s">
        <v>3499</v>
      </c>
      <c r="F34" s="420">
        <f>SUMIF(105:105,E34,106:106)-SUMIF(105:105,C34,106:106)+100</f>
        <v>100</v>
      </c>
      <c r="G34" s="2098" t="s">
        <v>3499</v>
      </c>
      <c r="H34" s="394">
        <f>SUMIF(105:105,G34,106:106)-SUMIF(105:105,C34,106:106)+100</f>
        <v>100</v>
      </c>
      <c r="I34" s="2098" t="s">
        <v>3499</v>
      </c>
      <c r="J34" s="394">
        <f>SUMIF(105:105,I34,106:106)-SUMIF(105:105,C34,106:106)+100</f>
        <v>100</v>
      </c>
      <c r="K34" s="569">
        <v>2</v>
      </c>
      <c r="L34" s="2949"/>
      <c r="M34" s="2943"/>
      <c r="N34" s="2943"/>
      <c r="O34" s="2943"/>
      <c r="P34" s="3803"/>
      <c r="Q34" s="3291" t="str">
        <f t="shared" si="8"/>
        <v>建筑结构</v>
      </c>
      <c r="R34" s="714" t="s">
        <v>17</v>
      </c>
      <c r="S34" s="715">
        <f t="shared" si="9"/>
        <v>100</v>
      </c>
      <c r="T34" s="714" t="s">
        <v>17</v>
      </c>
      <c r="U34" s="715">
        <f t="shared" si="10"/>
        <v>100</v>
      </c>
      <c r="V34" s="714" t="s">
        <v>17</v>
      </c>
      <c r="W34" s="715">
        <f t="shared" si="11"/>
        <v>100</v>
      </c>
      <c r="X34" s="3288"/>
      <c r="Y34" s="3805"/>
      <c r="Z34" s="3289" t="str">
        <f t="shared" si="12"/>
        <v>建筑结构</v>
      </c>
      <c r="AA34" s="3292">
        <f t="shared" si="3"/>
        <v>1</v>
      </c>
      <c r="AB34" s="3292">
        <f t="shared" si="4"/>
        <v>1</v>
      </c>
      <c r="AC34" s="3292">
        <f t="shared" si="5"/>
        <v>1</v>
      </c>
    </row>
    <row r="35" spans="1:29" ht="15">
      <c r="A35" s="431"/>
      <c r="B35" s="381" t="s">
        <v>2482</v>
      </c>
      <c r="C35" s="2092" t="s">
        <v>3503</v>
      </c>
      <c r="D35" s="394">
        <v>100</v>
      </c>
      <c r="E35" s="2092" t="s">
        <v>3500</v>
      </c>
      <c r="F35" s="420">
        <f>SUMIF(107:107,E35,108:108)-SUMIF(107:107,C35,108:108)+100</f>
        <v>104</v>
      </c>
      <c r="G35" s="2092" t="s">
        <v>3500</v>
      </c>
      <c r="H35" s="394">
        <f>SUMIF(107:107,G35,108:108)-SUMIF(107:107,C35,108:108)+100</f>
        <v>104</v>
      </c>
      <c r="I35" s="2092" t="s">
        <v>3500</v>
      </c>
      <c r="J35" s="394">
        <f>SUMIF(107:107,I35,108:108)-SUMIF(107:107,C35,108:108)+100</f>
        <v>104</v>
      </c>
      <c r="K35" s="569">
        <v>2</v>
      </c>
      <c r="L35" s="2949"/>
      <c r="M35" s="2943"/>
      <c r="N35" s="2943"/>
      <c r="O35" s="2943"/>
      <c r="P35" s="3803"/>
      <c r="Q35" s="3291" t="str">
        <f t="shared" si="8"/>
        <v>公共部分装修</v>
      </c>
      <c r="R35" s="714" t="s">
        <v>17</v>
      </c>
      <c r="S35" s="715">
        <f t="shared" si="9"/>
        <v>104</v>
      </c>
      <c r="T35" s="714" t="s">
        <v>17</v>
      </c>
      <c r="U35" s="715">
        <f t="shared" si="10"/>
        <v>104</v>
      </c>
      <c r="V35" s="714" t="s">
        <v>17</v>
      </c>
      <c r="W35" s="715">
        <f t="shared" si="11"/>
        <v>104</v>
      </c>
      <c r="X35" s="3288"/>
      <c r="Y35" s="3805"/>
      <c r="Z35" s="3289" t="str">
        <f t="shared" si="12"/>
        <v>公共部分装修</v>
      </c>
      <c r="AA35" s="3292">
        <f t="shared" si="3"/>
        <v>0.96153846153846156</v>
      </c>
      <c r="AB35" s="3292">
        <f t="shared" si="4"/>
        <v>0.96153846153846156</v>
      </c>
      <c r="AC35" s="3292">
        <f t="shared" si="5"/>
        <v>0.96153846153846156</v>
      </c>
    </row>
    <row r="36" spans="1:29" ht="15" hidden="1">
      <c r="A36" s="431"/>
      <c r="B36" s="381" t="s">
        <v>2483</v>
      </c>
      <c r="C36" s="433">
        <v>0.8</v>
      </c>
      <c r="D36" s="394">
        <v>100</v>
      </c>
      <c r="E36" s="433">
        <v>0.8</v>
      </c>
      <c r="F36" s="420">
        <f>LOOKUP(E36,110:110,111:111)-LOOKUP(C36,110:110,111:111)+100</f>
        <v>100</v>
      </c>
      <c r="G36" s="433">
        <f>1-(2021-2010)/60</f>
        <v>0.81666666666666665</v>
      </c>
      <c r="H36" s="420">
        <f>LOOKUP(G36,110:110,111:111)-LOOKUP(C36,110:110,111:111)+100</f>
        <v>100</v>
      </c>
      <c r="I36" s="433">
        <f>1-(2021-2015)/60</f>
        <v>0.9</v>
      </c>
      <c r="J36" s="394">
        <f>LOOKUP(I36,110:110,111:111)-LOOKUP(C36,110:110,111:111)+100</f>
        <v>100</v>
      </c>
      <c r="K36" s="569">
        <v>0</v>
      </c>
      <c r="L36" s="2949"/>
      <c r="M36" s="2943"/>
      <c r="N36" s="2943"/>
      <c r="O36" s="2943"/>
      <c r="P36" s="3803"/>
      <c r="Q36" s="3291" t="str">
        <f t="shared" si="8"/>
        <v>成新度</v>
      </c>
      <c r="R36" s="714" t="s">
        <v>17</v>
      </c>
      <c r="S36" s="715">
        <f t="shared" si="9"/>
        <v>100</v>
      </c>
      <c r="T36" s="714" t="s">
        <v>17</v>
      </c>
      <c r="U36" s="715">
        <f t="shared" si="10"/>
        <v>100</v>
      </c>
      <c r="V36" s="714" t="s">
        <v>17</v>
      </c>
      <c r="W36" s="715">
        <f t="shared" si="11"/>
        <v>100</v>
      </c>
      <c r="X36" s="3288"/>
      <c r="Y36" s="3805"/>
      <c r="Z36" s="3289" t="str">
        <f t="shared" si="12"/>
        <v>成新度</v>
      </c>
      <c r="AA36" s="3292">
        <f t="shared" si="3"/>
        <v>1</v>
      </c>
      <c r="AB36" s="3292">
        <f t="shared" si="4"/>
        <v>1</v>
      </c>
      <c r="AC36" s="3292">
        <f t="shared" si="5"/>
        <v>1</v>
      </c>
    </row>
    <row r="37" spans="1:29" s="113" customFormat="1" ht="15" hidden="1">
      <c r="A37" s="432"/>
      <c r="B37" s="381" t="s">
        <v>2484</v>
      </c>
      <c r="C37" s="2092" t="s">
        <v>3475</v>
      </c>
      <c r="D37" s="132">
        <v>100</v>
      </c>
      <c r="E37" s="2092" t="s">
        <v>3475</v>
      </c>
      <c r="F37" s="420">
        <f>SUMIF(112:112,E37,113:113)-SUMIF(112:112,C37,113:113)+100</f>
        <v>100</v>
      </c>
      <c r="G37" s="2092" t="s">
        <v>3475</v>
      </c>
      <c r="H37" s="394">
        <f>SUMIF(112:112,G37,113:113)-SUMIF(112:112,C37,113:113)+100</f>
        <v>100</v>
      </c>
      <c r="I37" s="2092" t="s">
        <v>3475</v>
      </c>
      <c r="J37" s="394">
        <f>SUMIF(112:112,I37,113:113)-SUMIF(112:112,C37,113:113)+100</f>
        <v>100</v>
      </c>
      <c r="K37" s="569"/>
      <c r="L37" s="2944"/>
      <c r="M37" s="2945"/>
      <c r="N37" s="2945"/>
      <c r="O37" s="2945"/>
      <c r="P37" s="3803"/>
      <c r="Q37" s="3287" t="str">
        <f t="shared" si="8"/>
        <v>市政基础设施</v>
      </c>
      <c r="R37" s="710" t="s">
        <v>17</v>
      </c>
      <c r="S37" s="711">
        <f t="shared" si="9"/>
        <v>100</v>
      </c>
      <c r="T37" s="710" t="s">
        <v>17</v>
      </c>
      <c r="U37" s="711">
        <f t="shared" si="10"/>
        <v>100</v>
      </c>
      <c r="V37" s="710" t="s">
        <v>17</v>
      </c>
      <c r="W37" s="711">
        <f t="shared" si="11"/>
        <v>100</v>
      </c>
      <c r="X37" s="712"/>
      <c r="Y37" s="3805"/>
      <c r="Z37" s="3286" t="str">
        <f t="shared" si="12"/>
        <v>市政基础设施</v>
      </c>
      <c r="AA37" s="713">
        <f t="shared" si="3"/>
        <v>1</v>
      </c>
      <c r="AB37" s="713">
        <f t="shared" si="4"/>
        <v>1</v>
      </c>
      <c r="AC37" s="713">
        <f t="shared" si="5"/>
        <v>1</v>
      </c>
    </row>
    <row r="38" spans="1:29" ht="15" hidden="1">
      <c r="A38" s="431"/>
      <c r="B38" s="381" t="s">
        <v>2485</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49"/>
      <c r="M38" s="2943"/>
      <c r="N38" s="2943"/>
      <c r="O38" s="2943"/>
      <c r="P38" s="3803" t="s">
        <v>2386</v>
      </c>
      <c r="Q38" s="3291" t="str">
        <f t="shared" si="8"/>
        <v>业态</v>
      </c>
      <c r="R38" s="714" t="s">
        <v>17</v>
      </c>
      <c r="S38" s="715">
        <f t="shared" si="9"/>
        <v>100</v>
      </c>
      <c r="T38" s="714" t="s">
        <v>17</v>
      </c>
      <c r="U38" s="715">
        <f t="shared" si="10"/>
        <v>100</v>
      </c>
      <c r="V38" s="714" t="s">
        <v>17</v>
      </c>
      <c r="W38" s="715">
        <f t="shared" si="11"/>
        <v>100</v>
      </c>
      <c r="X38" s="3288"/>
      <c r="Y38" s="3805" t="s">
        <v>2386</v>
      </c>
      <c r="Z38" s="3289" t="str">
        <f t="shared" si="12"/>
        <v>业态</v>
      </c>
      <c r="AA38" s="3292">
        <f t="shared" si="3"/>
        <v>1</v>
      </c>
      <c r="AB38" s="3292">
        <f t="shared" si="4"/>
        <v>1</v>
      </c>
      <c r="AC38" s="3292">
        <f t="shared" si="5"/>
        <v>1</v>
      </c>
    </row>
    <row r="39" spans="1:29" ht="15" hidden="1">
      <c r="A39" s="431"/>
      <c r="B39" s="381" t="s">
        <v>2486</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49"/>
      <c r="M39" s="2943"/>
      <c r="N39" s="2943"/>
      <c r="O39" s="2943"/>
      <c r="P39" s="3803"/>
      <c r="Q39" s="3291" t="str">
        <f t="shared" si="8"/>
        <v>层高</v>
      </c>
      <c r="R39" s="714" t="s">
        <v>17</v>
      </c>
      <c r="S39" s="715">
        <f t="shared" si="9"/>
        <v>100</v>
      </c>
      <c r="T39" s="714" t="s">
        <v>17</v>
      </c>
      <c r="U39" s="715">
        <f t="shared" si="10"/>
        <v>100</v>
      </c>
      <c r="V39" s="714" t="s">
        <v>17</v>
      </c>
      <c r="W39" s="715">
        <f t="shared" si="11"/>
        <v>100</v>
      </c>
      <c r="X39" s="3288"/>
      <c r="Y39" s="3805"/>
      <c r="Z39" s="3289" t="str">
        <f t="shared" si="12"/>
        <v>层高</v>
      </c>
      <c r="AA39" s="3292">
        <f t="shared" si="3"/>
        <v>1</v>
      </c>
      <c r="AB39" s="3292">
        <f t="shared" si="4"/>
        <v>1</v>
      </c>
      <c r="AC39" s="3292">
        <f t="shared" si="5"/>
        <v>1</v>
      </c>
    </row>
    <row r="40" spans="1:29" ht="15">
      <c r="A40" s="431"/>
      <c r="B40" s="381" t="s">
        <v>2487</v>
      </c>
      <c r="C40" s="428">
        <f>面积表及结果!G14</f>
        <v>4318.3500000000004</v>
      </c>
      <c r="D40" s="394">
        <v>100</v>
      </c>
      <c r="E40" s="575">
        <f>'案例-租金'!N25</f>
        <v>372.82</v>
      </c>
      <c r="F40" s="420">
        <f>SUMIF(118:118,E40,119:119)-SUMIF(118:118,C40,119:119)+100</f>
        <v>102</v>
      </c>
      <c r="G40" s="575">
        <f>'案例-租金'!N26</f>
        <v>366</v>
      </c>
      <c r="H40" s="394">
        <f>SUMIF(118:118,G40,119:119)-SUMIF(118:118,C40,119:119)+100</f>
        <v>102</v>
      </c>
      <c r="I40" s="575">
        <f>'案例-租金'!N28</f>
        <v>269.83</v>
      </c>
      <c r="J40" s="394">
        <f>SUMIF(118:118,I40,119:119)-SUMIF(118:118,C40,119:119)+100</f>
        <v>102</v>
      </c>
      <c r="K40" s="570"/>
      <c r="L40" s="2949"/>
      <c r="M40" s="2943"/>
      <c r="N40" s="2943"/>
      <c r="O40" s="2943"/>
      <c r="P40" s="3803"/>
      <c r="Q40" s="3291" t="str">
        <f t="shared" si="8"/>
        <v>单套建筑面积</v>
      </c>
      <c r="R40" s="714" t="s">
        <v>17</v>
      </c>
      <c r="S40" s="715">
        <f t="shared" si="9"/>
        <v>102</v>
      </c>
      <c r="T40" s="714" t="s">
        <v>17</v>
      </c>
      <c r="U40" s="715">
        <f t="shared" si="10"/>
        <v>102</v>
      </c>
      <c r="V40" s="714" t="s">
        <v>17</v>
      </c>
      <c r="W40" s="715">
        <f t="shared" si="11"/>
        <v>102</v>
      </c>
      <c r="X40" s="3288"/>
      <c r="Y40" s="3805"/>
      <c r="Z40" s="3289" t="str">
        <f t="shared" si="12"/>
        <v>单套建筑面积</v>
      </c>
      <c r="AA40" s="3292">
        <f t="shared" si="3"/>
        <v>0.98039215686274506</v>
      </c>
      <c r="AB40" s="3292">
        <f t="shared" si="4"/>
        <v>0.98039215686274506</v>
      </c>
      <c r="AC40" s="3292">
        <f t="shared" si="5"/>
        <v>0.98039215686274506</v>
      </c>
    </row>
    <row r="41" spans="1:29" s="430" customFormat="1" ht="15" hidden="1">
      <c r="A41" s="427"/>
      <c r="B41" s="3290"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8"/>
      <c r="M41" s="2950"/>
      <c r="N41" s="2950"/>
      <c r="O41" s="2950"/>
      <c r="P41" s="3803"/>
      <c r="Q41" s="716" t="str">
        <f t="shared" si="8"/>
        <v>进深比</v>
      </c>
      <c r="R41" s="717" t="s">
        <v>17</v>
      </c>
      <c r="S41" s="718">
        <f t="shared" si="9"/>
        <v>100</v>
      </c>
      <c r="T41" s="717" t="s">
        <v>17</v>
      </c>
      <c r="U41" s="718">
        <f t="shared" si="10"/>
        <v>100</v>
      </c>
      <c r="V41" s="717" t="s">
        <v>17</v>
      </c>
      <c r="W41" s="718">
        <f t="shared" si="11"/>
        <v>100</v>
      </c>
      <c r="X41" s="719"/>
      <c r="Y41" s="3805"/>
      <c r="Z41" s="720" t="str">
        <f t="shared" si="12"/>
        <v>进深比</v>
      </c>
      <c r="AA41" s="3292">
        <f t="shared" si="3"/>
        <v>1</v>
      </c>
      <c r="AB41" s="3292">
        <f t="shared" si="4"/>
        <v>1</v>
      </c>
      <c r="AC41" s="3292">
        <f t="shared" si="5"/>
        <v>1</v>
      </c>
    </row>
    <row r="42" spans="1:29" ht="15" hidden="1">
      <c r="A42" s="431"/>
      <c r="B42" s="381" t="s">
        <v>2489</v>
      </c>
      <c r="C42" s="2092" t="s">
        <v>3503</v>
      </c>
      <c r="D42" s="394">
        <v>100</v>
      </c>
      <c r="E42" s="2092" t="s">
        <v>3503</v>
      </c>
      <c r="F42" s="420">
        <f>SUMIF(122:122,E42,123:123)-SUMIF(122:122,C42,123:123)+100</f>
        <v>100</v>
      </c>
      <c r="G42" s="2092" t="s">
        <v>3503</v>
      </c>
      <c r="H42" s="394">
        <f>SUMIF(122:122,G42,123:123)-SUMIF(122:122,C42,123:123)+100</f>
        <v>100</v>
      </c>
      <c r="I42" s="2092" t="s">
        <v>3503</v>
      </c>
      <c r="J42" s="394">
        <f>SUMIF(122:122,I42,123:123)-SUMIF(122:122,C42,123:123)+100</f>
        <v>100</v>
      </c>
      <c r="K42" s="569">
        <v>2</v>
      </c>
      <c r="L42" s="2949"/>
      <c r="M42" s="2943"/>
      <c r="N42" s="2943"/>
      <c r="O42" s="2943"/>
      <c r="P42" s="3803"/>
      <c r="Q42" s="3291" t="str">
        <f t="shared" si="8"/>
        <v>内部装修</v>
      </c>
      <c r="R42" s="714" t="s">
        <v>17</v>
      </c>
      <c r="S42" s="715">
        <f t="shared" si="9"/>
        <v>100</v>
      </c>
      <c r="T42" s="714" t="s">
        <v>17</v>
      </c>
      <c r="U42" s="715">
        <f t="shared" si="10"/>
        <v>100</v>
      </c>
      <c r="V42" s="714" t="s">
        <v>17</v>
      </c>
      <c r="W42" s="715">
        <f t="shared" si="11"/>
        <v>100</v>
      </c>
      <c r="X42" s="3288"/>
      <c r="Y42" s="3805"/>
      <c r="Z42" s="3289" t="str">
        <f t="shared" si="12"/>
        <v>内部装修</v>
      </c>
      <c r="AA42" s="3292">
        <f t="shared" si="3"/>
        <v>1</v>
      </c>
      <c r="AB42" s="3292">
        <f t="shared" si="4"/>
        <v>1</v>
      </c>
      <c r="AC42" s="3292">
        <f t="shared" si="5"/>
        <v>1</v>
      </c>
    </row>
    <row r="43" spans="1:29" ht="15" hidden="1">
      <c r="A43" s="431"/>
      <c r="B43" s="381" t="s">
        <v>2397</v>
      </c>
      <c r="C43" s="2092" t="s">
        <v>3094</v>
      </c>
      <c r="D43" s="394">
        <v>100</v>
      </c>
      <c r="E43" s="2092" t="s">
        <v>3094</v>
      </c>
      <c r="F43" s="420">
        <f>SUMIF(124:124,E43,125:125)-SUMIF(124:124,C43,125:125)+100</f>
        <v>100</v>
      </c>
      <c r="G43" s="2092" t="s">
        <v>3094</v>
      </c>
      <c r="H43" s="394">
        <f>SUMIF(124:124,G43,125:125)-SUMIF(124:124,C43,125:125)+100</f>
        <v>100</v>
      </c>
      <c r="I43" s="2092" t="s">
        <v>3094</v>
      </c>
      <c r="J43" s="394">
        <f>SUMIF(124:124,I43,125:125)-SUMIF(124:124,C43,125:125)+100</f>
        <v>100</v>
      </c>
      <c r="K43" s="569">
        <v>2</v>
      </c>
      <c r="L43" s="2949"/>
      <c r="M43" s="2943"/>
      <c r="N43" s="2943"/>
      <c r="O43" s="2943"/>
      <c r="P43" s="3803"/>
      <c r="Q43" s="3291" t="str">
        <f t="shared" si="8"/>
        <v>内部装修维护情况</v>
      </c>
      <c r="R43" s="714" t="s">
        <v>17</v>
      </c>
      <c r="S43" s="715">
        <f t="shared" si="9"/>
        <v>100</v>
      </c>
      <c r="T43" s="714" t="s">
        <v>17</v>
      </c>
      <c r="U43" s="715">
        <f t="shared" si="10"/>
        <v>100</v>
      </c>
      <c r="V43" s="714" t="s">
        <v>17</v>
      </c>
      <c r="W43" s="715">
        <f t="shared" si="11"/>
        <v>100</v>
      </c>
      <c r="X43" s="3288"/>
      <c r="Y43" s="3805"/>
      <c r="Z43" s="3289" t="str">
        <f t="shared" si="12"/>
        <v>内部装修维护情况</v>
      </c>
      <c r="AA43" s="3292">
        <f t="shared" si="3"/>
        <v>1</v>
      </c>
      <c r="AB43" s="3292">
        <f t="shared" si="4"/>
        <v>1</v>
      </c>
      <c r="AC43" s="3292">
        <f t="shared" si="5"/>
        <v>1</v>
      </c>
    </row>
    <row r="44" spans="1:29" s="113" customFormat="1" ht="15">
      <c r="A44" s="432"/>
      <c r="B44" s="3154" t="s">
        <v>4291</v>
      </c>
      <c r="C44" s="3472" t="s">
        <v>4292</v>
      </c>
      <c r="D44" s="132">
        <v>100</v>
      </c>
      <c r="E44" s="3170" t="s">
        <v>4293</v>
      </c>
      <c r="F44" s="384">
        <f>SUMIF(126:126,E44,127:127)-SUMIF(126:126,C44,127:127)+100</f>
        <v>102</v>
      </c>
      <c r="G44" s="3170" t="s">
        <v>4293</v>
      </c>
      <c r="H44" s="132">
        <f>SUMIF(126:126,G44,127:127)-SUMIF(126:126,C44,127:127)+100</f>
        <v>102</v>
      </c>
      <c r="I44" s="3170" t="s">
        <v>4293</v>
      </c>
      <c r="J44" s="132">
        <f>SUMIF(126:126,I44,127:127)-SUMIF(126:126,C44,127:127)+100</f>
        <v>102</v>
      </c>
      <c r="K44" s="570"/>
      <c r="L44" s="2944"/>
      <c r="M44" s="2945"/>
      <c r="N44" s="2945"/>
      <c r="O44" s="2945"/>
      <c r="P44" s="3803"/>
      <c r="Q44" s="3287" t="str">
        <f t="shared" si="8"/>
        <v>租赁类型</v>
      </c>
      <c r="R44" s="710" t="s">
        <v>17</v>
      </c>
      <c r="S44" s="711">
        <f t="shared" si="9"/>
        <v>102</v>
      </c>
      <c r="T44" s="710" t="s">
        <v>17</v>
      </c>
      <c r="U44" s="711">
        <f t="shared" si="10"/>
        <v>102</v>
      </c>
      <c r="V44" s="710" t="s">
        <v>17</v>
      </c>
      <c r="W44" s="711">
        <f t="shared" si="11"/>
        <v>102</v>
      </c>
      <c r="X44" s="712"/>
      <c r="Y44" s="3805"/>
      <c r="Z44" s="3286" t="str">
        <f t="shared" si="12"/>
        <v>租赁类型</v>
      </c>
      <c r="AA44" s="713">
        <f t="shared" si="3"/>
        <v>0.98039215686274506</v>
      </c>
      <c r="AB44" s="713">
        <f t="shared" si="4"/>
        <v>0.98039215686274506</v>
      </c>
      <c r="AC44" s="713">
        <f t="shared" si="5"/>
        <v>0.98039215686274506</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9"/>
      <c r="M45" s="2943"/>
      <c r="N45" s="2943"/>
      <c r="O45" s="2943"/>
      <c r="P45" s="3803"/>
      <c r="Q45" s="3291">
        <f t="shared" si="8"/>
        <v>111</v>
      </c>
      <c r="R45" s="714" t="s">
        <v>17</v>
      </c>
      <c r="S45" s="715">
        <f t="shared" si="9"/>
        <v>100</v>
      </c>
      <c r="T45" s="714" t="s">
        <v>17</v>
      </c>
      <c r="U45" s="715">
        <f t="shared" si="10"/>
        <v>100</v>
      </c>
      <c r="V45" s="714" t="s">
        <v>17</v>
      </c>
      <c r="W45" s="715">
        <f t="shared" si="11"/>
        <v>100</v>
      </c>
      <c r="X45" s="3288"/>
      <c r="Y45" s="3805"/>
      <c r="Z45" s="3289">
        <f t="shared" si="12"/>
        <v>111</v>
      </c>
      <c r="AA45" s="3292">
        <f t="shared" si="3"/>
        <v>1</v>
      </c>
      <c r="AB45" s="3292">
        <f t="shared" si="4"/>
        <v>1</v>
      </c>
      <c r="AC45" s="3292">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9"/>
      <c r="M46" s="2943"/>
      <c r="N46" s="2943"/>
      <c r="O46" s="2943"/>
      <c r="P46" s="3804"/>
      <c r="Q46" s="3291">
        <f t="shared" si="8"/>
        <v>111</v>
      </c>
      <c r="R46" s="714" t="s">
        <v>17</v>
      </c>
      <c r="S46" s="715">
        <f t="shared" si="9"/>
        <v>100</v>
      </c>
      <c r="T46" s="714" t="s">
        <v>17</v>
      </c>
      <c r="U46" s="715">
        <f t="shared" si="10"/>
        <v>100</v>
      </c>
      <c r="V46" s="714" t="s">
        <v>17</v>
      </c>
      <c r="W46" s="715">
        <f t="shared" si="11"/>
        <v>100</v>
      </c>
      <c r="X46" s="3288"/>
      <c r="Y46" s="3806"/>
      <c r="Z46" s="3289">
        <f t="shared" si="12"/>
        <v>111</v>
      </c>
      <c r="AA46" s="3292">
        <f t="shared" si="3"/>
        <v>1</v>
      </c>
      <c r="AB46" s="3292">
        <f t="shared" si="4"/>
        <v>1</v>
      </c>
      <c r="AC46" s="3292">
        <f t="shared" si="5"/>
        <v>1</v>
      </c>
    </row>
    <row r="47" spans="1:29" ht="15">
      <c r="A47" s="438" t="s">
        <v>2398</v>
      </c>
      <c r="B47" s="439"/>
      <c r="C47" s="1316" t="s">
        <v>1</v>
      </c>
      <c r="D47" s="1317"/>
      <c r="E47" s="1318">
        <f>'案例-租金'!O25</f>
        <v>5.8</v>
      </c>
      <c r="F47" s="1319"/>
      <c r="G47" s="1320">
        <f>'案例-租金'!O26</f>
        <v>4.9000000000000004</v>
      </c>
      <c r="H47" s="1321"/>
      <c r="I47" s="1318">
        <f>'案例-租金'!O28</f>
        <v>6</v>
      </c>
      <c r="J47" s="1321"/>
      <c r="K47" s="723"/>
      <c r="L47" s="2951"/>
      <c r="M47" s="2952"/>
      <c r="N47" s="2943"/>
      <c r="O47" s="2952"/>
      <c r="P47" s="3798" t="str">
        <f>A47</f>
        <v>成交单价（元/平方米）</v>
      </c>
      <c r="Q47" s="3798"/>
      <c r="R47" s="3793">
        <f>E47</f>
        <v>5.8</v>
      </c>
      <c r="S47" s="3793"/>
      <c r="T47" s="3793">
        <f>G47</f>
        <v>4.9000000000000004</v>
      </c>
      <c r="U47" s="3793"/>
      <c r="V47" s="3793">
        <f>I47</f>
        <v>6</v>
      </c>
      <c r="W47" s="3793"/>
      <c r="X47" s="699"/>
      <c r="Y47" s="721"/>
      <c r="Z47" s="699"/>
      <c r="AA47" s="699"/>
      <c r="AB47" s="699"/>
      <c r="AC47" s="699"/>
    </row>
    <row r="48" spans="1:29" ht="15.75" thickBot="1">
      <c r="A48" s="445" t="s">
        <v>2399</v>
      </c>
      <c r="B48" s="446"/>
      <c r="C48" s="1322">
        <f>R49</f>
        <v>5.2</v>
      </c>
      <c r="D48" s="2538" t="s">
        <v>2877</v>
      </c>
      <c r="E48" s="1323">
        <f>R48</f>
        <v>5.2</v>
      </c>
      <c r="F48" s="2539"/>
      <c r="G48" s="1322">
        <f>T48</f>
        <v>4.7</v>
      </c>
      <c r="H48" s="2539"/>
      <c r="I48" s="1323">
        <f>V48</f>
        <v>5.6</v>
      </c>
      <c r="J48" s="2539"/>
      <c r="K48" s="2541">
        <f>F48+H48+J48</f>
        <v>0</v>
      </c>
      <c r="L48" s="2951"/>
      <c r="M48" s="2952"/>
      <c r="N48" s="2943"/>
      <c r="O48" s="2952"/>
      <c r="P48" s="3798" t="str">
        <f>A48</f>
        <v>比较价值（元/平方米）</v>
      </c>
      <c r="Q48" s="3798"/>
      <c r="R48" s="3799">
        <f>IF(F1="售价",ROUND(PRODUCT(R47,AA7:AA46),0),ROUND(PRODUCT(R47,AA7:AA46),1))</f>
        <v>5.2</v>
      </c>
      <c r="S48" s="3799"/>
      <c r="T48" s="3799">
        <f>IF(F1="售价",ROUND(PRODUCT(T47,AB7:AB46),0),ROUND(PRODUCT(T47,AB7:AB46),1))</f>
        <v>4.7</v>
      </c>
      <c r="U48" s="3799"/>
      <c r="V48" s="3799">
        <f>IF(F1="售价",ROUND(PRODUCT(V47,AC7:AC46),0),ROUND(PRODUCT(V47,AC7:AC46),1))</f>
        <v>5.6</v>
      </c>
      <c r="W48" s="3799"/>
      <c r="X48" s="699"/>
      <c r="Y48" s="699"/>
      <c r="Z48" s="699"/>
      <c r="AA48" s="699"/>
      <c r="AB48" s="699"/>
      <c r="AC48" s="699"/>
    </row>
    <row r="49" spans="1:29" ht="15.75" thickBot="1">
      <c r="A49" s="449" t="s">
        <v>2400</v>
      </c>
      <c r="B49" s="450"/>
      <c r="C49" s="1325">
        <f>R49</f>
        <v>5.2</v>
      </c>
      <c r="D49" s="1325"/>
      <c r="E49" s="1325"/>
      <c r="F49" s="1325"/>
      <c r="G49" s="1325"/>
      <c r="H49" s="1325"/>
      <c r="I49" s="1325"/>
      <c r="J49" s="1325"/>
      <c r="K49" s="724"/>
      <c r="L49" s="2951"/>
      <c r="M49" s="2952"/>
      <c r="N49" s="2943"/>
      <c r="O49" s="2952"/>
      <c r="P49" s="3795" t="str">
        <f>A49</f>
        <v>估价对象XX用房的比较价值（楼面单价，元/平方米）</v>
      </c>
      <c r="Q49" s="3796"/>
      <c r="R49" s="3797">
        <f>IF(F1="售价",ROUND(IF(D48="简单平均",AVERAGE(R48:V48),R48*F48+T48*H48+V48*J48),0),ROUND(IF(D48="简单平均",AVERAGE(R48:V48),R48*F48+T48*H48+V48*J48),1))</f>
        <v>5.2</v>
      </c>
      <c r="S49" s="3797"/>
      <c r="T49" s="3797"/>
      <c r="U49" s="3797"/>
      <c r="V49" s="3797"/>
      <c r="W49" s="3797"/>
      <c r="X49" s="699"/>
      <c r="Y49" s="699"/>
      <c r="Z49" s="699"/>
      <c r="AA49" s="699"/>
      <c r="AB49" s="699"/>
      <c r="AC49" s="699"/>
    </row>
    <row r="50" spans="1:29">
      <c r="A50" s="2952"/>
      <c r="B50" s="2952"/>
      <c r="C50" s="2952"/>
      <c r="D50" s="2952"/>
      <c r="E50" s="2952"/>
      <c r="F50" s="2952"/>
      <c r="G50" s="2956">
        <v>20.100000000000001</v>
      </c>
      <c r="H50" s="2952"/>
      <c r="I50" s="2952">
        <v>2015</v>
      </c>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4" t="s">
        <v>2401</v>
      </c>
      <c r="D52" s="455"/>
      <c r="E52" s="456">
        <f>IF(E47&lt;E48,E48/E47-1,E47/E48-1)</f>
        <v>0.11538461538461542</v>
      </c>
      <c r="F52" s="457" t="str">
        <f>IF(OR(E52&gt;=0.3,E52&lt;=-0.3),"超过30%","")</f>
        <v/>
      </c>
      <c r="G52" s="456">
        <f>IF(G47&lt;G48,G48/G47-1,G47/G48-1)</f>
        <v>4.2553191489361764E-2</v>
      </c>
      <c r="H52" s="457" t="str">
        <f>IF(OR(G52&gt;=0.3,G52&lt;=-0.3),"超过30%","")</f>
        <v/>
      </c>
      <c r="I52" s="456">
        <f>IF(I47&lt;I48,I48/I47-1,I47/I48-1)</f>
        <v>7.1428571428571397E-2</v>
      </c>
      <c r="J52" s="457" t="str">
        <f>IF(OR(I52&gt;=0.3,I52&lt;=-0.3),"超过30%","")</f>
        <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4" t="s">
        <v>2402</v>
      </c>
      <c r="D53" s="458"/>
      <c r="E53" s="456">
        <f>IF(E48&lt;G48,G48/E48-1,E48/G48-1)</f>
        <v>0.1063829787234043</v>
      </c>
      <c r="F53" s="457" t="str">
        <f>IF(OR(E53&gt;=0.2,E53&lt;=-0.2),"超过20%","")</f>
        <v/>
      </c>
      <c r="G53" s="456">
        <f>IF(G48&lt;I48,I48/G48-1,G48/I48-1)</f>
        <v>0.1914893617021276</v>
      </c>
      <c r="H53" s="457" t="str">
        <f>IF(OR(G53&gt;=0.2,G53&lt;=-0.2),"超过20%","")</f>
        <v/>
      </c>
      <c r="I53" s="456">
        <f>IF(I48&lt;E48,E48/I48-1,I48/E48-1)</f>
        <v>7.6923076923076872E-2</v>
      </c>
      <c r="J53" s="457" t="str">
        <f>IF(OR(I53&gt;=0.2,I53&lt;=-0.2),"超过20%","")</f>
        <v/>
      </c>
      <c r="K53" s="2957"/>
      <c r="L53" s="2953"/>
      <c r="M53" s="2952"/>
      <c r="N53" s="2952"/>
      <c r="O53" s="2952"/>
      <c r="P53" s="2963"/>
      <c r="Q53" s="2952"/>
      <c r="R53" s="2952"/>
      <c r="S53" s="2952"/>
      <c r="T53" s="2952"/>
      <c r="U53" s="2952"/>
      <c r="V53" s="2952"/>
      <c r="W53" s="2952"/>
      <c r="X53" s="2952"/>
      <c r="Y53" s="2952"/>
      <c r="Z53" s="2952"/>
      <c r="AA53" s="2952"/>
      <c r="AB53" s="2952"/>
      <c r="AC53" s="2952"/>
    </row>
    <row r="54" spans="1:29" s="459" customFormat="1" ht="13.5" customHeight="1">
      <c r="A54" s="2955"/>
      <c r="B54" s="2955"/>
      <c r="C54" s="454" t="s">
        <v>2403</v>
      </c>
      <c r="D54" s="458"/>
      <c r="E54" s="456">
        <f>IF(E47&lt;G47,G47/E47-1,E47/G47-1)</f>
        <v>0.18367346938775508</v>
      </c>
      <c r="F54" s="457" t="str">
        <f>IF(OR(E54&gt;=0.3,E54&lt;=-0.3),"超过30%","")</f>
        <v/>
      </c>
      <c r="G54" s="456">
        <f>IF(G47&lt;I47,I47/G47-1,G47/I47-1)</f>
        <v>0.22448979591836715</v>
      </c>
      <c r="H54" s="457" t="str">
        <f>IF(OR(G54&gt;=0.3,G54&lt;=-0.3),"超过30%","")</f>
        <v/>
      </c>
      <c r="I54" s="456">
        <f>IF(I47&lt;E47,E47/I47-1,I47/E47-1)</f>
        <v>3.4482758620689724E-2</v>
      </c>
      <c r="J54" s="457" t="str">
        <f>IF(OR(I54&gt;=0.3,I54&lt;=-0.3),"超过30%","")</f>
        <v/>
      </c>
      <c r="K54" s="2960"/>
      <c r="L54" s="2954"/>
      <c r="M54" s="2955"/>
      <c r="N54" s="2955"/>
      <c r="O54" s="2955"/>
      <c r="P54" s="2964"/>
      <c r="Q54" s="2955"/>
      <c r="R54" s="2955"/>
      <c r="S54" s="2955"/>
      <c r="T54" s="2955"/>
      <c r="U54" s="2955"/>
      <c r="V54" s="2955"/>
      <c r="W54" s="2955"/>
      <c r="X54" s="2955"/>
      <c r="Y54" s="2955"/>
      <c r="Z54" s="2955"/>
      <c r="AA54" s="2955"/>
      <c r="AB54" s="2955"/>
      <c r="AC54" s="2955"/>
    </row>
    <row r="55" spans="1:29" s="459"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1.75" thickBot="1">
      <c r="A57" s="703" t="s">
        <v>2404</v>
      </c>
      <c r="B57" s="699"/>
      <c r="C57" s="704"/>
      <c r="D57" s="704"/>
      <c r="E57" s="704"/>
      <c r="F57" s="705"/>
      <c r="G57" s="705"/>
      <c r="H57" s="704"/>
      <c r="I57" s="704"/>
      <c r="J57" s="704"/>
      <c r="K57" s="706"/>
      <c r="L57" s="1073"/>
      <c r="M57" s="1071"/>
      <c r="N57" s="1071"/>
      <c r="O57" s="1071"/>
      <c r="P57" s="2965"/>
      <c r="Q57" s="2966"/>
      <c r="R57" s="2952"/>
      <c r="S57" s="2952"/>
      <c r="T57" s="2952"/>
      <c r="U57" s="2952"/>
      <c r="V57" s="2952"/>
      <c r="W57" s="2952"/>
      <c r="X57" s="2952"/>
      <c r="Y57" s="2952"/>
      <c r="Z57" s="2952"/>
      <c r="AA57" s="2952"/>
      <c r="AB57" s="2952"/>
      <c r="AC57" s="2952"/>
    </row>
    <row r="58" spans="1:29" s="465" customFormat="1" ht="15">
      <c r="A58" s="462" t="s">
        <v>2369</v>
      </c>
      <c r="B58" s="463"/>
      <c r="C58" s="1346" t="str">
        <f>YEAR(C7)&amp;"-"&amp;MONTH(C7)</f>
        <v>2017-6</v>
      </c>
      <c r="D58" s="1347">
        <f>EDATE(C58,-1)</f>
        <v>42856</v>
      </c>
      <c r="E58" s="1347">
        <f t="shared" ref="E58:N58" si="13">EDATE(D58,-1)</f>
        <v>42826</v>
      </c>
      <c r="F58" s="1347">
        <f t="shared" si="13"/>
        <v>42795</v>
      </c>
      <c r="G58" s="1347">
        <f t="shared" si="13"/>
        <v>42767</v>
      </c>
      <c r="H58" s="1347">
        <f t="shared" si="13"/>
        <v>42736</v>
      </c>
      <c r="I58" s="1347">
        <f t="shared" si="13"/>
        <v>42705</v>
      </c>
      <c r="J58" s="1347">
        <f t="shared" si="13"/>
        <v>42675</v>
      </c>
      <c r="K58" s="1347">
        <f t="shared" si="13"/>
        <v>42644</v>
      </c>
      <c r="L58" s="1347">
        <f t="shared" si="13"/>
        <v>42614</v>
      </c>
      <c r="M58" s="1347">
        <f t="shared" si="13"/>
        <v>42583</v>
      </c>
      <c r="N58" s="1347">
        <f t="shared" si="13"/>
        <v>42552</v>
      </c>
      <c r="O58" s="1347">
        <f>EDATE(N58,-1)</f>
        <v>42522</v>
      </c>
      <c r="P58" s="2967"/>
      <c r="Q58" s="2968"/>
      <c r="R58" s="2968"/>
      <c r="S58" s="2968"/>
      <c r="T58" s="2968"/>
      <c r="U58" s="2968"/>
      <c r="V58" s="2968"/>
      <c r="W58" s="2968"/>
      <c r="X58" s="2968"/>
      <c r="Y58" s="2968"/>
      <c r="Z58" s="2968"/>
      <c r="AA58" s="2968"/>
      <c r="AB58" s="2968"/>
      <c r="AC58" s="2968"/>
    </row>
    <row r="59" spans="1:29" s="113" customFormat="1" ht="15">
      <c r="A59" s="466"/>
      <c r="B59" s="467"/>
      <c r="C59" s="1345">
        <v>100</v>
      </c>
      <c r="D59" s="469">
        <f>'比较法租金-办公'!D60</f>
        <v>100</v>
      </c>
      <c r="E59" s="469">
        <f>'比较法租金-办公'!E60</f>
        <v>100</v>
      </c>
      <c r="F59" s="469">
        <f>'比较法租金-办公'!F60</f>
        <v>100</v>
      </c>
      <c r="G59" s="469">
        <f>'比较法租金-办公'!G60</f>
        <v>100</v>
      </c>
      <c r="H59" s="469">
        <f>'比较法租金-办公'!H60</f>
        <v>100</v>
      </c>
      <c r="I59" s="469">
        <f>'比较法租金-办公'!I60</f>
        <v>99</v>
      </c>
      <c r="J59" s="469">
        <f>'比较法租金-办公'!J60</f>
        <v>99</v>
      </c>
      <c r="K59" s="469">
        <f>'比较法租金-办公'!K60</f>
        <v>99</v>
      </c>
      <c r="L59" s="469">
        <f>'比较法租金-办公'!L60</f>
        <v>99</v>
      </c>
      <c r="M59" s="469">
        <f>'比较法租金-办公'!M60</f>
        <v>99</v>
      </c>
      <c r="N59" s="469">
        <f>'比较法租金-办公'!N60</f>
        <v>99</v>
      </c>
      <c r="O59" s="470"/>
      <c r="P59" s="2969"/>
      <c r="Q59" s="2886"/>
      <c r="R59" s="2886"/>
      <c r="S59" s="2886"/>
      <c r="T59" s="2886"/>
      <c r="U59" s="2886"/>
      <c r="V59" s="2886"/>
      <c r="W59" s="2886"/>
      <c r="X59" s="2886"/>
      <c r="Y59" s="2886"/>
      <c r="Z59" s="2886"/>
      <c r="AA59" s="2886"/>
      <c r="AB59" s="2886"/>
      <c r="AC59" s="2886"/>
    </row>
    <row r="60" spans="1:29" s="113" customFormat="1" ht="15.75" thickBot="1">
      <c r="A60" s="472" t="s">
        <v>2406</v>
      </c>
      <c r="B60" s="473"/>
      <c r="C60" s="474"/>
      <c r="D60" s="475"/>
      <c r="E60" s="475"/>
      <c r="F60" s="475"/>
      <c r="G60" s="475"/>
      <c r="H60" s="475"/>
      <c r="I60" s="475"/>
      <c r="J60" s="475"/>
      <c r="K60" s="475"/>
      <c r="L60" s="475"/>
      <c r="M60" s="476"/>
      <c r="N60" s="475"/>
      <c r="O60" s="476"/>
      <c r="P60" s="2969"/>
      <c r="Q60" s="2966"/>
      <c r="R60" s="2886"/>
      <c r="S60" s="2886"/>
      <c r="T60" s="2886"/>
      <c r="U60" s="2886"/>
      <c r="V60" s="2886"/>
      <c r="W60" s="2886"/>
      <c r="X60" s="2886"/>
      <c r="Y60" s="2886"/>
      <c r="Z60" s="2886"/>
      <c r="AA60" s="2886"/>
      <c r="AB60" s="2886"/>
      <c r="AC60" s="2886"/>
    </row>
    <row r="61" spans="1:29" s="113" customFormat="1" ht="15">
      <c r="A61" s="478" t="s">
        <v>2371</v>
      </c>
      <c r="B61" s="467"/>
      <c r="C61" s="479" t="s">
        <v>2408</v>
      </c>
      <c r="D61" s="480"/>
      <c r="E61" s="480"/>
      <c r="F61" s="480"/>
      <c r="G61" s="480"/>
      <c r="H61" s="480"/>
      <c r="I61" s="480"/>
      <c r="J61" s="480"/>
      <c r="K61" s="480"/>
      <c r="L61" s="481"/>
      <c r="M61" s="482"/>
      <c r="N61" s="2979"/>
      <c r="O61" s="2979"/>
      <c r="P61" s="2970"/>
      <c r="Q61" s="2966"/>
      <c r="R61" s="2886"/>
      <c r="S61" s="2886"/>
      <c r="T61" s="2886"/>
      <c r="U61" s="2886"/>
      <c r="V61" s="2886"/>
      <c r="W61" s="2886"/>
      <c r="X61" s="2886"/>
      <c r="Y61" s="2886"/>
      <c r="Z61" s="2886"/>
      <c r="AA61" s="2886"/>
      <c r="AB61" s="2886"/>
      <c r="AC61" s="2886"/>
    </row>
    <row r="62" spans="1:29" s="113" customFormat="1" ht="15.75" thickBot="1">
      <c r="A62" s="478"/>
      <c r="B62" s="467"/>
      <c r="C62" s="468">
        <v>100</v>
      </c>
      <c r="D62" s="469"/>
      <c r="E62" s="469"/>
      <c r="F62" s="469"/>
      <c r="G62" s="469"/>
      <c r="H62" s="469"/>
      <c r="I62" s="469"/>
      <c r="J62" s="469"/>
      <c r="K62" s="469"/>
      <c r="L62" s="469"/>
      <c r="M62" s="471"/>
      <c r="N62" s="2979"/>
      <c r="O62" s="2979"/>
      <c r="P62" s="2969"/>
      <c r="Q62" s="2966"/>
      <c r="R62" s="2886"/>
      <c r="S62" s="2886"/>
      <c r="T62" s="2886"/>
      <c r="U62" s="2886"/>
      <c r="V62" s="2886"/>
      <c r="W62" s="2886"/>
      <c r="X62" s="2886"/>
      <c r="Y62" s="2886"/>
      <c r="Z62" s="2886"/>
      <c r="AA62" s="2886"/>
      <c r="AB62" s="2886"/>
      <c r="AC62" s="2886"/>
    </row>
    <row r="63" spans="1:29">
      <c r="A63" s="484" t="s">
        <v>2409</v>
      </c>
      <c r="B63" s="485" t="s">
        <v>2375</v>
      </c>
      <c r="C63" s="486" t="str">
        <f>C9</f>
        <v>商业</v>
      </c>
      <c r="D63" s="487"/>
      <c r="E63" s="487"/>
      <c r="F63" s="487"/>
      <c r="G63" s="487"/>
      <c r="H63" s="487"/>
      <c r="I63" s="487"/>
      <c r="J63" s="487"/>
      <c r="K63" s="488"/>
      <c r="L63" s="489"/>
      <c r="M63" s="490"/>
      <c r="N63" s="2980"/>
      <c r="O63" s="2980"/>
      <c r="P63" s="2971"/>
      <c r="Q63" s="2966"/>
      <c r="R63" s="2952"/>
      <c r="S63" s="2952"/>
      <c r="T63" s="2952"/>
      <c r="U63" s="2952"/>
      <c r="V63" s="2952"/>
      <c r="W63" s="2952"/>
      <c r="X63" s="2952"/>
      <c r="Y63" s="2952"/>
      <c r="Z63" s="2952"/>
      <c r="AA63" s="2952"/>
      <c r="AB63" s="2952"/>
      <c r="AC63" s="2952"/>
    </row>
    <row r="64" spans="1:29" ht="15.75" thickBot="1">
      <c r="A64" s="491"/>
      <c r="B64" s="492"/>
      <c r="C64" s="493">
        <v>100</v>
      </c>
      <c r="D64" s="493"/>
      <c r="E64" s="493"/>
      <c r="F64" s="493"/>
      <c r="G64" s="493"/>
      <c r="H64" s="493"/>
      <c r="I64" s="493"/>
      <c r="J64" s="493"/>
      <c r="K64" s="493"/>
      <c r="L64" s="493"/>
      <c r="M64" s="494"/>
      <c r="N64" s="2981"/>
      <c r="O64" s="2981"/>
      <c r="P64" s="2971"/>
      <c r="Q64" s="2966"/>
      <c r="R64" s="2952"/>
      <c r="S64" s="2952"/>
      <c r="T64" s="2952"/>
      <c r="U64" s="2952"/>
      <c r="V64" s="2952"/>
      <c r="W64" s="2952"/>
      <c r="X64" s="2952"/>
      <c r="Y64" s="2952"/>
      <c r="Z64" s="2952"/>
      <c r="AA64" s="2952"/>
      <c r="AB64" s="2952"/>
      <c r="AC64" s="2952"/>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0"/>
      <c r="O65" s="2980"/>
      <c r="P65" s="2971"/>
      <c r="Q65" s="2966"/>
      <c r="R65" s="2952"/>
      <c r="S65" s="2952"/>
      <c r="T65" s="2952"/>
      <c r="U65" s="2952"/>
      <c r="V65" s="2952"/>
      <c r="W65" s="2952"/>
      <c r="X65" s="2952"/>
      <c r="Y65" s="2952"/>
      <c r="Z65" s="2952"/>
      <c r="AA65" s="2952"/>
      <c r="AB65" s="2952"/>
      <c r="AC65" s="2952"/>
    </row>
    <row r="66" spans="1:29" ht="15.75" thickBot="1">
      <c r="A66" s="491"/>
      <c r="B66" s="500"/>
      <c r="C66" s="501" t="s">
        <v>24</v>
      </c>
      <c r="D66" s="501" t="s">
        <v>24</v>
      </c>
      <c r="E66" s="501" t="s">
        <v>24</v>
      </c>
      <c r="F66" s="501">
        <v>100</v>
      </c>
      <c r="G66" s="501">
        <f>F66-$K10</f>
        <v>100</v>
      </c>
      <c r="H66" s="501">
        <f>G66-$K10</f>
        <v>100</v>
      </c>
      <c r="I66" s="501">
        <f>H66-$K10</f>
        <v>100</v>
      </c>
      <c r="J66" s="501"/>
      <c r="K66" s="501"/>
      <c r="L66" s="501"/>
      <c r="M66" s="502"/>
      <c r="N66" s="2981"/>
      <c r="O66" s="2981"/>
      <c r="P66" s="2971"/>
      <c r="Q66" s="2966"/>
      <c r="R66" s="2952"/>
      <c r="S66" s="2952"/>
      <c r="T66" s="2952"/>
      <c r="U66" s="2952"/>
      <c r="V66" s="2952"/>
      <c r="W66" s="2952"/>
      <c r="X66" s="2952"/>
      <c r="Y66" s="2952"/>
      <c r="Z66" s="2952"/>
      <c r="AA66" s="2952"/>
      <c r="AB66" s="2952"/>
      <c r="AC66" s="2952"/>
    </row>
    <row r="67" spans="1:29" ht="15.75" thickTop="1">
      <c r="A67" s="491"/>
      <c r="B67" s="503" t="s">
        <v>2379</v>
      </c>
      <c r="C67" s="504" t="str">
        <f>C68&amp;"（含）"&amp;"-"&amp;D68</f>
        <v>0（含）-1</v>
      </c>
      <c r="D67" s="504" t="str">
        <f t="shared" ref="D67:L67" si="14">D68&amp;"（含）"&amp;"-"&amp;E68</f>
        <v>1（含）-2</v>
      </c>
      <c r="E67" s="504" t="str">
        <f t="shared" si="14"/>
        <v>2（含）-3</v>
      </c>
      <c r="F67" s="504" t="str">
        <f t="shared" si="14"/>
        <v>3（含）-</v>
      </c>
      <c r="G67" s="504" t="str">
        <f t="shared" si="14"/>
        <v>（含）-</v>
      </c>
      <c r="H67" s="504" t="str">
        <f t="shared" si="14"/>
        <v>（含）-</v>
      </c>
      <c r="I67" s="504" t="str">
        <f t="shared" si="14"/>
        <v>（含）-</v>
      </c>
      <c r="J67" s="504" t="str">
        <f t="shared" si="14"/>
        <v>（含）-</v>
      </c>
      <c r="K67" s="504" t="str">
        <f t="shared" si="14"/>
        <v>（含）-</v>
      </c>
      <c r="L67" s="504" t="str">
        <f t="shared" si="14"/>
        <v>（含）-</v>
      </c>
      <c r="M67" s="407" t="str">
        <f>M68&amp;"（含）"&amp;"-"&amp;P68</f>
        <v>（含）-</v>
      </c>
      <c r="N67" s="2981"/>
      <c r="O67" s="2981"/>
      <c r="P67" s="2971"/>
      <c r="Q67" s="2966"/>
      <c r="R67" s="2952"/>
      <c r="S67" s="2952"/>
      <c r="T67" s="2952"/>
      <c r="U67" s="2952"/>
      <c r="V67" s="2952"/>
      <c r="W67" s="2952"/>
      <c r="X67" s="2952"/>
      <c r="Y67" s="2952"/>
      <c r="Z67" s="2952"/>
      <c r="AA67" s="2952"/>
      <c r="AB67" s="2952"/>
      <c r="AC67" s="2952"/>
    </row>
    <row r="68" spans="1:29" ht="15">
      <c r="A68" s="491"/>
      <c r="B68" s="505"/>
      <c r="C68" s="506">
        <v>0</v>
      </c>
      <c r="D68" s="506">
        <v>1</v>
      </c>
      <c r="E68" s="506">
        <v>2</v>
      </c>
      <c r="F68" s="506">
        <v>3</v>
      </c>
      <c r="G68" s="506"/>
      <c r="H68" s="506"/>
      <c r="I68" s="506"/>
      <c r="J68" s="506"/>
      <c r="K68" s="507"/>
      <c r="L68" s="508"/>
      <c r="M68" s="509"/>
      <c r="N68" s="2980"/>
      <c r="O68" s="2980"/>
      <c r="P68" s="2971"/>
      <c r="Q68" s="2966"/>
      <c r="R68" s="2952"/>
      <c r="S68" s="2952"/>
      <c r="T68" s="2952"/>
      <c r="U68" s="2952"/>
      <c r="V68" s="2952"/>
      <c r="W68" s="2952"/>
      <c r="X68" s="2952"/>
      <c r="Y68" s="2952"/>
      <c r="Z68" s="2952"/>
      <c r="AA68" s="2952"/>
      <c r="AB68" s="2952"/>
      <c r="AC68" s="2952"/>
    </row>
    <row r="69" spans="1:29" ht="15.75" thickBot="1">
      <c r="A69" s="491"/>
      <c r="B69" s="492"/>
      <c r="C69" s="501">
        <v>100</v>
      </c>
      <c r="D69" s="501">
        <f t="shared" ref="D69:M69" si="15">C69-$K11</f>
        <v>100</v>
      </c>
      <c r="E69" s="501">
        <f t="shared" si="15"/>
        <v>100</v>
      </c>
      <c r="F69" s="501">
        <f t="shared" si="15"/>
        <v>100</v>
      </c>
      <c r="G69" s="501">
        <f t="shared" si="15"/>
        <v>100</v>
      </c>
      <c r="H69" s="501">
        <f t="shared" si="15"/>
        <v>100</v>
      </c>
      <c r="I69" s="501">
        <f t="shared" si="15"/>
        <v>100</v>
      </c>
      <c r="J69" s="501">
        <f t="shared" si="15"/>
        <v>100</v>
      </c>
      <c r="K69" s="501">
        <f t="shared" si="15"/>
        <v>100</v>
      </c>
      <c r="L69" s="501">
        <f t="shared" si="15"/>
        <v>100</v>
      </c>
      <c r="M69" s="502">
        <f t="shared" si="15"/>
        <v>100</v>
      </c>
      <c r="N69" s="2981"/>
      <c r="O69" s="2981"/>
      <c r="P69" s="2971"/>
      <c r="Q69" s="2966"/>
      <c r="R69" s="2952"/>
      <c r="S69" s="2952"/>
      <c r="T69" s="2952"/>
      <c r="U69" s="2952"/>
      <c r="V69" s="2952"/>
      <c r="W69" s="2952"/>
      <c r="X69" s="2952"/>
      <c r="Y69" s="2952"/>
      <c r="Z69" s="2952"/>
      <c r="AA69" s="2952"/>
      <c r="AB69" s="2952"/>
      <c r="AC69" s="2952"/>
    </row>
    <row r="70" spans="1:29" s="430" customFormat="1" ht="15.75" thickTop="1">
      <c r="A70" s="510"/>
      <c r="B70" s="495" t="str">
        <f>B12</f>
        <v>产权</v>
      </c>
      <c r="C70" s="3168" t="s">
        <v>4243</v>
      </c>
      <c r="D70" s="3168" t="s">
        <v>4244</v>
      </c>
      <c r="E70" s="511"/>
      <c r="F70" s="511"/>
      <c r="G70" s="511"/>
      <c r="H70" s="512"/>
      <c r="I70" s="512"/>
      <c r="J70" s="512"/>
      <c r="K70" s="512"/>
      <c r="L70" s="513"/>
      <c r="M70" s="514"/>
      <c r="N70" s="2982"/>
      <c r="O70" s="2982"/>
      <c r="P70" s="2972"/>
      <c r="Q70" s="2973"/>
      <c r="R70" s="2974"/>
      <c r="S70" s="2974"/>
      <c r="T70" s="2974"/>
      <c r="U70" s="2974"/>
      <c r="V70" s="2974"/>
      <c r="W70" s="2974"/>
      <c r="X70" s="2974"/>
      <c r="Y70" s="2974"/>
      <c r="Z70" s="2974"/>
      <c r="AA70" s="2974"/>
      <c r="AB70" s="2974"/>
      <c r="AC70" s="2974"/>
    </row>
    <row r="71" spans="1:29" s="430" customFormat="1" ht="15.75" thickBot="1">
      <c r="A71" s="510"/>
      <c r="B71" s="500"/>
      <c r="C71" s="517">
        <v>100</v>
      </c>
      <c r="D71" s="493">
        <v>95</v>
      </c>
      <c r="E71" s="493"/>
      <c r="F71" s="493"/>
      <c r="G71" s="493"/>
      <c r="H71" s="493"/>
      <c r="I71" s="493"/>
      <c r="J71" s="493"/>
      <c r="K71" s="493"/>
      <c r="L71" s="493"/>
      <c r="M71" s="494"/>
      <c r="N71" s="2981"/>
      <c r="O71" s="2981"/>
      <c r="P71" s="2972"/>
      <c r="Q71" s="2973"/>
      <c r="R71" s="2974"/>
      <c r="S71" s="2974"/>
      <c r="T71" s="2974"/>
      <c r="U71" s="2974"/>
      <c r="V71" s="2974"/>
      <c r="W71" s="2974"/>
      <c r="X71" s="2974"/>
      <c r="Y71" s="2974"/>
      <c r="Z71" s="2974"/>
      <c r="AA71" s="2974"/>
      <c r="AB71" s="2974"/>
      <c r="AC71" s="2974"/>
    </row>
    <row r="72" spans="1:29" s="430" customFormat="1" ht="15.75" thickTop="1">
      <c r="A72" s="510"/>
      <c r="B72" s="495" t="str">
        <f>B13</f>
        <v>租期</v>
      </c>
      <c r="C72" s="511">
        <v>3</v>
      </c>
      <c r="D72" s="511">
        <v>5</v>
      </c>
      <c r="E72" s="511">
        <v>7</v>
      </c>
      <c r="F72" s="511">
        <v>15</v>
      </c>
      <c r="G72" s="511"/>
      <c r="H72" s="512"/>
      <c r="I72" s="512"/>
      <c r="J72" s="512"/>
      <c r="K72" s="512"/>
      <c r="L72" s="513"/>
      <c r="M72" s="514"/>
      <c r="N72" s="2982"/>
      <c r="O72" s="2982"/>
      <c r="P72" s="2975"/>
      <c r="Q72" s="2976"/>
      <c r="R72" s="2974"/>
      <c r="S72" s="2974"/>
      <c r="T72" s="2974"/>
      <c r="U72" s="2974"/>
      <c r="V72" s="2974"/>
      <c r="W72" s="2974"/>
      <c r="X72" s="2974"/>
      <c r="Y72" s="2974"/>
      <c r="Z72" s="2974"/>
      <c r="AA72" s="2974"/>
      <c r="AB72" s="2974"/>
      <c r="AC72" s="2974"/>
    </row>
    <row r="73" spans="1:29" s="430" customFormat="1" ht="15.75" thickBot="1">
      <c r="A73" s="510"/>
      <c r="B73" s="500"/>
      <c r="C73" s="517">
        <v>100</v>
      </c>
      <c r="D73" s="493">
        <v>98</v>
      </c>
      <c r="E73" s="493">
        <v>98</v>
      </c>
      <c r="F73" s="493">
        <v>96</v>
      </c>
      <c r="G73" s="517"/>
      <c r="H73" s="519"/>
      <c r="I73" s="519"/>
      <c r="J73" s="519"/>
      <c r="K73" s="519"/>
      <c r="L73" s="519"/>
      <c r="M73" s="520"/>
      <c r="N73" s="2982"/>
      <c r="O73" s="2982"/>
      <c r="P73" s="2972"/>
      <c r="Q73" s="2973"/>
      <c r="R73" s="2974"/>
      <c r="S73" s="2974"/>
      <c r="T73" s="2974"/>
      <c r="U73" s="2974"/>
      <c r="V73" s="2974"/>
      <c r="W73" s="2974"/>
      <c r="X73" s="2974"/>
      <c r="Y73" s="2974"/>
      <c r="Z73" s="2974"/>
      <c r="AA73" s="2974"/>
      <c r="AB73" s="2974"/>
      <c r="AC73" s="2974"/>
    </row>
    <row r="74" spans="1:29" s="430" customFormat="1" ht="15.75" thickTop="1">
      <c r="A74" s="510"/>
      <c r="B74" s="503">
        <f>B14</f>
        <v>111</v>
      </c>
      <c r="C74" s="511"/>
      <c r="D74" s="511"/>
      <c r="E74" s="511"/>
      <c r="F74" s="511"/>
      <c r="G74" s="480"/>
      <c r="H74" s="521"/>
      <c r="I74" s="521"/>
      <c r="J74" s="521"/>
      <c r="K74" s="521"/>
      <c r="L74" s="522"/>
      <c r="M74" s="523"/>
      <c r="N74" s="2982"/>
      <c r="O74" s="2982"/>
      <c r="P74" s="2977"/>
      <c r="Q74" s="2973"/>
      <c r="R74" s="2974"/>
      <c r="S74" s="2974"/>
      <c r="T74" s="2974"/>
      <c r="U74" s="2974"/>
      <c r="V74" s="2974"/>
      <c r="W74" s="2974"/>
      <c r="X74" s="2974"/>
      <c r="Y74" s="2974"/>
      <c r="Z74" s="2974"/>
      <c r="AA74" s="2974"/>
      <c r="AB74" s="2974"/>
      <c r="AC74" s="2974"/>
    </row>
    <row r="75" spans="1:29" s="430" customFormat="1" ht="15.75" thickBot="1">
      <c r="A75" s="525"/>
      <c r="B75" s="526"/>
      <c r="C75" s="527"/>
      <c r="D75" s="527"/>
      <c r="E75" s="527"/>
      <c r="F75" s="527"/>
      <c r="G75" s="527"/>
      <c r="H75" s="528"/>
      <c r="I75" s="528"/>
      <c r="J75" s="528"/>
      <c r="K75" s="528"/>
      <c r="L75" s="528"/>
      <c r="M75" s="529"/>
      <c r="N75" s="2982"/>
      <c r="O75" s="2982"/>
      <c r="P75" s="2972"/>
      <c r="Q75" s="2973"/>
      <c r="R75" s="2974"/>
      <c r="S75" s="2974"/>
      <c r="T75" s="2974"/>
      <c r="U75" s="2974"/>
      <c r="V75" s="2974"/>
      <c r="W75" s="2974"/>
      <c r="X75" s="2974"/>
      <c r="Y75" s="2974"/>
      <c r="Z75" s="2974"/>
      <c r="AA75" s="2974"/>
      <c r="AB75" s="2974"/>
      <c r="AC75" s="2974"/>
    </row>
    <row r="76" spans="1:29">
      <c r="A76" s="484" t="s">
        <v>2380</v>
      </c>
      <c r="B76" s="485" t="s">
        <v>2417</v>
      </c>
      <c r="C76" s="530" t="s">
        <v>2418</v>
      </c>
      <c r="D76" s="530" t="s">
        <v>2419</v>
      </c>
      <c r="E76" s="530" t="s">
        <v>2420</v>
      </c>
      <c r="F76" s="530" t="s">
        <v>2421</v>
      </c>
      <c r="G76" s="530" t="s">
        <v>2422</v>
      </c>
      <c r="H76" s="486"/>
      <c r="I76" s="486"/>
      <c r="J76" s="486"/>
      <c r="K76" s="531"/>
      <c r="L76" s="532"/>
      <c r="M76" s="533"/>
      <c r="N76" s="2980"/>
      <c r="O76" s="2980"/>
      <c r="P76" s="2978"/>
      <c r="Q76" s="2966"/>
      <c r="R76" s="2952"/>
      <c r="S76" s="2952"/>
      <c r="T76" s="2952"/>
      <c r="U76" s="2952"/>
      <c r="V76" s="2952"/>
      <c r="W76" s="2952"/>
      <c r="X76" s="2952"/>
      <c r="Y76" s="2952"/>
      <c r="Z76" s="2952"/>
      <c r="AA76" s="2952"/>
      <c r="AB76" s="2952"/>
      <c r="AC76" s="2952"/>
    </row>
    <row r="77" spans="1:29" ht="15.75" thickBot="1">
      <c r="A77" s="491"/>
      <c r="B77" s="500"/>
      <c r="C77" s="501">
        <v>100</v>
      </c>
      <c r="D77" s="501">
        <f>C77-$K15</f>
        <v>97</v>
      </c>
      <c r="E77" s="501">
        <f>D77-$K15</f>
        <v>94</v>
      </c>
      <c r="F77" s="501">
        <f>E77-$K15</f>
        <v>91</v>
      </c>
      <c r="G77" s="501">
        <f>F77-$K15</f>
        <v>88</v>
      </c>
      <c r="H77" s="501"/>
      <c r="I77" s="501"/>
      <c r="J77" s="501"/>
      <c r="K77" s="501"/>
      <c r="L77" s="501"/>
      <c r="M77" s="502"/>
      <c r="N77" s="2981"/>
      <c r="O77" s="2981"/>
      <c r="P77" s="2971"/>
      <c r="Q77" s="2966"/>
      <c r="R77" s="2952"/>
      <c r="S77" s="2952"/>
      <c r="T77" s="2952"/>
      <c r="U77" s="2952"/>
      <c r="V77" s="2952"/>
      <c r="W77" s="2952"/>
      <c r="X77" s="2952"/>
      <c r="Y77" s="2952"/>
      <c r="Z77" s="2952"/>
      <c r="AA77" s="2952"/>
      <c r="AB77" s="2952"/>
      <c r="AC77" s="2952"/>
    </row>
    <row r="78" spans="1:29" ht="15.75" thickTop="1">
      <c r="A78" s="491"/>
      <c r="B78" s="495" t="s">
        <v>2423</v>
      </c>
      <c r="C78" s="535" t="s">
        <v>2418</v>
      </c>
      <c r="D78" s="535" t="s">
        <v>2419</v>
      </c>
      <c r="E78" s="535" t="s">
        <v>2420</v>
      </c>
      <c r="F78" s="535" t="s">
        <v>2421</v>
      </c>
      <c r="G78" s="535" t="s">
        <v>2422</v>
      </c>
      <c r="H78" s="496"/>
      <c r="I78" s="496"/>
      <c r="J78" s="496"/>
      <c r="K78" s="497"/>
      <c r="L78" s="498"/>
      <c r="M78" s="499"/>
      <c r="N78" s="2980"/>
      <c r="O78" s="2980"/>
      <c r="P78" s="2971"/>
      <c r="Q78" s="2966"/>
      <c r="R78" s="2952"/>
      <c r="S78" s="2952"/>
      <c r="T78" s="2952"/>
      <c r="U78" s="2952"/>
      <c r="V78" s="2952"/>
      <c r="W78" s="2952"/>
      <c r="X78" s="2952"/>
      <c r="Y78" s="2952"/>
      <c r="Z78" s="2952"/>
      <c r="AA78" s="2952"/>
      <c r="AB78" s="2952"/>
      <c r="AC78" s="2952"/>
    </row>
    <row r="79" spans="1:29" ht="15.75" thickBot="1">
      <c r="A79" s="491"/>
      <c r="B79" s="500"/>
      <c r="C79" s="501">
        <v>100</v>
      </c>
      <c r="D79" s="501">
        <f>C79-$K17</f>
        <v>97</v>
      </c>
      <c r="E79" s="501">
        <f>D79-$K17</f>
        <v>94</v>
      </c>
      <c r="F79" s="501">
        <f>E79-$K17</f>
        <v>91</v>
      </c>
      <c r="G79" s="501">
        <f>F79-$K17</f>
        <v>88</v>
      </c>
      <c r="H79" s="501"/>
      <c r="I79" s="501"/>
      <c r="J79" s="501"/>
      <c r="K79" s="501"/>
      <c r="L79" s="501"/>
      <c r="M79" s="502"/>
      <c r="N79" s="2981"/>
      <c r="O79" s="2981"/>
      <c r="P79" s="2971"/>
      <c r="Q79" s="2966"/>
      <c r="R79" s="2952"/>
      <c r="S79" s="2952"/>
      <c r="T79" s="2952"/>
      <c r="U79" s="2952"/>
      <c r="V79" s="2952"/>
      <c r="W79" s="2952"/>
      <c r="X79" s="2952"/>
      <c r="Y79" s="2952"/>
      <c r="Z79" s="2952"/>
      <c r="AA79" s="2952"/>
      <c r="AB79" s="2952"/>
      <c r="AC79" s="2952"/>
    </row>
    <row r="80" spans="1:29" ht="15.75" thickTop="1">
      <c r="A80" s="491"/>
      <c r="B80" s="495" t="s">
        <v>2424</v>
      </c>
      <c r="C80" s="535" t="s">
        <v>2418</v>
      </c>
      <c r="D80" s="535" t="s">
        <v>2419</v>
      </c>
      <c r="E80" s="535" t="s">
        <v>2420</v>
      </c>
      <c r="F80" s="535" t="s">
        <v>2421</v>
      </c>
      <c r="G80" s="535" t="s">
        <v>2422</v>
      </c>
      <c r="H80" s="496"/>
      <c r="I80" s="496"/>
      <c r="J80" s="496"/>
      <c r="K80" s="497"/>
      <c r="L80" s="498"/>
      <c r="M80" s="499"/>
      <c r="N80" s="2980"/>
      <c r="O80" s="2980"/>
      <c r="P80" s="2971"/>
      <c r="Q80" s="2966"/>
      <c r="R80" s="2952"/>
      <c r="S80" s="2952"/>
      <c r="T80" s="2952"/>
      <c r="U80" s="2952"/>
      <c r="V80" s="2952"/>
      <c r="W80" s="2952"/>
      <c r="X80" s="2952"/>
      <c r="Y80" s="2952"/>
      <c r="Z80" s="2952"/>
      <c r="AA80" s="2952"/>
      <c r="AB80" s="2952"/>
      <c r="AC80" s="2952"/>
    </row>
    <row r="81" spans="1:29" ht="15.75" thickBot="1">
      <c r="A81" s="491"/>
      <c r="B81" s="500"/>
      <c r="C81" s="501">
        <v>100</v>
      </c>
      <c r="D81" s="501">
        <f>C81-$K19</f>
        <v>98</v>
      </c>
      <c r="E81" s="501">
        <f>D81-$K19</f>
        <v>96</v>
      </c>
      <c r="F81" s="501">
        <f>E81-$K19</f>
        <v>94</v>
      </c>
      <c r="G81" s="501">
        <f>F81-$K19</f>
        <v>92</v>
      </c>
      <c r="H81" s="501"/>
      <c r="I81" s="501"/>
      <c r="J81" s="501"/>
      <c r="K81" s="501"/>
      <c r="L81" s="501"/>
      <c r="M81" s="502"/>
      <c r="N81" s="2981"/>
      <c r="O81" s="2981"/>
      <c r="P81" s="2971"/>
      <c r="Q81" s="2966"/>
      <c r="R81" s="2952"/>
      <c r="S81" s="2952"/>
      <c r="T81" s="2952"/>
      <c r="U81" s="2952"/>
      <c r="V81" s="2952"/>
      <c r="W81" s="2952"/>
      <c r="X81" s="2952"/>
      <c r="Y81" s="2952"/>
      <c r="Z81" s="2952"/>
      <c r="AA81" s="2952"/>
      <c r="AB81" s="2952"/>
      <c r="AC81" s="2952"/>
    </row>
    <row r="82" spans="1:29" ht="15.75" thickTop="1">
      <c r="A82" s="491"/>
      <c r="B82" s="503" t="s">
        <v>2476</v>
      </c>
      <c r="C82" s="616" t="s">
        <v>2496</v>
      </c>
      <c r="D82" s="616" t="s">
        <v>2497</v>
      </c>
      <c r="E82" s="616" t="s">
        <v>2498</v>
      </c>
      <c r="F82" s="616" t="s">
        <v>2499</v>
      </c>
      <c r="G82" s="616" t="s">
        <v>2500</v>
      </c>
      <c r="H82" s="496"/>
      <c r="I82" s="496"/>
      <c r="J82" s="496"/>
      <c r="K82" s="496"/>
      <c r="L82" s="496"/>
      <c r="M82" s="1291"/>
      <c r="N82" s="2981"/>
      <c r="O82" s="2981"/>
      <c r="P82" s="2971"/>
      <c r="Q82" s="2966"/>
      <c r="R82" s="2952"/>
      <c r="S82" s="2952"/>
      <c r="T82" s="2952"/>
      <c r="U82" s="2952"/>
      <c r="V82" s="2952"/>
      <c r="W82" s="2952"/>
      <c r="X82" s="2952"/>
      <c r="Y82" s="2952"/>
      <c r="Z82" s="2952"/>
      <c r="AA82" s="2952"/>
      <c r="AB82" s="2952"/>
      <c r="AC82" s="2952"/>
    </row>
    <row r="83" spans="1:29" ht="15.75" thickBot="1">
      <c r="A83" s="491"/>
      <c r="B83" s="503"/>
      <c r="C83" s="501">
        <v>100</v>
      </c>
      <c r="D83" s="501">
        <f>C83-$K21</f>
        <v>98</v>
      </c>
      <c r="E83" s="501">
        <f>D83-$K21</f>
        <v>96</v>
      </c>
      <c r="F83" s="501">
        <f>E83-$K21</f>
        <v>94</v>
      </c>
      <c r="G83" s="501">
        <f>F83-$K21</f>
        <v>92</v>
      </c>
      <c r="H83" s="616"/>
      <c r="I83" s="616"/>
      <c r="J83" s="616"/>
      <c r="K83" s="616"/>
      <c r="L83" s="616"/>
      <c r="M83" s="409"/>
      <c r="N83" s="2981"/>
      <c r="O83" s="2981"/>
      <c r="P83" s="2971"/>
      <c r="Q83" s="2966"/>
      <c r="R83" s="2952"/>
      <c r="S83" s="2952"/>
      <c r="T83" s="2952"/>
      <c r="U83" s="2952"/>
      <c r="V83" s="2952"/>
      <c r="W83" s="2952"/>
      <c r="X83" s="2952"/>
      <c r="Y83" s="2952"/>
      <c r="Z83" s="2952"/>
      <c r="AA83" s="2952"/>
      <c r="AB83" s="2952"/>
      <c r="AC83" s="2952"/>
    </row>
    <row r="84" spans="1:29" ht="15.75" thickTop="1">
      <c r="A84" s="491"/>
      <c r="B84" s="495" t="s">
        <v>2430</v>
      </c>
      <c r="C84" s="535" t="s">
        <v>2418</v>
      </c>
      <c r="D84" s="535" t="s">
        <v>2419</v>
      </c>
      <c r="E84" s="535" t="s">
        <v>2420</v>
      </c>
      <c r="F84" s="535" t="s">
        <v>2421</v>
      </c>
      <c r="G84" s="535" t="s">
        <v>2422</v>
      </c>
      <c r="H84" s="496"/>
      <c r="I84" s="496"/>
      <c r="J84" s="496"/>
      <c r="K84" s="497"/>
      <c r="L84" s="498"/>
      <c r="M84" s="499"/>
      <c r="N84" s="2980"/>
      <c r="O84" s="2980"/>
      <c r="P84" s="2971"/>
      <c r="Q84" s="2966"/>
      <c r="R84" s="2952"/>
      <c r="S84" s="2952"/>
      <c r="T84" s="2952"/>
      <c r="U84" s="2952"/>
      <c r="V84" s="2952"/>
      <c r="W84" s="2952"/>
      <c r="X84" s="2952"/>
      <c r="Y84" s="2952"/>
      <c r="Z84" s="2952"/>
      <c r="AA84" s="2952"/>
      <c r="AB84" s="2952"/>
      <c r="AC84" s="2952"/>
    </row>
    <row r="85" spans="1:29" ht="15.75" thickBot="1">
      <c r="A85" s="491"/>
      <c r="B85" s="500"/>
      <c r="C85" s="501">
        <v>100</v>
      </c>
      <c r="D85" s="501">
        <f>C85-$K23</f>
        <v>98</v>
      </c>
      <c r="E85" s="501">
        <f>D85-$K23</f>
        <v>96</v>
      </c>
      <c r="F85" s="501">
        <f>E85-$K23</f>
        <v>94</v>
      </c>
      <c r="G85" s="501">
        <f>F85-$K23</f>
        <v>92</v>
      </c>
      <c r="H85" s="501"/>
      <c r="I85" s="501"/>
      <c r="J85" s="501"/>
      <c r="K85" s="501"/>
      <c r="L85" s="501"/>
      <c r="M85" s="502"/>
      <c r="N85" s="2981"/>
      <c r="O85" s="2981"/>
      <c r="P85" s="2971"/>
      <c r="Q85" s="2966"/>
      <c r="R85" s="2952"/>
      <c r="S85" s="2952"/>
      <c r="T85" s="2952"/>
      <c r="U85" s="2952"/>
      <c r="V85" s="2952"/>
      <c r="W85" s="2952"/>
      <c r="X85" s="2952"/>
      <c r="Y85" s="2952"/>
      <c r="Z85" s="2952"/>
      <c r="AA85" s="2952"/>
      <c r="AB85" s="2952"/>
      <c r="AC85" s="2952"/>
    </row>
    <row r="86" spans="1:29" s="113" customFormat="1" ht="15.75" thickTop="1">
      <c r="A86" s="536"/>
      <c r="B86" s="495" t="s">
        <v>2501</v>
      </c>
      <c r="C86" s="3168" t="s">
        <v>3481</v>
      </c>
      <c r="D86" s="3168" t="s">
        <v>3477</v>
      </c>
      <c r="E86" s="3168" t="s">
        <v>3478</v>
      </c>
      <c r="F86" s="511"/>
      <c r="G86" s="511"/>
      <c r="H86" s="511"/>
      <c r="I86" s="511"/>
      <c r="J86" s="511"/>
      <c r="K86" s="511"/>
      <c r="L86" s="537"/>
      <c r="M86" s="538"/>
      <c r="N86" s="2979"/>
      <c r="O86" s="2979"/>
      <c r="P86" s="2971"/>
      <c r="Q86" s="2966"/>
      <c r="R86" s="2886"/>
      <c r="S86" s="2886"/>
      <c r="T86" s="2886"/>
      <c r="U86" s="2886"/>
      <c r="V86" s="2886"/>
      <c r="W86" s="2886"/>
      <c r="X86" s="2886"/>
      <c r="Y86" s="2886"/>
      <c r="Z86" s="2886"/>
      <c r="AA86" s="2886"/>
      <c r="AB86" s="2886"/>
      <c r="AC86" s="2886"/>
    </row>
    <row r="87" spans="1:29" s="113" customFormat="1" ht="15.75" thickBot="1">
      <c r="A87" s="536"/>
      <c r="B87" s="500"/>
      <c r="C87" s="539">
        <v>100</v>
      </c>
      <c r="D87" s="501">
        <f t="shared" ref="D87:M87" si="16">C87-$K25</f>
        <v>100</v>
      </c>
      <c r="E87" s="501">
        <f t="shared" si="16"/>
        <v>100</v>
      </c>
      <c r="F87" s="501">
        <f t="shared" si="16"/>
        <v>100</v>
      </c>
      <c r="G87" s="501">
        <f t="shared" si="16"/>
        <v>100</v>
      </c>
      <c r="H87" s="501">
        <f t="shared" si="16"/>
        <v>100</v>
      </c>
      <c r="I87" s="501">
        <f t="shared" si="16"/>
        <v>100</v>
      </c>
      <c r="J87" s="501">
        <f t="shared" si="16"/>
        <v>100</v>
      </c>
      <c r="K87" s="501">
        <f t="shared" si="16"/>
        <v>100</v>
      </c>
      <c r="L87" s="501">
        <f t="shared" si="16"/>
        <v>100</v>
      </c>
      <c r="M87" s="501">
        <f t="shared" si="16"/>
        <v>100</v>
      </c>
      <c r="N87" s="2981"/>
      <c r="O87" s="2981"/>
      <c r="P87" s="2971"/>
      <c r="Q87" s="2966"/>
      <c r="R87" s="2886"/>
      <c r="S87" s="2886"/>
      <c r="T87" s="2886"/>
      <c r="U87" s="2886"/>
      <c r="V87" s="2886"/>
      <c r="W87" s="2886"/>
      <c r="X87" s="2886"/>
      <c r="Y87" s="2886"/>
      <c r="Z87" s="2886"/>
      <c r="AA87" s="2886"/>
      <c r="AB87" s="2886"/>
      <c r="AC87" s="2886"/>
    </row>
    <row r="88" spans="1:29" s="113" customFormat="1" ht="15.75" thickTop="1">
      <c r="A88" s="536"/>
      <c r="B88" s="495" t="str">
        <f>B26</f>
        <v>平面位置/可视性</v>
      </c>
      <c r="C88" s="511"/>
      <c r="D88" s="511"/>
      <c r="E88" s="511"/>
      <c r="F88" s="2113"/>
      <c r="G88" s="511"/>
      <c r="H88" s="511"/>
      <c r="I88" s="511"/>
      <c r="J88" s="511"/>
      <c r="K88" s="511"/>
      <c r="L88" s="511"/>
      <c r="M88" s="538"/>
      <c r="N88" s="2979"/>
      <c r="O88" s="2979"/>
      <c r="P88" s="2971"/>
      <c r="Q88" s="2966"/>
      <c r="R88" s="2886"/>
      <c r="S88" s="2886"/>
      <c r="T88" s="2886"/>
      <c r="U88" s="2886"/>
      <c r="V88" s="2886"/>
      <c r="W88" s="2886"/>
      <c r="X88" s="2886"/>
      <c r="Y88" s="2886"/>
      <c r="Z88" s="2886"/>
      <c r="AA88" s="2886"/>
      <c r="AB88" s="2886"/>
      <c r="AC88" s="2886"/>
    </row>
    <row r="89" spans="1:29" s="113" customFormat="1" ht="15.75" thickBot="1">
      <c r="A89" s="536"/>
      <c r="B89" s="500"/>
      <c r="C89" s="517"/>
      <c r="D89" s="493"/>
      <c r="E89" s="493"/>
      <c r="F89" s="493"/>
      <c r="G89" s="493"/>
      <c r="H89" s="493"/>
      <c r="I89" s="493"/>
      <c r="J89" s="493"/>
      <c r="K89" s="493"/>
      <c r="L89" s="493"/>
      <c r="M89" s="493"/>
      <c r="N89" s="2981"/>
      <c r="O89" s="2981"/>
      <c r="P89" s="2971"/>
      <c r="Q89" s="2966"/>
      <c r="R89" s="2886"/>
      <c r="S89" s="2886"/>
      <c r="T89" s="2886"/>
      <c r="U89" s="2886"/>
      <c r="V89" s="2886"/>
      <c r="W89" s="2886"/>
      <c r="X89" s="2886"/>
      <c r="Y89" s="2886"/>
      <c r="Z89" s="2886"/>
      <c r="AA89" s="2886"/>
      <c r="AB89" s="2886"/>
      <c r="AC89" s="2886"/>
    </row>
    <row r="90" spans="1:29" s="430" customFormat="1" ht="15.75" thickTop="1">
      <c r="A90" s="510"/>
      <c r="B90" s="495" t="str">
        <f>B27</f>
        <v>人流量</v>
      </c>
      <c r="C90" s="3186" t="s">
        <v>3568</v>
      </c>
      <c r="D90" s="511"/>
      <c r="E90" s="511"/>
      <c r="F90" s="511"/>
      <c r="G90" s="511"/>
      <c r="H90" s="512"/>
      <c r="I90" s="512"/>
      <c r="J90" s="512"/>
      <c r="K90" s="512"/>
      <c r="L90" s="513"/>
      <c r="M90" s="514"/>
      <c r="N90" s="2982"/>
      <c r="O90" s="2982"/>
      <c r="P90" s="2972"/>
      <c r="Q90" s="2973"/>
      <c r="R90" s="2974"/>
      <c r="S90" s="2974"/>
      <c r="T90" s="2974"/>
      <c r="U90" s="2974"/>
      <c r="V90" s="2974"/>
      <c r="W90" s="2974"/>
      <c r="X90" s="2974"/>
      <c r="Y90" s="2974"/>
      <c r="Z90" s="2974"/>
      <c r="AA90" s="2974"/>
      <c r="AB90" s="2974"/>
      <c r="AC90" s="2974"/>
    </row>
    <row r="91" spans="1:29" s="430" customFormat="1" ht="15.75" thickBot="1">
      <c r="A91" s="510"/>
      <c r="B91" s="500"/>
      <c r="C91" s="539">
        <v>100</v>
      </c>
      <c r="D91" s="501">
        <f>C91-$K27</f>
        <v>98</v>
      </c>
      <c r="E91" s="501">
        <f t="shared" ref="E91:M91" si="17">D91-$K27</f>
        <v>96</v>
      </c>
      <c r="F91" s="501">
        <f t="shared" si="17"/>
        <v>94</v>
      </c>
      <c r="G91" s="501">
        <f t="shared" si="17"/>
        <v>92</v>
      </c>
      <c r="H91" s="501">
        <f t="shared" si="17"/>
        <v>90</v>
      </c>
      <c r="I91" s="501">
        <f t="shared" si="17"/>
        <v>88</v>
      </c>
      <c r="J91" s="501">
        <f t="shared" si="17"/>
        <v>86</v>
      </c>
      <c r="K91" s="501">
        <f t="shared" si="17"/>
        <v>84</v>
      </c>
      <c r="L91" s="501">
        <f t="shared" si="17"/>
        <v>82</v>
      </c>
      <c r="M91" s="501">
        <f t="shared" si="17"/>
        <v>80</v>
      </c>
      <c r="N91" s="2982"/>
      <c r="O91" s="2982"/>
      <c r="P91" s="2972"/>
      <c r="Q91" s="2973"/>
      <c r="R91" s="2974"/>
      <c r="S91" s="2974"/>
      <c r="T91" s="2974"/>
      <c r="U91" s="2974"/>
      <c r="V91" s="2974"/>
      <c r="W91" s="2974"/>
      <c r="X91" s="2974"/>
      <c r="Y91" s="2974"/>
      <c r="Z91" s="2974"/>
      <c r="AA91" s="2974"/>
      <c r="AB91" s="2974"/>
      <c r="AC91" s="2974"/>
    </row>
    <row r="92" spans="1:29" ht="15.75" thickTop="1">
      <c r="A92" s="491"/>
      <c r="B92" s="495" t="str">
        <f>B28</f>
        <v>楼层</v>
      </c>
      <c r="C92" s="511">
        <v>1</v>
      </c>
      <c r="D92" s="511"/>
      <c r="E92" s="511"/>
      <c r="F92" s="511"/>
      <c r="G92" s="511"/>
      <c r="H92" s="511"/>
      <c r="I92" s="511"/>
      <c r="J92" s="511"/>
      <c r="K92" s="511"/>
      <c r="L92" s="537"/>
      <c r="M92" s="538"/>
      <c r="N92" s="2980"/>
      <c r="O92" s="2980"/>
      <c r="P92" s="2971"/>
      <c r="Q92" s="2966"/>
      <c r="R92" s="2952"/>
      <c r="S92" s="2952"/>
      <c r="T92" s="2952"/>
      <c r="U92" s="2952"/>
      <c r="V92" s="2952"/>
      <c r="W92" s="2952"/>
      <c r="X92" s="2952"/>
      <c r="Y92" s="2952"/>
      <c r="Z92" s="2952"/>
      <c r="AA92" s="2952"/>
      <c r="AB92" s="2952"/>
      <c r="AC92" s="2952"/>
    </row>
    <row r="93" spans="1:29" ht="15.75" thickBot="1">
      <c r="A93" s="491"/>
      <c r="B93" s="500"/>
      <c r="C93" s="493">
        <v>100</v>
      </c>
      <c r="D93" s="493"/>
      <c r="E93" s="493"/>
      <c r="F93" s="493"/>
      <c r="G93" s="493"/>
      <c r="H93" s="493"/>
      <c r="I93" s="493"/>
      <c r="J93" s="493"/>
      <c r="K93" s="493"/>
      <c r="L93" s="493"/>
      <c r="M93" s="494"/>
      <c r="N93" s="2981"/>
      <c r="O93" s="2981"/>
      <c r="P93" s="2971"/>
      <c r="Q93" s="2966"/>
      <c r="R93" s="2952"/>
      <c r="S93" s="2952"/>
      <c r="T93" s="2952"/>
      <c r="U93" s="2952"/>
      <c r="V93" s="2952"/>
      <c r="W93" s="2952"/>
      <c r="X93" s="2952"/>
      <c r="Y93" s="2952"/>
      <c r="Z93" s="2952"/>
      <c r="AA93" s="2952"/>
      <c r="AB93" s="2952"/>
      <c r="AC93" s="2952"/>
    </row>
    <row r="94" spans="1:29" ht="15.75" thickTop="1">
      <c r="A94" s="491"/>
      <c r="B94" s="495">
        <f>B29</f>
        <v>111</v>
      </c>
      <c r="C94" s="511"/>
      <c r="D94" s="511"/>
      <c r="E94" s="511"/>
      <c r="F94" s="511"/>
      <c r="G94" s="540"/>
      <c r="H94" s="540"/>
      <c r="I94" s="540"/>
      <c r="J94" s="540"/>
      <c r="K94" s="541"/>
      <c r="L94" s="542"/>
      <c r="M94" s="543"/>
      <c r="N94" s="2980"/>
      <c r="O94" s="2980"/>
      <c r="P94" s="2971"/>
      <c r="Q94" s="2966"/>
      <c r="R94" s="2952"/>
      <c r="S94" s="2952"/>
      <c r="T94" s="2952"/>
      <c r="U94" s="2952"/>
      <c r="V94" s="2952"/>
      <c r="W94" s="2952"/>
      <c r="X94" s="2952"/>
      <c r="Y94" s="2952"/>
      <c r="Z94" s="2952"/>
      <c r="AA94" s="2952"/>
      <c r="AB94" s="2952"/>
      <c r="AC94" s="2952"/>
    </row>
    <row r="95" spans="1:29" ht="15.75" thickBot="1">
      <c r="A95" s="491"/>
      <c r="B95" s="500"/>
      <c r="C95" s="517"/>
      <c r="D95" s="493"/>
      <c r="E95" s="493"/>
      <c r="F95" s="493"/>
      <c r="G95" s="493"/>
      <c r="H95" s="493"/>
      <c r="I95" s="493"/>
      <c r="J95" s="493"/>
      <c r="K95" s="493"/>
      <c r="L95" s="493"/>
      <c r="M95" s="494"/>
      <c r="N95" s="2981"/>
      <c r="O95" s="2981"/>
      <c r="P95" s="2971"/>
      <c r="Q95" s="2966"/>
      <c r="R95" s="2952"/>
      <c r="S95" s="2952"/>
      <c r="T95" s="2952"/>
      <c r="U95" s="2952"/>
      <c r="V95" s="2952"/>
      <c r="W95" s="2952"/>
      <c r="X95" s="2952"/>
      <c r="Y95" s="2952"/>
      <c r="Z95" s="2952"/>
      <c r="AA95" s="2952"/>
      <c r="AB95" s="2952"/>
      <c r="AC95" s="2952"/>
    </row>
    <row r="96" spans="1:29" ht="15.75" thickTop="1">
      <c r="A96" s="491"/>
      <c r="B96" s="495">
        <f>B30</f>
        <v>111</v>
      </c>
      <c r="C96" s="511"/>
      <c r="D96" s="511"/>
      <c r="E96" s="511"/>
      <c r="F96" s="511"/>
      <c r="G96" s="540"/>
      <c r="H96" s="540"/>
      <c r="I96" s="540"/>
      <c r="J96" s="540"/>
      <c r="K96" s="541"/>
      <c r="L96" s="542"/>
      <c r="M96" s="543"/>
      <c r="N96" s="2980"/>
      <c r="O96" s="2980"/>
      <c r="P96" s="2971"/>
      <c r="Q96" s="2966"/>
      <c r="R96" s="2952"/>
      <c r="S96" s="2952"/>
      <c r="T96" s="2952"/>
      <c r="U96" s="2952"/>
      <c r="V96" s="2952"/>
      <c r="W96" s="2952"/>
      <c r="X96" s="2952"/>
      <c r="Y96" s="2952"/>
      <c r="Z96" s="2952"/>
      <c r="AA96" s="2952"/>
      <c r="AB96" s="2952"/>
      <c r="AC96" s="2952"/>
    </row>
    <row r="97" spans="1:29" ht="15.75" thickBot="1">
      <c r="A97" s="491"/>
      <c r="B97" s="500"/>
      <c r="C97" s="517"/>
      <c r="D97" s="493"/>
      <c r="E97" s="493"/>
      <c r="F97" s="493"/>
      <c r="G97" s="493"/>
      <c r="H97" s="493"/>
      <c r="I97" s="493"/>
      <c r="J97" s="493"/>
      <c r="K97" s="493"/>
      <c r="L97" s="493"/>
      <c r="M97" s="494"/>
      <c r="N97" s="2981"/>
      <c r="O97" s="2981"/>
      <c r="P97" s="2971"/>
      <c r="Q97" s="2966"/>
      <c r="R97" s="2952"/>
      <c r="S97" s="2952"/>
      <c r="T97" s="2952"/>
      <c r="U97" s="2952"/>
      <c r="V97" s="2952"/>
      <c r="W97" s="2952"/>
      <c r="X97" s="2952"/>
      <c r="Y97" s="2952"/>
      <c r="Z97" s="2952"/>
      <c r="AA97" s="2952"/>
      <c r="AB97" s="2952"/>
      <c r="AC97" s="2952"/>
    </row>
    <row r="98" spans="1:29" ht="15.75" thickTop="1">
      <c r="A98" s="491"/>
      <c r="B98" s="503">
        <f>B31</f>
        <v>111</v>
      </c>
      <c r="C98" s="511"/>
      <c r="D98" s="511"/>
      <c r="E98" s="511"/>
      <c r="F98" s="511"/>
      <c r="G98" s="544"/>
      <c r="H98" s="544"/>
      <c r="I98" s="544"/>
      <c r="J98" s="544"/>
      <c r="K98" s="545"/>
      <c r="L98" s="546"/>
      <c r="M98" s="547"/>
      <c r="N98" s="2980"/>
      <c r="O98" s="2980"/>
      <c r="P98" s="2971"/>
      <c r="Q98" s="2966"/>
      <c r="R98" s="2952"/>
      <c r="S98" s="2952"/>
      <c r="T98" s="2952"/>
      <c r="U98" s="2952"/>
      <c r="V98" s="2952"/>
      <c r="W98" s="2952"/>
      <c r="X98" s="2952"/>
      <c r="Y98" s="2952"/>
      <c r="Z98" s="2952"/>
      <c r="AA98" s="2952"/>
      <c r="AB98" s="2952"/>
      <c r="AC98" s="2952"/>
    </row>
    <row r="99" spans="1:29" ht="15.75" thickBot="1">
      <c r="A99" s="2114"/>
      <c r="B99" s="526"/>
      <c r="C99" s="527"/>
      <c r="D99" s="527"/>
      <c r="E99" s="527"/>
      <c r="F99" s="527"/>
      <c r="G99" s="548"/>
      <c r="H99" s="548"/>
      <c r="I99" s="548"/>
      <c r="J99" s="548"/>
      <c r="K99" s="548"/>
      <c r="L99" s="548"/>
      <c r="M99" s="549"/>
      <c r="N99" s="2981"/>
      <c r="O99" s="2981"/>
      <c r="P99" s="2971"/>
      <c r="Q99" s="2966"/>
      <c r="R99" s="2952"/>
      <c r="S99" s="2952"/>
      <c r="T99" s="2952"/>
      <c r="U99" s="2952"/>
      <c r="V99" s="2952"/>
      <c r="W99" s="2952"/>
      <c r="X99" s="2952"/>
      <c r="Y99" s="2952"/>
      <c r="Z99" s="2952"/>
      <c r="AA99" s="2952"/>
      <c r="AB99" s="2952"/>
      <c r="AC99" s="2952"/>
    </row>
    <row r="100" spans="1:29">
      <c r="A100" s="484" t="s">
        <v>2384</v>
      </c>
      <c r="B100" s="485" t="s">
        <v>2502</v>
      </c>
      <c r="C100" s="3321" t="s">
        <v>4245</v>
      </c>
      <c r="D100" s="3183" t="s">
        <v>3566</v>
      </c>
      <c r="F100" s="487"/>
      <c r="G100" s="487"/>
      <c r="H100" s="487"/>
      <c r="I100" s="487"/>
      <c r="J100" s="487"/>
      <c r="K100" s="488"/>
      <c r="L100" s="489"/>
      <c r="M100" s="490"/>
      <c r="N100" s="2980"/>
      <c r="O100" s="2980"/>
      <c r="P100" s="2971"/>
      <c r="Q100" s="2966"/>
      <c r="R100" s="2952"/>
      <c r="S100" s="2952"/>
      <c r="T100" s="2952"/>
      <c r="U100" s="2952"/>
      <c r="V100" s="2952"/>
      <c r="W100" s="2952"/>
      <c r="X100" s="2952"/>
      <c r="Y100" s="2952"/>
      <c r="Z100" s="2952"/>
      <c r="AA100" s="2952"/>
      <c r="AB100" s="2952"/>
      <c r="AC100" s="2952"/>
    </row>
    <row r="101" spans="1:29" ht="15.75" thickBot="1">
      <c r="A101" s="491"/>
      <c r="B101" s="500"/>
      <c r="C101" s="501">
        <v>100</v>
      </c>
      <c r="D101" s="501">
        <f t="shared" ref="D101:M101" si="18">C101-$K32</f>
        <v>98</v>
      </c>
      <c r="E101" s="501">
        <f t="shared" si="18"/>
        <v>96</v>
      </c>
      <c r="F101" s="501">
        <f t="shared" si="18"/>
        <v>94</v>
      </c>
      <c r="G101" s="501">
        <f t="shared" si="18"/>
        <v>92</v>
      </c>
      <c r="H101" s="501">
        <f t="shared" si="18"/>
        <v>90</v>
      </c>
      <c r="I101" s="501">
        <f t="shared" si="18"/>
        <v>88</v>
      </c>
      <c r="J101" s="501">
        <f t="shared" si="18"/>
        <v>86</v>
      </c>
      <c r="K101" s="501">
        <f t="shared" si="18"/>
        <v>84</v>
      </c>
      <c r="L101" s="501">
        <f t="shared" si="18"/>
        <v>82</v>
      </c>
      <c r="M101" s="502">
        <f t="shared" si="18"/>
        <v>80</v>
      </c>
      <c r="N101" s="2981"/>
      <c r="O101" s="2981"/>
      <c r="P101" s="2971"/>
      <c r="Q101" s="2966"/>
      <c r="R101" s="2952"/>
      <c r="S101" s="2952"/>
      <c r="T101" s="2952"/>
      <c r="U101" s="2952"/>
      <c r="V101" s="2952"/>
      <c r="W101" s="2952"/>
      <c r="X101" s="2952"/>
      <c r="Y101" s="2952"/>
      <c r="Z101" s="2952"/>
      <c r="AA101" s="2952"/>
      <c r="AB101" s="2952"/>
      <c r="AC101" s="2952"/>
    </row>
    <row r="102" spans="1:29" ht="29.25" thickTop="1">
      <c r="A102" s="491"/>
      <c r="B102" s="495" t="s">
        <v>2434</v>
      </c>
      <c r="C102" s="535" t="str">
        <f>C103&amp;"(含)"&amp;"-"&amp;D103</f>
        <v>0(含)-20000</v>
      </c>
      <c r="D102" s="535" t="str">
        <f t="shared" ref="D102:L102" si="19">D103&amp;"(含)"&amp;"-"&amp;E103</f>
        <v>20000(含)-50000</v>
      </c>
      <c r="E102" s="535" t="str">
        <f t="shared" si="19"/>
        <v>50000(含)-100000</v>
      </c>
      <c r="F102" s="535" t="str">
        <f t="shared" si="19"/>
        <v>100000(含)-150000</v>
      </c>
      <c r="G102" s="535" t="str">
        <f t="shared" si="19"/>
        <v>150000(含)-</v>
      </c>
      <c r="H102" s="535" t="str">
        <f t="shared" si="19"/>
        <v>(含)-</v>
      </c>
      <c r="I102" s="535" t="str">
        <f t="shared" si="19"/>
        <v>(含)-</v>
      </c>
      <c r="J102" s="535" t="str">
        <f t="shared" si="19"/>
        <v>(含)-</v>
      </c>
      <c r="K102" s="535" t="str">
        <f t="shared" si="19"/>
        <v>(含)-</v>
      </c>
      <c r="L102" s="535" t="str">
        <f t="shared" si="19"/>
        <v>(含)-</v>
      </c>
      <c r="M102" s="578"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30" customFormat="1">
      <c r="A103" s="550"/>
      <c r="B103" s="551"/>
      <c r="C103" s="552">
        <v>0</v>
      </c>
      <c r="D103" s="552">
        <v>20000</v>
      </c>
      <c r="E103" s="552">
        <v>50000</v>
      </c>
      <c r="F103" s="552">
        <v>100000</v>
      </c>
      <c r="G103" s="552">
        <v>150000</v>
      </c>
      <c r="H103" s="552"/>
      <c r="I103" s="552"/>
      <c r="J103" s="553"/>
      <c r="K103" s="553"/>
      <c r="L103" s="554"/>
      <c r="M103" s="555"/>
      <c r="N103" s="2982"/>
      <c r="O103" s="2982"/>
      <c r="P103" s="2972"/>
      <c r="Q103" s="2973"/>
      <c r="R103" s="2974"/>
      <c r="S103" s="2974"/>
      <c r="T103" s="2974"/>
      <c r="U103" s="2974"/>
      <c r="V103" s="2974"/>
      <c r="W103" s="2974"/>
      <c r="X103" s="2974"/>
      <c r="Y103" s="2974"/>
      <c r="Z103" s="2974"/>
      <c r="AA103" s="2974"/>
      <c r="AB103" s="2974"/>
      <c r="AC103" s="2974"/>
    </row>
    <row r="104" spans="1:29" s="430" customFormat="1" ht="15.75" thickBot="1">
      <c r="A104" s="510"/>
      <c r="B104" s="500"/>
      <c r="C104" s="517">
        <v>100</v>
      </c>
      <c r="D104" s="493">
        <v>100</v>
      </c>
      <c r="E104" s="493">
        <v>100</v>
      </c>
      <c r="F104" s="493">
        <v>100</v>
      </c>
      <c r="G104" s="493">
        <v>100</v>
      </c>
      <c r="H104" s="493"/>
      <c r="I104" s="493"/>
      <c r="J104" s="493"/>
      <c r="K104" s="493"/>
      <c r="L104" s="493"/>
      <c r="M104" s="494"/>
      <c r="N104" s="2981"/>
      <c r="O104" s="2981"/>
      <c r="P104" s="2972"/>
      <c r="Q104" s="2973"/>
      <c r="R104" s="2974"/>
      <c r="S104" s="2974"/>
      <c r="T104" s="2974"/>
      <c r="U104" s="2974"/>
      <c r="V104" s="2974"/>
      <c r="W104" s="2974"/>
      <c r="X104" s="2974"/>
      <c r="Y104" s="2974"/>
      <c r="Z104" s="2974"/>
      <c r="AA104" s="2974"/>
      <c r="AB104" s="2974"/>
      <c r="AC104" s="2974"/>
    </row>
    <row r="105" spans="1:29" ht="15" thickTop="1">
      <c r="A105" s="556"/>
      <c r="B105" s="495" t="s">
        <v>2435</v>
      </c>
      <c r="C105" s="3186" t="s">
        <v>3559</v>
      </c>
      <c r="D105" s="511"/>
      <c r="E105" s="540"/>
      <c r="F105" s="540"/>
      <c r="G105" s="540"/>
      <c r="H105" s="540"/>
      <c r="I105" s="540"/>
      <c r="J105" s="540"/>
      <c r="K105" s="541"/>
      <c r="L105" s="542"/>
      <c r="M105" s="543"/>
      <c r="N105" s="2980"/>
      <c r="O105" s="2980"/>
      <c r="P105" s="2971"/>
      <c r="Q105" s="2966"/>
      <c r="R105" s="2952"/>
      <c r="S105" s="2952"/>
      <c r="T105" s="2952"/>
      <c r="U105" s="2952"/>
      <c r="V105" s="2952"/>
      <c r="W105" s="2952"/>
      <c r="X105" s="2952"/>
      <c r="Y105" s="2952"/>
      <c r="Z105" s="2952"/>
      <c r="AA105" s="2952"/>
      <c r="AB105" s="2952"/>
      <c r="AC105" s="2952"/>
    </row>
    <row r="106" spans="1:29" ht="15.75" thickBot="1">
      <c r="A106" s="491"/>
      <c r="B106" s="500"/>
      <c r="C106" s="501">
        <v>100</v>
      </c>
      <c r="D106" s="501">
        <f t="shared" ref="D106:M106" si="20">C106-$K34</f>
        <v>98</v>
      </c>
      <c r="E106" s="501">
        <f t="shared" si="20"/>
        <v>96</v>
      </c>
      <c r="F106" s="501">
        <f t="shared" si="20"/>
        <v>94</v>
      </c>
      <c r="G106" s="501">
        <f t="shared" si="20"/>
        <v>92</v>
      </c>
      <c r="H106" s="501">
        <f t="shared" si="20"/>
        <v>90</v>
      </c>
      <c r="I106" s="501">
        <f t="shared" si="20"/>
        <v>88</v>
      </c>
      <c r="J106" s="501">
        <f t="shared" si="20"/>
        <v>86</v>
      </c>
      <c r="K106" s="501">
        <f t="shared" si="20"/>
        <v>84</v>
      </c>
      <c r="L106" s="501">
        <f t="shared" si="20"/>
        <v>82</v>
      </c>
      <c r="M106" s="502">
        <f t="shared" si="20"/>
        <v>80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6"/>
      <c r="B107" s="495" t="s">
        <v>2437</v>
      </c>
      <c r="C107" s="3168" t="s">
        <v>3483</v>
      </c>
      <c r="D107" s="3168" t="s">
        <v>3484</v>
      </c>
      <c r="E107" s="3168" t="s">
        <v>3485</v>
      </c>
      <c r="F107" s="540"/>
      <c r="G107" s="540"/>
      <c r="H107" s="540"/>
      <c r="I107" s="540"/>
      <c r="J107" s="540"/>
      <c r="K107" s="541"/>
      <c r="L107" s="542"/>
      <c r="M107" s="543"/>
      <c r="N107" s="2980"/>
      <c r="O107" s="2980"/>
      <c r="P107" s="2971"/>
      <c r="Q107" s="2966"/>
      <c r="R107" s="2952"/>
      <c r="S107" s="2952"/>
      <c r="T107" s="2952"/>
      <c r="U107" s="2952"/>
      <c r="V107" s="2952"/>
      <c r="W107" s="2952"/>
      <c r="X107" s="2952"/>
      <c r="Y107" s="2952"/>
      <c r="Z107" s="2952"/>
      <c r="AA107" s="2952"/>
      <c r="AB107" s="2952"/>
      <c r="AC107" s="2952"/>
    </row>
    <row r="108" spans="1:29" ht="15.75" thickBot="1">
      <c r="A108" s="491"/>
      <c r="B108" s="500"/>
      <c r="C108" s="501">
        <v>100</v>
      </c>
      <c r="D108" s="501">
        <f t="shared" ref="D108:M108" si="21">C108-$K35</f>
        <v>98</v>
      </c>
      <c r="E108" s="501">
        <f t="shared" si="21"/>
        <v>96</v>
      </c>
      <c r="F108" s="501">
        <f t="shared" si="21"/>
        <v>94</v>
      </c>
      <c r="G108" s="501">
        <f t="shared" si="21"/>
        <v>92</v>
      </c>
      <c r="H108" s="501">
        <f t="shared" si="21"/>
        <v>90</v>
      </c>
      <c r="I108" s="501">
        <f t="shared" si="21"/>
        <v>88</v>
      </c>
      <c r="J108" s="501">
        <f t="shared" si="21"/>
        <v>86</v>
      </c>
      <c r="K108" s="501">
        <f t="shared" si="21"/>
        <v>84</v>
      </c>
      <c r="L108" s="501">
        <f t="shared" si="21"/>
        <v>82</v>
      </c>
      <c r="M108" s="502">
        <f t="shared" si="21"/>
        <v>80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0"/>
      <c r="O109" s="2980"/>
      <c r="P109" s="2971"/>
      <c r="Q109" s="2966"/>
      <c r="R109" s="2952"/>
      <c r="S109" s="2952"/>
      <c r="T109" s="2952"/>
      <c r="U109" s="2952"/>
      <c r="V109" s="2952"/>
      <c r="W109" s="2952"/>
      <c r="X109" s="2952"/>
      <c r="Y109" s="2952"/>
      <c r="Z109" s="2952"/>
      <c r="AA109" s="2952"/>
      <c r="AB109" s="2952"/>
      <c r="AC109" s="2952"/>
    </row>
    <row r="110" spans="1:29">
      <c r="A110" s="556"/>
      <c r="B110" s="503"/>
      <c r="C110" s="560">
        <v>0.5</v>
      </c>
      <c r="D110" s="560">
        <v>0.6</v>
      </c>
      <c r="E110" s="560">
        <v>0.7</v>
      </c>
      <c r="F110" s="560">
        <v>0.8</v>
      </c>
      <c r="G110" s="560">
        <v>0.9</v>
      </c>
      <c r="H110" s="560">
        <v>1.0001</v>
      </c>
      <c r="I110" s="579"/>
      <c r="J110" s="579"/>
      <c r="K110" s="580"/>
      <c r="L110" s="581"/>
      <c r="M110" s="582"/>
      <c r="N110" s="2980"/>
      <c r="O110" s="2980"/>
      <c r="P110" s="2971"/>
      <c r="Q110" s="2966"/>
      <c r="R110" s="2952"/>
      <c r="S110" s="2952"/>
      <c r="T110" s="2952"/>
      <c r="U110" s="2952"/>
      <c r="V110" s="2952"/>
      <c r="W110" s="2952"/>
      <c r="X110" s="2952"/>
      <c r="Y110" s="2952"/>
      <c r="Z110" s="2952"/>
      <c r="AA110" s="2952"/>
      <c r="AB110" s="2952"/>
      <c r="AC110" s="2952"/>
    </row>
    <row r="111" spans="1:29" ht="15.75" thickBot="1">
      <c r="A111" s="491"/>
      <c r="B111" s="500"/>
      <c r="C111" s="539">
        <v>100</v>
      </c>
      <c r="D111" s="501">
        <f>C111+$K36</f>
        <v>100</v>
      </c>
      <c r="E111" s="501">
        <f t="shared" ref="E111:M111" si="22">D111+$K36</f>
        <v>100</v>
      </c>
      <c r="F111" s="501">
        <f t="shared" si="22"/>
        <v>100</v>
      </c>
      <c r="G111" s="501">
        <f t="shared" si="22"/>
        <v>100</v>
      </c>
      <c r="H111" s="501">
        <f t="shared" si="22"/>
        <v>100</v>
      </c>
      <c r="I111" s="501">
        <f t="shared" si="22"/>
        <v>100</v>
      </c>
      <c r="J111" s="501">
        <f t="shared" si="22"/>
        <v>100</v>
      </c>
      <c r="K111" s="501">
        <f t="shared" si="22"/>
        <v>100</v>
      </c>
      <c r="L111" s="501">
        <f t="shared" si="22"/>
        <v>100</v>
      </c>
      <c r="M111" s="501">
        <f t="shared" si="22"/>
        <v>100</v>
      </c>
      <c r="N111" s="2981"/>
      <c r="O111" s="2981"/>
      <c r="P111" s="2971"/>
      <c r="Q111" s="2966"/>
      <c r="R111" s="2952"/>
      <c r="S111" s="2952"/>
      <c r="T111" s="2952"/>
      <c r="U111" s="2952"/>
      <c r="V111" s="2952"/>
      <c r="W111" s="2952"/>
      <c r="X111" s="2952"/>
      <c r="Y111" s="2952"/>
      <c r="Z111" s="2952"/>
      <c r="AA111" s="2952"/>
      <c r="AB111" s="2952"/>
      <c r="AC111" s="2952"/>
    </row>
    <row r="112" spans="1:29" s="430" customFormat="1" ht="15" thickTop="1">
      <c r="A112" s="550"/>
      <c r="B112" s="495" t="s">
        <v>2439</v>
      </c>
      <c r="C112" s="3186" t="s">
        <v>3560</v>
      </c>
      <c r="D112" s="3186" t="s">
        <v>3561</v>
      </c>
      <c r="E112" s="3186" t="s">
        <v>3562</v>
      </c>
      <c r="F112" s="3186" t="s">
        <v>3563</v>
      </c>
      <c r="G112" s="3186" t="s">
        <v>3564</v>
      </c>
      <c r="H112" s="540"/>
      <c r="I112" s="540"/>
      <c r="J112" s="540"/>
      <c r="K112" s="541"/>
      <c r="L112" s="542"/>
      <c r="M112" s="543"/>
      <c r="N112" s="2982"/>
      <c r="O112" s="2982"/>
      <c r="P112" s="2972"/>
      <c r="Q112" s="2973"/>
      <c r="R112" s="2974"/>
      <c r="S112" s="2974"/>
      <c r="T112" s="2974"/>
      <c r="U112" s="2974"/>
      <c r="V112" s="2974"/>
      <c r="W112" s="2974"/>
      <c r="X112" s="2974"/>
      <c r="Y112" s="2974"/>
      <c r="Z112" s="2974"/>
      <c r="AA112" s="2974"/>
      <c r="AB112" s="2974"/>
      <c r="AC112" s="2974"/>
    </row>
    <row r="113" spans="1:29" s="430" customFormat="1" ht="15.75" thickBot="1">
      <c r="A113" s="510"/>
      <c r="B113" s="500"/>
      <c r="C113" s="501">
        <v>100</v>
      </c>
      <c r="D113" s="501">
        <f>C113-$K37</f>
        <v>100</v>
      </c>
      <c r="E113" s="501">
        <f t="shared" ref="E113:M113" si="23">D113-$K37</f>
        <v>100</v>
      </c>
      <c r="F113" s="501">
        <f t="shared" si="23"/>
        <v>100</v>
      </c>
      <c r="G113" s="501">
        <f t="shared" si="23"/>
        <v>100</v>
      </c>
      <c r="H113" s="501">
        <f t="shared" si="23"/>
        <v>100</v>
      </c>
      <c r="I113" s="501">
        <f t="shared" si="23"/>
        <v>100</v>
      </c>
      <c r="J113" s="501">
        <f t="shared" si="23"/>
        <v>100</v>
      </c>
      <c r="K113" s="501">
        <f t="shared" si="23"/>
        <v>100</v>
      </c>
      <c r="L113" s="501">
        <f t="shared" si="23"/>
        <v>100</v>
      </c>
      <c r="M113" s="501">
        <f t="shared" si="23"/>
        <v>100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6"/>
      <c r="B114" s="495" t="s">
        <v>2503</v>
      </c>
      <c r="C114" s="511"/>
      <c r="D114" s="511"/>
      <c r="E114" s="540"/>
      <c r="F114" s="540"/>
      <c r="G114" s="540"/>
      <c r="H114" s="540"/>
      <c r="I114" s="540"/>
      <c r="J114" s="540"/>
      <c r="K114" s="541"/>
      <c r="L114" s="542"/>
      <c r="M114" s="543"/>
      <c r="N114" s="2980"/>
      <c r="O114" s="2980"/>
      <c r="P114" s="2971"/>
      <c r="Q114" s="2966"/>
      <c r="R114" s="2952"/>
      <c r="S114" s="2952"/>
      <c r="T114" s="2952"/>
      <c r="U114" s="2952"/>
      <c r="V114" s="2952"/>
      <c r="W114" s="2952"/>
      <c r="X114" s="2952"/>
      <c r="Y114" s="2952"/>
      <c r="Z114" s="2952"/>
      <c r="AA114" s="2952"/>
      <c r="AB114" s="2952"/>
      <c r="AC114" s="2952"/>
    </row>
    <row r="115" spans="1:29" ht="15.75" thickBot="1">
      <c r="A115" s="491"/>
      <c r="B115" s="500"/>
      <c r="C115" s="501">
        <v>100</v>
      </c>
      <c r="D115" s="501">
        <f t="shared" ref="D115:M115" si="24">C115-$K38</f>
        <v>100</v>
      </c>
      <c r="E115" s="501">
        <f t="shared" si="24"/>
        <v>100</v>
      </c>
      <c r="F115" s="501">
        <f t="shared" si="24"/>
        <v>100</v>
      </c>
      <c r="G115" s="501">
        <f t="shared" si="24"/>
        <v>100</v>
      </c>
      <c r="H115" s="501">
        <f t="shared" si="24"/>
        <v>100</v>
      </c>
      <c r="I115" s="501">
        <f t="shared" si="24"/>
        <v>100</v>
      </c>
      <c r="J115" s="501">
        <f t="shared" si="24"/>
        <v>100</v>
      </c>
      <c r="K115" s="501">
        <f t="shared" si="24"/>
        <v>100</v>
      </c>
      <c r="L115" s="501">
        <f t="shared" si="24"/>
        <v>100</v>
      </c>
      <c r="M115" s="502">
        <f t="shared" si="24"/>
        <v>100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6"/>
      <c r="B116" s="495" t="s">
        <v>2504</v>
      </c>
      <c r="C116" s="511">
        <v>3.3</v>
      </c>
      <c r="D116" s="511"/>
      <c r="E116" s="511"/>
      <c r="F116" s="511"/>
      <c r="G116" s="511"/>
      <c r="H116" s="540"/>
      <c r="I116" s="540"/>
      <c r="J116" s="540"/>
      <c r="K116" s="541"/>
      <c r="L116" s="542"/>
      <c r="M116" s="543"/>
      <c r="N116" s="2980"/>
      <c r="O116" s="2980"/>
      <c r="P116" s="2971"/>
      <c r="Q116" s="2966"/>
      <c r="R116" s="2952"/>
      <c r="S116" s="2952"/>
      <c r="T116" s="2952"/>
      <c r="U116" s="2952"/>
      <c r="V116" s="2952"/>
      <c r="W116" s="2952"/>
      <c r="X116" s="2952"/>
      <c r="Y116" s="2952"/>
      <c r="Z116" s="2952"/>
      <c r="AA116" s="2952"/>
      <c r="AB116" s="2952"/>
      <c r="AC116" s="295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1"/>
      <c r="O117" s="2981"/>
      <c r="P117" s="2971"/>
      <c r="Q117" s="2966"/>
      <c r="R117" s="2952"/>
      <c r="S117" s="2952"/>
      <c r="T117" s="2952"/>
      <c r="U117" s="2952"/>
      <c r="V117" s="2952"/>
      <c r="W117" s="2952"/>
      <c r="X117" s="2952"/>
      <c r="Y117" s="2952"/>
      <c r="Z117" s="2952"/>
      <c r="AA117" s="2952"/>
      <c r="AB117" s="2952"/>
      <c r="AC117" s="2952"/>
    </row>
    <row r="118" spans="1:29" ht="15" thickTop="1">
      <c r="A118" s="556"/>
      <c r="B118" s="495" t="s">
        <v>2505</v>
      </c>
      <c r="C118" s="583">
        <f>I40</f>
        <v>269.83</v>
      </c>
      <c r="D118" s="583">
        <f>G40</f>
        <v>366</v>
      </c>
      <c r="E118" s="583">
        <f>E40</f>
        <v>372.82</v>
      </c>
      <c r="F118" s="583">
        <f>C40</f>
        <v>4318.3500000000004</v>
      </c>
      <c r="G118" s="583"/>
      <c r="H118" s="512"/>
      <c r="I118" s="512"/>
      <c r="J118" s="512"/>
      <c r="K118" s="512"/>
      <c r="L118" s="513"/>
      <c r="M118" s="514"/>
      <c r="N118" s="2980"/>
      <c r="O118" s="2980"/>
      <c r="P118" s="2971"/>
      <c r="Q118" s="2966"/>
      <c r="R118" s="2952"/>
      <c r="S118" s="2952"/>
      <c r="T118" s="2952"/>
      <c r="U118" s="2952"/>
      <c r="V118" s="2952"/>
      <c r="W118" s="2952"/>
      <c r="X118" s="2952"/>
      <c r="Y118" s="2952"/>
      <c r="Z118" s="2952"/>
      <c r="AA118" s="2952"/>
      <c r="AB118" s="2952"/>
      <c r="AC118" s="2952"/>
    </row>
    <row r="119" spans="1:29" ht="15.75" thickBot="1">
      <c r="A119" s="491"/>
      <c r="B119" s="500"/>
      <c r="C119" s="517">
        <v>100</v>
      </c>
      <c r="D119" s="493">
        <v>100</v>
      </c>
      <c r="E119" s="493">
        <v>100</v>
      </c>
      <c r="F119" s="493">
        <v>98</v>
      </c>
      <c r="G119" s="493"/>
      <c r="H119" s="493"/>
      <c r="I119" s="493"/>
      <c r="J119" s="493"/>
      <c r="K119" s="493"/>
      <c r="L119" s="493"/>
      <c r="M119" s="494"/>
      <c r="N119" s="2981"/>
      <c r="O119" s="2981"/>
      <c r="P119" s="2971"/>
      <c r="Q119" s="2966"/>
      <c r="R119" s="2952"/>
      <c r="S119" s="2952"/>
      <c r="T119" s="2952"/>
      <c r="U119" s="2952"/>
      <c r="V119" s="2952"/>
      <c r="W119" s="2952"/>
      <c r="X119" s="2952"/>
      <c r="Y119" s="2952"/>
      <c r="Z119" s="2952"/>
      <c r="AA119" s="2952"/>
      <c r="AB119" s="2952"/>
      <c r="AC119" s="2952"/>
    </row>
    <row r="120" spans="1:29" s="430" customFormat="1" ht="15" thickTop="1">
      <c r="A120" s="550"/>
      <c r="B120" s="495" t="s">
        <v>2506</v>
      </c>
      <c r="C120" s="540"/>
      <c r="D120" s="540"/>
      <c r="E120" s="540"/>
      <c r="F120" s="540"/>
      <c r="G120" s="512"/>
      <c r="H120" s="512"/>
      <c r="I120" s="512"/>
      <c r="J120" s="512"/>
      <c r="K120" s="512"/>
      <c r="L120" s="513"/>
      <c r="M120" s="514"/>
      <c r="N120" s="2982"/>
      <c r="O120" s="2982"/>
      <c r="P120" s="2972"/>
      <c r="Q120" s="2973"/>
      <c r="R120" s="2974"/>
      <c r="S120" s="2974"/>
      <c r="T120" s="2974"/>
      <c r="U120" s="2974"/>
      <c r="V120" s="2974"/>
      <c r="W120" s="2974"/>
      <c r="X120" s="2974"/>
      <c r="Y120" s="2974"/>
      <c r="Z120" s="2974"/>
      <c r="AA120" s="2974"/>
      <c r="AB120" s="2974"/>
      <c r="AC120" s="2974"/>
    </row>
    <row r="121" spans="1:29" s="430" customFormat="1" ht="15.75" thickBot="1">
      <c r="A121" s="510"/>
      <c r="B121" s="492"/>
      <c r="C121" s="539">
        <v>100</v>
      </c>
      <c r="D121" s="501">
        <f>C121-$K41</f>
        <v>100</v>
      </c>
      <c r="E121" s="501">
        <f t="shared" ref="E121:M121" si="25">D121-$K41</f>
        <v>100</v>
      </c>
      <c r="F121" s="501">
        <f t="shared" si="25"/>
        <v>100</v>
      </c>
      <c r="G121" s="501">
        <f t="shared" si="25"/>
        <v>100</v>
      </c>
      <c r="H121" s="501">
        <f t="shared" si="25"/>
        <v>100</v>
      </c>
      <c r="I121" s="501">
        <f t="shared" si="25"/>
        <v>100</v>
      </c>
      <c r="J121" s="501">
        <f t="shared" si="25"/>
        <v>100</v>
      </c>
      <c r="K121" s="501">
        <f t="shared" si="25"/>
        <v>100</v>
      </c>
      <c r="L121" s="501">
        <f t="shared" si="25"/>
        <v>100</v>
      </c>
      <c r="M121" s="502">
        <f t="shared" si="25"/>
        <v>100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6"/>
      <c r="B122" s="495" t="s">
        <v>2441</v>
      </c>
      <c r="C122" s="3168" t="s">
        <v>3483</v>
      </c>
      <c r="D122" s="3168" t="s">
        <v>3484</v>
      </c>
      <c r="E122" s="3168" t="s">
        <v>3485</v>
      </c>
      <c r="F122" s="540"/>
      <c r="G122" s="540"/>
      <c r="H122" s="540"/>
      <c r="I122" s="540"/>
      <c r="J122" s="540"/>
      <c r="K122" s="541"/>
      <c r="L122" s="542"/>
      <c r="M122" s="543"/>
      <c r="N122" s="2980"/>
      <c r="O122" s="2980"/>
      <c r="P122" s="2971"/>
      <c r="Q122" s="2966"/>
      <c r="R122" s="2952"/>
      <c r="S122" s="2952"/>
      <c r="T122" s="2952"/>
      <c r="U122" s="2952"/>
      <c r="V122" s="2952"/>
      <c r="W122" s="2952"/>
      <c r="X122" s="2952"/>
      <c r="Y122" s="2952"/>
      <c r="Z122" s="2952"/>
      <c r="AA122" s="2952"/>
      <c r="AB122" s="2952"/>
      <c r="AC122" s="2952"/>
    </row>
    <row r="123" spans="1:29" ht="15.75" thickBot="1">
      <c r="A123" s="491"/>
      <c r="B123" s="500"/>
      <c r="C123" s="501">
        <v>100</v>
      </c>
      <c r="D123" s="501">
        <f t="shared" ref="D123:M123" si="26">C123-$K42</f>
        <v>98</v>
      </c>
      <c r="E123" s="501">
        <f t="shared" si="26"/>
        <v>96</v>
      </c>
      <c r="F123" s="501">
        <f t="shared" si="26"/>
        <v>94</v>
      </c>
      <c r="G123" s="501">
        <f t="shared" si="26"/>
        <v>92</v>
      </c>
      <c r="H123" s="501">
        <f t="shared" si="26"/>
        <v>90</v>
      </c>
      <c r="I123" s="501">
        <f t="shared" si="26"/>
        <v>88</v>
      </c>
      <c r="J123" s="501">
        <f t="shared" si="26"/>
        <v>86</v>
      </c>
      <c r="K123" s="501">
        <f t="shared" si="26"/>
        <v>84</v>
      </c>
      <c r="L123" s="501">
        <f t="shared" si="26"/>
        <v>82</v>
      </c>
      <c r="M123" s="502">
        <f t="shared" si="26"/>
        <v>80</v>
      </c>
      <c r="N123" s="2981"/>
      <c r="O123" s="2981"/>
      <c r="P123" s="2971"/>
      <c r="Q123" s="2966"/>
      <c r="R123" s="2952"/>
      <c r="S123" s="2952"/>
      <c r="T123" s="2952"/>
      <c r="U123" s="2952"/>
      <c r="V123" s="2952"/>
      <c r="W123" s="2952"/>
      <c r="X123" s="2952"/>
      <c r="Y123" s="2952"/>
      <c r="Z123" s="2952"/>
      <c r="AA123" s="2952"/>
      <c r="AB123" s="2952"/>
      <c r="AC123" s="2952"/>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0"/>
      <c r="O124" s="2980"/>
      <c r="P124" s="2972"/>
      <c r="Q124" s="2966"/>
      <c r="R124" s="2952"/>
      <c r="S124" s="2952"/>
      <c r="T124" s="2952"/>
      <c r="U124" s="2952"/>
      <c r="V124" s="2952"/>
      <c r="W124" s="2952"/>
      <c r="X124" s="2952"/>
      <c r="Y124" s="2952"/>
      <c r="Z124" s="2952"/>
      <c r="AA124" s="2952"/>
      <c r="AB124" s="2952"/>
      <c r="AC124" s="2952"/>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81"/>
      <c r="O125" s="2981"/>
      <c r="P125" s="2971"/>
      <c r="Q125" s="2966"/>
      <c r="R125" s="2952"/>
      <c r="S125" s="2952"/>
      <c r="T125" s="2952"/>
      <c r="U125" s="2952"/>
      <c r="V125" s="2952"/>
      <c r="W125" s="2952"/>
      <c r="X125" s="2952"/>
      <c r="Y125" s="2952"/>
      <c r="Z125" s="2952"/>
      <c r="AA125" s="2952"/>
      <c r="AB125" s="2952"/>
      <c r="AC125" s="2952"/>
    </row>
    <row r="126" spans="1:29" s="430" customFormat="1" ht="15" thickTop="1">
      <c r="A126" s="550"/>
      <c r="B126" s="495" t="str">
        <f>B44</f>
        <v>租赁类型</v>
      </c>
      <c r="C126" s="3168" t="s">
        <v>4292</v>
      </c>
      <c r="D126" s="3168" t="s">
        <v>4293</v>
      </c>
      <c r="E126" s="511"/>
      <c r="F126" s="511"/>
      <c r="G126" s="511"/>
      <c r="H126" s="512"/>
      <c r="I126" s="512"/>
      <c r="J126" s="512"/>
      <c r="K126" s="512"/>
      <c r="L126" s="513"/>
      <c r="M126" s="514"/>
      <c r="N126" s="2982"/>
      <c r="O126" s="2982"/>
      <c r="P126" s="2972"/>
      <c r="Q126" s="2973"/>
      <c r="R126" s="2974"/>
      <c r="S126" s="2974"/>
      <c r="T126" s="2974"/>
      <c r="U126" s="2974"/>
      <c r="V126" s="2974"/>
      <c r="W126" s="2974"/>
      <c r="X126" s="2974"/>
      <c r="Y126" s="2974"/>
      <c r="Z126" s="2974"/>
      <c r="AA126" s="2974"/>
      <c r="AB126" s="2974"/>
      <c r="AC126" s="2974"/>
    </row>
    <row r="127" spans="1:29" s="430" customFormat="1" ht="15.75" thickBot="1">
      <c r="A127" s="510"/>
      <c r="B127" s="500"/>
      <c r="C127" s="517">
        <v>100</v>
      </c>
      <c r="D127" s="493">
        <v>102</v>
      </c>
      <c r="E127" s="493"/>
      <c r="F127" s="493"/>
      <c r="G127" s="517"/>
      <c r="H127" s="519"/>
      <c r="I127" s="519"/>
      <c r="J127" s="519"/>
      <c r="K127" s="519"/>
      <c r="L127" s="519"/>
      <c r="M127" s="520"/>
      <c r="N127" s="2982"/>
      <c r="O127" s="2982"/>
      <c r="P127" s="2972"/>
      <c r="Q127" s="2973"/>
      <c r="R127" s="2974"/>
      <c r="S127" s="2974"/>
      <c r="T127" s="2974"/>
      <c r="U127" s="2974"/>
      <c r="V127" s="2974"/>
      <c r="W127" s="2974"/>
      <c r="X127" s="2974"/>
      <c r="Y127" s="2974"/>
      <c r="Z127" s="2974"/>
      <c r="AA127" s="2974"/>
      <c r="AB127" s="2974"/>
      <c r="AC127" s="2974"/>
    </row>
    <row r="128" spans="1:29" ht="15" thickTop="1">
      <c r="A128" s="556"/>
      <c r="B128" s="495">
        <f>B45</f>
        <v>111</v>
      </c>
      <c r="C128" s="511"/>
      <c r="D128" s="511"/>
      <c r="E128" s="511"/>
      <c r="F128" s="511"/>
      <c r="G128" s="540"/>
      <c r="H128" s="540"/>
      <c r="I128" s="540"/>
      <c r="J128" s="540"/>
      <c r="K128" s="541"/>
      <c r="L128" s="542"/>
      <c r="M128" s="543"/>
      <c r="N128" s="2980"/>
      <c r="O128" s="2980"/>
      <c r="P128" s="2971"/>
      <c r="Q128" s="2966"/>
      <c r="R128" s="2952"/>
      <c r="S128" s="2952"/>
      <c r="T128" s="2952"/>
      <c r="U128" s="2952"/>
      <c r="V128" s="2952"/>
      <c r="W128" s="2952"/>
      <c r="X128" s="2952"/>
      <c r="Y128" s="2952"/>
      <c r="Z128" s="2952"/>
      <c r="AA128" s="2952"/>
      <c r="AB128" s="2952"/>
      <c r="AC128" s="2952"/>
    </row>
    <row r="129" spans="1:29" ht="15.75" thickBot="1">
      <c r="A129" s="491"/>
      <c r="B129" s="500"/>
      <c r="C129" s="517"/>
      <c r="D129" s="493"/>
      <c r="E129" s="493"/>
      <c r="F129" s="493"/>
      <c r="G129" s="493"/>
      <c r="H129" s="493"/>
      <c r="I129" s="493"/>
      <c r="J129" s="493"/>
      <c r="K129" s="493"/>
      <c r="L129" s="493"/>
      <c r="M129" s="494"/>
      <c r="N129" s="2981"/>
      <c r="O129" s="2981"/>
      <c r="P129" s="2971"/>
      <c r="Q129" s="2966"/>
      <c r="R129" s="2952"/>
      <c r="S129" s="2952"/>
      <c r="T129" s="2952"/>
      <c r="U129" s="2952"/>
      <c r="V129" s="2952"/>
      <c r="W129" s="2952"/>
      <c r="X129" s="2952"/>
      <c r="Y129" s="2952"/>
      <c r="Z129" s="2952"/>
      <c r="AA129" s="2952"/>
      <c r="AB129" s="2952"/>
      <c r="AC129" s="2952"/>
    </row>
    <row r="130" spans="1:29" ht="15" thickTop="1">
      <c r="A130" s="556"/>
      <c r="B130" s="503">
        <f>B46</f>
        <v>111</v>
      </c>
      <c r="C130" s="511"/>
      <c r="D130" s="511"/>
      <c r="E130" s="511"/>
      <c r="F130" s="511"/>
      <c r="G130" s="544"/>
      <c r="H130" s="544"/>
      <c r="I130" s="544"/>
      <c r="J130" s="544"/>
      <c r="K130" s="480"/>
      <c r="L130" s="481"/>
      <c r="M130" s="547"/>
      <c r="N130" s="2980"/>
      <c r="O130" s="2980"/>
      <c r="P130" s="2971"/>
      <c r="Q130" s="2966"/>
      <c r="R130" s="2952"/>
      <c r="S130" s="2952"/>
      <c r="T130" s="2952"/>
      <c r="U130" s="2952"/>
      <c r="V130" s="2952"/>
      <c r="W130" s="2952"/>
      <c r="X130" s="2952"/>
      <c r="Y130" s="2952"/>
      <c r="Z130" s="2952"/>
      <c r="AA130" s="2952"/>
      <c r="AB130" s="2952"/>
      <c r="AC130" s="2952"/>
    </row>
    <row r="131" spans="1:29" ht="15.75" thickBot="1">
      <c r="A131" s="2114"/>
      <c r="B131" s="526"/>
      <c r="C131" s="527"/>
      <c r="D131" s="527"/>
      <c r="E131" s="527"/>
      <c r="F131" s="527"/>
      <c r="G131" s="548"/>
      <c r="H131" s="548"/>
      <c r="I131" s="548"/>
      <c r="J131" s="548"/>
      <c r="K131" s="548"/>
      <c r="L131" s="548"/>
      <c r="M131" s="549"/>
      <c r="N131" s="2981"/>
      <c r="O131" s="2981"/>
      <c r="P131" s="2971"/>
      <c r="Q131" s="2966"/>
      <c r="R131" s="2952"/>
      <c r="S131" s="2952"/>
      <c r="T131" s="2952"/>
      <c r="U131" s="2952"/>
      <c r="V131" s="2952"/>
      <c r="W131" s="2952"/>
      <c r="X131" s="2952"/>
      <c r="Y131" s="2952"/>
      <c r="Z131" s="2952"/>
      <c r="AA131" s="2952"/>
      <c r="AB131" s="2952"/>
      <c r="AC131" s="2952"/>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1" type="noConversion"/>
  <conditionalFormatting sqref="F52 H52">
    <cfRule type="containsText" dxfId="58" priority="20" stopIfTrue="1" operator="containsText" text="超过">
      <formula>NOT(ISERROR(SEARCH("超过",F52)))</formula>
    </cfRule>
  </conditionalFormatting>
  <conditionalFormatting sqref="H54">
    <cfRule type="containsText" dxfId="57" priority="19" stopIfTrue="1" operator="containsText" text="超过">
      <formula>NOT(ISERROR(SEARCH("超过",H54)))</formula>
    </cfRule>
  </conditionalFormatting>
  <conditionalFormatting sqref="F54">
    <cfRule type="containsText" dxfId="56" priority="18" stopIfTrue="1" operator="containsText" text="超过">
      <formula>NOT(ISERROR(SEARCH("超过",F54)))</formula>
    </cfRule>
  </conditionalFormatting>
  <conditionalFormatting sqref="F53 H53">
    <cfRule type="containsText" dxfId="55" priority="17" stopIfTrue="1" operator="containsText" text="超过">
      <formula>NOT(ISERROR(SEARCH("超过",F53)))</formula>
    </cfRule>
  </conditionalFormatting>
  <conditionalFormatting sqref="E52">
    <cfRule type="expression" dxfId="54" priority="16" stopIfTrue="1">
      <formula>$F$52="超过30%"</formula>
    </cfRule>
  </conditionalFormatting>
  <conditionalFormatting sqref="E53">
    <cfRule type="expression" dxfId="53" priority="15" stopIfTrue="1">
      <formula>$F$53="超过20%"</formula>
    </cfRule>
  </conditionalFormatting>
  <conditionalFormatting sqref="E54">
    <cfRule type="expression" dxfId="52" priority="14" stopIfTrue="1">
      <formula>$F$54="超过30%"</formula>
    </cfRule>
  </conditionalFormatting>
  <conditionalFormatting sqref="G54">
    <cfRule type="expression" dxfId="51" priority="13" stopIfTrue="1">
      <formula>$H$54="超过30%"</formula>
    </cfRule>
  </conditionalFormatting>
  <conditionalFormatting sqref="G52">
    <cfRule type="expression" dxfId="50" priority="12" stopIfTrue="1">
      <formula>$H$52="超过30%"</formula>
    </cfRule>
  </conditionalFormatting>
  <conditionalFormatting sqref="G53">
    <cfRule type="expression" dxfId="49" priority="11" stopIfTrue="1">
      <formula>$H$53="超过20%"</formula>
    </cfRule>
  </conditionalFormatting>
  <conditionalFormatting sqref="J52">
    <cfRule type="containsText" dxfId="48" priority="10" stopIfTrue="1" operator="containsText" text="超过">
      <formula>NOT(ISERROR(SEARCH("超过",J52)))</formula>
    </cfRule>
  </conditionalFormatting>
  <conditionalFormatting sqref="J54">
    <cfRule type="containsText" dxfId="47" priority="9" stopIfTrue="1" operator="containsText" text="超过">
      <formula>NOT(ISERROR(SEARCH("超过",J54)))</formula>
    </cfRule>
  </conditionalFormatting>
  <conditionalFormatting sqref="J53">
    <cfRule type="containsText" dxfId="46" priority="8" stopIfTrue="1" operator="containsText" text="超过">
      <formula>NOT(ISERROR(SEARCH("超过",J53)))</formula>
    </cfRule>
  </conditionalFormatting>
  <conditionalFormatting sqref="I52">
    <cfRule type="expression" dxfId="45" priority="7" stopIfTrue="1">
      <formula>$J$52="超过30%"</formula>
    </cfRule>
  </conditionalFormatting>
  <conditionalFormatting sqref="I53">
    <cfRule type="expression" dxfId="44" priority="6" stopIfTrue="1">
      <formula>$J$53="超过20%"</formula>
    </cfRule>
  </conditionalFormatting>
  <conditionalFormatting sqref="I54">
    <cfRule type="expression" dxfId="43" priority="5" stopIfTrue="1">
      <formula>$J$54="超过30%"</formula>
    </cfRule>
  </conditionalFormatting>
  <conditionalFormatting sqref="F48">
    <cfRule type="expression" dxfId="42" priority="4">
      <formula>$D$48="简单平均"</formula>
    </cfRule>
  </conditionalFormatting>
  <conditionalFormatting sqref="H48">
    <cfRule type="expression" dxfId="41" priority="3">
      <formula>$D$48="简单平均"</formula>
    </cfRule>
  </conditionalFormatting>
  <conditionalFormatting sqref="J48">
    <cfRule type="expression" dxfId="40" priority="2">
      <formula>$D$48="简单平均"</formula>
    </cfRule>
  </conditionalFormatting>
  <conditionalFormatting sqref="F7:F46 H7:H46 J7:J46">
    <cfRule type="cellIs" dxfId="39" priority="1" operator="notEqual">
      <formula>100</formula>
    </cfRule>
  </conditionalFormatting>
  <dataValidations count="25">
    <dataValidation type="list" allowBlank="1" showInputMessage="1" showErrorMessage="1" sqref="D48" xr:uid="{00000000-0002-0000-2700-000000000000}">
      <formula1>"简单平均,加权平均"</formula1>
    </dataValidation>
    <dataValidation type="list" allowBlank="1" showInputMessage="1" showErrorMessage="1" sqref="F2" xr:uid="{00000000-0002-0000-2700-000001000000}">
      <formula1>估价方法</formula1>
    </dataValidation>
    <dataValidation type="list" allowBlank="1" showInputMessage="1" showErrorMessage="1" sqref="C2" xr:uid="{00000000-0002-0000-2700-000002000000}">
      <formula1>"需扣减承租人权益,——"</formula1>
    </dataValidation>
    <dataValidation type="list" allowBlank="1" showInputMessage="1" showErrorMessage="1" sqref="F1" xr:uid="{00000000-0002-0000-2700-000003000000}">
      <formula1>"售价,租金"</formula1>
    </dataValidation>
    <dataValidation type="list" allowBlank="1" showInputMessage="1" showErrorMessage="1" sqref="C22 E22 G22 I22" xr:uid="{00000000-0002-0000-2700-000004000000}">
      <formula1>基础设施水平</formula1>
    </dataValidation>
    <dataValidation type="list" allowBlank="1" showInputMessage="1" showErrorMessage="1" sqref="C16 E16 G16 I16" xr:uid="{00000000-0002-0000-2700-000005000000}">
      <formula1>商业繁华度</formula1>
    </dataValidation>
    <dataValidation type="list" allowBlank="1" showInputMessage="1" showErrorMessage="1" sqref="C8 E8 G8 I8" xr:uid="{00000000-0002-0000-2700-000006000000}">
      <formula1>商业交易情况</formula1>
    </dataValidation>
    <dataValidation type="list" allowBlank="1" showInputMessage="1" showErrorMessage="1" sqref="C39 E39 G39 I39" xr:uid="{00000000-0002-0000-2700-000007000000}">
      <formula1>商业层高</formula1>
    </dataValidation>
    <dataValidation type="list" allowBlank="1" showInputMessage="1" showErrorMessage="1" sqref="C38 E38 G38 I38" xr:uid="{00000000-0002-0000-2700-000008000000}">
      <formula1>商业业态</formula1>
    </dataValidation>
    <dataValidation type="list" allowBlank="1" showInputMessage="1" showErrorMessage="1" sqref="E9 G9 I9" xr:uid="{00000000-0002-0000-2700-000009000000}">
      <formula1>商业用途</formula1>
    </dataValidation>
    <dataValidation type="list" allowBlank="1" showInputMessage="1" showErrorMessage="1" sqref="C42 E42 G42 I42" xr:uid="{00000000-0002-0000-2700-00000A000000}">
      <formula1>商业内部装修</formula1>
    </dataValidation>
    <dataValidation type="list" allowBlank="1" showInputMessage="1" showErrorMessage="1" sqref="C41 E41 G41 I41" xr:uid="{00000000-0002-0000-2700-00000B000000}">
      <formula1>商业进深比</formula1>
    </dataValidation>
    <dataValidation type="list" allowBlank="1" showInputMessage="1" showErrorMessage="1" sqref="C37 E37 G37 I37" xr:uid="{00000000-0002-0000-2700-00000C000000}">
      <formula1>商业基础设施水平</formula1>
    </dataValidation>
    <dataValidation type="list" allowBlank="1" showInputMessage="1" showErrorMessage="1" sqref="C35 E35 G35 I35" xr:uid="{00000000-0002-0000-2700-00000D000000}">
      <formula1>商业公共部分装修</formula1>
    </dataValidation>
    <dataValidation type="list" allowBlank="1" showInputMessage="1" showErrorMessage="1" sqref="C34 E34 G34 I34" xr:uid="{00000000-0002-0000-2700-00000E000000}">
      <formula1>商业建筑结构</formula1>
    </dataValidation>
    <dataValidation type="list" allowBlank="1" showInputMessage="1" showErrorMessage="1" sqref="C32 E32 G32 I32" xr:uid="{00000000-0002-0000-2700-00000F000000}">
      <formula1>商业类型</formula1>
    </dataValidation>
    <dataValidation type="list" allowBlank="1" showInputMessage="1" showErrorMessage="1" sqref="C28 E28 G28 I28" xr:uid="{00000000-0002-0000-2700-000010000000}">
      <formula1>商业楼层</formula1>
    </dataValidation>
    <dataValidation type="list" allowBlank="1" showInputMessage="1" showErrorMessage="1" sqref="C27 E27 G27 I27" xr:uid="{00000000-0002-0000-2700-000011000000}">
      <formula1>商业人流量</formula1>
    </dataValidation>
    <dataValidation type="list" allowBlank="1" showInputMessage="1" showErrorMessage="1" sqref="C25 E25 G25 I25" xr:uid="{00000000-0002-0000-2700-000012000000}">
      <formula1>商业临街状况</formula1>
    </dataValidation>
    <dataValidation type="list" allowBlank="1" showInputMessage="1" showErrorMessage="1" sqref="E24 G24 I24 C24" xr:uid="{00000000-0002-0000-2700-000013000000}">
      <formula1>环境</formula1>
    </dataValidation>
    <dataValidation type="list" allowBlank="1" showInputMessage="1" showErrorMessage="1" sqref="E18 G18 I18 C18" xr:uid="{00000000-0002-0000-2700-000014000000}">
      <formula1>交通便捷度</formula1>
    </dataValidation>
    <dataValidation type="list" allowBlank="1" showInputMessage="1" showErrorMessage="1" sqref="E20 I20 G20 C20" xr:uid="{00000000-0002-0000-2700-000015000000}">
      <formula1>公共配套设施</formula1>
    </dataValidation>
    <dataValidation type="list" allowBlank="1" showInputMessage="1" showErrorMessage="1" sqref="C43 E43 G43 I43" xr:uid="{00000000-0002-0000-2700-000016000000}">
      <formula1>内部装修维护情况</formula1>
    </dataValidation>
    <dataValidation type="list" allowBlank="1" showInputMessage="1" showErrorMessage="1" sqref="D1" xr:uid="{00000000-0002-0000-2700-000017000000}">
      <formula1>项目类型</formula1>
    </dataValidation>
    <dataValidation type="list" allowBlank="1" showInputMessage="1" showErrorMessage="1" sqref="C10 E10 G10 I10" xr:uid="{00000000-0002-0000-2700-000018000000}">
      <formula1>土地年限区间</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4">
    <tabColor rgb="FF92D050"/>
    <pageSetUpPr fitToPage="1"/>
  </sheetPr>
  <dimension ref="A1:AC132"/>
  <sheetViews>
    <sheetView view="pageBreakPreview" topLeftCell="A30" zoomScale="110" zoomScaleNormal="70" zoomScaleSheetLayoutView="110" workbookViewId="0">
      <selection activeCell="I53" sqref="E53:I54"/>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5.25" style="363" customWidth="1"/>
    <col min="6" max="6" width="12.25" style="363" customWidth="1"/>
    <col min="7" max="7" width="17.125" style="363" customWidth="1"/>
    <col min="8" max="8" width="12.25" style="363" customWidth="1"/>
    <col min="9" max="9" width="16.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2507</v>
      </c>
      <c r="C1" s="1392" t="s">
        <v>2351</v>
      </c>
      <c r="D1" s="1393"/>
      <c r="E1" s="1402"/>
      <c r="F1" s="2065" t="s">
        <v>3229</v>
      </c>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f>IF(C2="——",ROUND(C50*D3/10000,0),ROUND(C50*D3/10000,0)-D2)</f>
        <v>43</v>
      </c>
      <c r="C2" s="2067" t="s">
        <v>70</v>
      </c>
      <c r="D2" s="1275" t="e">
        <f ca="1">SUMIF(INDIRECT("'"&amp;F2&amp;"'"&amp;"!A:A"),"承租人权益价值",INDIRECT("'"&amp;F2&amp;"'"&amp;"!c:c"))</f>
        <v>#REF!</v>
      </c>
      <c r="E2" s="2068" t="s">
        <v>2149</v>
      </c>
      <c r="F2" s="2069"/>
      <c r="G2" s="1039"/>
      <c r="H2" s="1039"/>
      <c r="I2" s="1039"/>
      <c r="J2" s="1039"/>
      <c r="K2" s="1039"/>
      <c r="L2" s="3230"/>
      <c r="M2" s="3231"/>
      <c r="N2" s="3231"/>
      <c r="O2" s="3231"/>
      <c r="P2" s="708"/>
      <c r="Q2" s="708"/>
      <c r="R2" s="708"/>
      <c r="S2" s="708"/>
      <c r="T2" s="708"/>
      <c r="U2" s="708"/>
      <c r="V2" s="708"/>
      <c r="W2" s="708"/>
      <c r="X2" s="708"/>
      <c r="Y2" s="708"/>
      <c r="Z2" s="708"/>
      <c r="AA2" s="708"/>
      <c r="AB2" s="708"/>
      <c r="AC2" s="709"/>
    </row>
    <row r="3" spans="1:29" s="358" customFormat="1" ht="28.5" customHeight="1" thickBot="1">
      <c r="A3" s="209" t="s">
        <v>2150</v>
      </c>
      <c r="B3" s="566">
        <f>IF(C2="——",C50,ROUND(B2*10000/D3,0))</f>
        <v>9</v>
      </c>
      <c r="C3" s="360" t="s">
        <v>2465</v>
      </c>
      <c r="D3" s="359">
        <f>IF(D1="",'数据-汇总表'!E3,SUMIF('数据-汇总表'!$C19:$C33,D1,'数据-汇总表'!$E19:$E33))</f>
        <v>47689.05</v>
      </c>
      <c r="E3" s="2140"/>
      <c r="F3" s="1040"/>
      <c r="G3" s="1039"/>
      <c r="H3" s="1039"/>
      <c r="I3" s="1039"/>
      <c r="J3" s="1039"/>
      <c r="K3" s="1041"/>
      <c r="L3" s="3230"/>
      <c r="M3" s="3231"/>
      <c r="N3" s="3231"/>
      <c r="O3" s="3231"/>
      <c r="P3" s="708"/>
      <c r="Q3" s="708"/>
      <c r="R3" s="708"/>
      <c r="S3" s="708"/>
      <c r="T3" s="708"/>
      <c r="U3" s="708"/>
      <c r="V3" s="708"/>
      <c r="W3" s="708"/>
      <c r="X3" s="708"/>
      <c r="Y3" s="708"/>
      <c r="Z3" s="708"/>
      <c r="AA3" s="708"/>
      <c r="AB3" s="708"/>
      <c r="AC3" s="709"/>
    </row>
    <row r="4" spans="1:29" ht="15">
      <c r="A4" s="361" t="s">
        <v>2466</v>
      </c>
      <c r="B4" s="362"/>
      <c r="C4" s="3781" t="s">
        <v>2467</v>
      </c>
      <c r="D4" s="3782"/>
      <c r="E4" s="3783" t="s">
        <v>2468</v>
      </c>
      <c r="F4" s="3784"/>
      <c r="G4" s="3781" t="s">
        <v>2469</v>
      </c>
      <c r="H4" s="3782"/>
      <c r="I4" s="3781" t="s">
        <v>2470</v>
      </c>
      <c r="J4" s="3782"/>
      <c r="K4" s="567" t="s">
        <v>2471</v>
      </c>
      <c r="L4" s="3232"/>
      <c r="M4" s="3233"/>
      <c r="N4" s="3233"/>
      <c r="O4" s="3233"/>
      <c r="P4" s="3859" t="s">
        <v>2472</v>
      </c>
      <c r="Q4" s="3860"/>
      <c r="R4" s="3853" t="s">
        <v>2468</v>
      </c>
      <c r="S4" s="3854"/>
      <c r="T4" s="3853" t="s">
        <v>2469</v>
      </c>
      <c r="U4" s="3854"/>
      <c r="V4" s="3852" t="s">
        <v>2470</v>
      </c>
      <c r="W4" s="3852"/>
      <c r="X4" s="2144"/>
      <c r="Y4" s="3853" t="s">
        <v>2472</v>
      </c>
      <c r="Z4" s="3854"/>
      <c r="AA4" s="3855" t="s">
        <v>2468</v>
      </c>
      <c r="AB4" s="3855" t="s">
        <v>2469</v>
      </c>
      <c r="AC4" s="3856" t="s">
        <v>2470</v>
      </c>
    </row>
    <row r="5" spans="1:29" ht="13.9" customHeight="1">
      <c r="A5" s="364"/>
      <c r="B5" s="365"/>
      <c r="C5" s="3846" t="s">
        <v>3756</v>
      </c>
      <c r="D5" s="3775"/>
      <c r="E5" s="3863" t="str">
        <f>'案例-租金'!L5</f>
        <v>银河SOHO</v>
      </c>
      <c r="F5" s="3773"/>
      <c r="G5" s="3846" t="s">
        <v>4258</v>
      </c>
      <c r="H5" s="3775"/>
      <c r="I5" s="3846" t="s">
        <v>4261</v>
      </c>
      <c r="J5" s="3775"/>
      <c r="K5" s="567"/>
      <c r="L5" s="3232"/>
      <c r="M5" s="3233"/>
      <c r="N5" s="3233"/>
      <c r="O5" s="3233"/>
      <c r="P5" s="3861"/>
      <c r="Q5" s="3788"/>
      <c r="R5" s="3770"/>
      <c r="S5" s="3771"/>
      <c r="T5" s="3770"/>
      <c r="U5" s="3771"/>
      <c r="V5" s="3793"/>
      <c r="W5" s="3793"/>
      <c r="X5" s="1539"/>
      <c r="Y5" s="3770"/>
      <c r="Z5" s="3771"/>
      <c r="AA5" s="3764"/>
      <c r="AB5" s="3764"/>
      <c r="AC5" s="3857"/>
    </row>
    <row r="6" spans="1:29" ht="15" customHeight="1" thickBot="1">
      <c r="A6" s="366"/>
      <c r="B6" s="367"/>
      <c r="C6" s="3847" t="s">
        <v>3482</v>
      </c>
      <c r="D6" s="3777"/>
      <c r="E6" s="3864" t="s">
        <v>4285</v>
      </c>
      <c r="F6" s="3779"/>
      <c r="G6" s="3847" t="s">
        <v>4283</v>
      </c>
      <c r="H6" s="3777"/>
      <c r="I6" s="3847" t="s">
        <v>4284</v>
      </c>
      <c r="J6" s="3777"/>
      <c r="K6" s="567" t="s">
        <v>2368</v>
      </c>
      <c r="L6" s="3232"/>
      <c r="M6" s="3233"/>
      <c r="N6" s="3233"/>
      <c r="O6" s="3233"/>
      <c r="P6" s="3862"/>
      <c r="Q6" s="3790"/>
      <c r="R6" s="3770"/>
      <c r="S6" s="3771"/>
      <c r="T6" s="3791"/>
      <c r="U6" s="3792"/>
      <c r="V6" s="3793"/>
      <c r="W6" s="3793"/>
      <c r="X6" s="1539"/>
      <c r="Y6" s="3791"/>
      <c r="Z6" s="3792"/>
      <c r="AA6" s="3765"/>
      <c r="AB6" s="3765"/>
      <c r="AC6" s="3858"/>
    </row>
    <row r="7" spans="1:29" s="113" customFormat="1" ht="15.75" thickBot="1">
      <c r="A7" s="368" t="s">
        <v>2369</v>
      </c>
      <c r="B7" s="369"/>
      <c r="C7" s="370">
        <f>'数据-取费表'!B2</f>
        <v>42914</v>
      </c>
      <c r="D7" s="371">
        <v>100</v>
      </c>
      <c r="E7" s="372">
        <v>42552</v>
      </c>
      <c r="F7" s="373">
        <f>SUMIF(59:59,YEAR(E7)&amp;"-"&amp;MONTH(E7),60:60)</f>
        <v>99</v>
      </c>
      <c r="G7" s="372">
        <v>42826</v>
      </c>
      <c r="H7" s="371">
        <f>SUMIF(59:59,YEAR(G7)&amp;"-"&amp;MONTH(G7),60:60)</f>
        <v>100</v>
      </c>
      <c r="I7" s="372">
        <v>42856</v>
      </c>
      <c r="J7" s="371">
        <f>SUMIF(59:59,YEAR(I7)&amp;"-"&amp;MONTH(I7),60:60)</f>
        <v>100</v>
      </c>
      <c r="K7" s="568"/>
      <c r="L7" s="2979"/>
      <c r="M7" s="3234"/>
      <c r="N7" s="3234"/>
      <c r="O7" s="3234"/>
      <c r="P7" s="3851" t="s">
        <v>2370</v>
      </c>
      <c r="Q7" s="3794"/>
      <c r="R7" s="710" t="s">
        <v>17</v>
      </c>
      <c r="S7" s="711">
        <f t="shared" ref="S7:S15" si="0">F7</f>
        <v>99</v>
      </c>
      <c r="T7" s="710" t="s">
        <v>17</v>
      </c>
      <c r="U7" s="711">
        <f t="shared" ref="U7:U15" si="1">H7</f>
        <v>100</v>
      </c>
      <c r="V7" s="710" t="s">
        <v>17</v>
      </c>
      <c r="W7" s="711">
        <f t="shared" ref="W7:W15" si="2">J7</f>
        <v>100</v>
      </c>
      <c r="X7" s="712"/>
      <c r="Y7" s="3766" t="s">
        <v>2370</v>
      </c>
      <c r="Z7" s="3767"/>
      <c r="AA7" s="713">
        <f>D7/F7</f>
        <v>1.0101010101010102</v>
      </c>
      <c r="AB7" s="713">
        <f>D7/H7</f>
        <v>1</v>
      </c>
      <c r="AC7" s="2145">
        <f>D7/J7</f>
        <v>1</v>
      </c>
    </row>
    <row r="8" spans="1:29" s="113" customFormat="1" ht="15.75" thickBot="1">
      <c r="A8" s="368" t="s">
        <v>2371</v>
      </c>
      <c r="B8" s="369"/>
      <c r="C8" s="374" t="s">
        <v>2473</v>
      </c>
      <c r="D8" s="371">
        <v>100</v>
      </c>
      <c r="E8" s="374" t="s">
        <v>3461</v>
      </c>
      <c r="F8" s="373">
        <f>SUMIF(62:62,E8,63:63)-SUMIF(62:62,C8,63:63)+100</f>
        <v>100</v>
      </c>
      <c r="G8" s="374" t="s">
        <v>3461</v>
      </c>
      <c r="H8" s="371">
        <f>SUMIF(62:62,G8,63:63)-SUMIF(62:62,C8,63:63)+100</f>
        <v>100</v>
      </c>
      <c r="I8" s="374" t="s">
        <v>3461</v>
      </c>
      <c r="J8" s="371">
        <f>SUMIF(62:62,I8,63:63)-SUMIF(62:62,C8,63:63)+100</f>
        <v>100</v>
      </c>
      <c r="K8" s="568"/>
      <c r="L8" s="2944"/>
      <c r="M8" s="2945"/>
      <c r="N8" s="2945"/>
      <c r="O8" s="2945"/>
      <c r="P8" s="3851" t="s">
        <v>2373</v>
      </c>
      <c r="Q8" s="3767"/>
      <c r="R8" s="710" t="s">
        <v>17</v>
      </c>
      <c r="S8" s="711">
        <f t="shared" si="0"/>
        <v>100</v>
      </c>
      <c r="T8" s="710" t="s">
        <v>17</v>
      </c>
      <c r="U8" s="711">
        <f t="shared" si="1"/>
        <v>100</v>
      </c>
      <c r="V8" s="710" t="s">
        <v>17</v>
      </c>
      <c r="W8" s="711">
        <f t="shared" si="2"/>
        <v>100</v>
      </c>
      <c r="X8" s="712"/>
      <c r="Y8" s="3766" t="s">
        <v>2373</v>
      </c>
      <c r="Z8" s="3767"/>
      <c r="AA8" s="713">
        <f t="shared" ref="AA8:AA47" si="3">D8/F8</f>
        <v>1</v>
      </c>
      <c r="AB8" s="713">
        <f t="shared" ref="AB8:AB47" si="4">D8/H8</f>
        <v>1</v>
      </c>
      <c r="AC8" s="2145">
        <f t="shared" ref="AC8:AC47" si="5">D8/J8</f>
        <v>1</v>
      </c>
    </row>
    <row r="9" spans="1:29" s="113" customFormat="1">
      <c r="A9" s="375" t="s">
        <v>2374</v>
      </c>
      <c r="B9" s="67" t="s">
        <v>2375</v>
      </c>
      <c r="C9" s="3167" t="s">
        <v>3473</v>
      </c>
      <c r="D9" s="131">
        <v>100</v>
      </c>
      <c r="E9" s="379" t="s">
        <v>27</v>
      </c>
      <c r="F9" s="131">
        <f>SUMIF(64:64,E9,65:65)-SUMIF(64:64,C9,65:65)+100</f>
        <v>100</v>
      </c>
      <c r="G9" s="379" t="s">
        <v>27</v>
      </c>
      <c r="H9" s="131">
        <f>SUMIF(64:64,G9,65:65)-SUMIF(64:64,C9,65:65)+100</f>
        <v>100</v>
      </c>
      <c r="I9" s="379" t="s">
        <v>27</v>
      </c>
      <c r="J9" s="131">
        <f>SUMIF(64:64,I9,65:65)-SUMIF(64:64,C9,65:65)+100</f>
        <v>100</v>
      </c>
      <c r="K9" s="568"/>
      <c r="L9" s="2944"/>
      <c r="M9" s="2945"/>
      <c r="N9" s="2945"/>
      <c r="O9" s="2945"/>
      <c r="P9" s="3780" t="s">
        <v>2376</v>
      </c>
      <c r="Q9" s="1527" t="str">
        <f t="shared" ref="Q9:Q15" si="6">B9</f>
        <v>用途</v>
      </c>
      <c r="R9" s="710" t="s">
        <v>17</v>
      </c>
      <c r="S9" s="711">
        <f t="shared" si="0"/>
        <v>100</v>
      </c>
      <c r="T9" s="710" t="s">
        <v>17</v>
      </c>
      <c r="U9" s="711">
        <f t="shared" si="1"/>
        <v>100</v>
      </c>
      <c r="V9" s="710" t="s">
        <v>17</v>
      </c>
      <c r="W9" s="711">
        <f t="shared" si="2"/>
        <v>100</v>
      </c>
      <c r="X9" s="712"/>
      <c r="Y9" s="3708" t="s">
        <v>2377</v>
      </c>
      <c r="Z9" s="55" t="str">
        <f t="shared" ref="Z9:Z15" si="7">Q9</f>
        <v>用途</v>
      </c>
      <c r="AA9" s="713">
        <f t="shared" si="3"/>
        <v>1</v>
      </c>
      <c r="AB9" s="713">
        <f t="shared" si="4"/>
        <v>1</v>
      </c>
      <c r="AC9" s="2145">
        <f t="shared" si="5"/>
        <v>1</v>
      </c>
    </row>
    <row r="10" spans="1:29" s="386" customFormat="1" ht="27" hidden="1">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6"/>
      <c r="M10" s="2947"/>
      <c r="N10" s="2947"/>
      <c r="O10" s="2947"/>
      <c r="P10" s="3780"/>
      <c r="Q10" s="1527" t="str">
        <f t="shared" si="6"/>
        <v>土地使用年限（年）</v>
      </c>
      <c r="R10" s="710" t="s">
        <v>17</v>
      </c>
      <c r="S10" s="711">
        <f t="shared" si="0"/>
        <v>100</v>
      </c>
      <c r="T10" s="710" t="s">
        <v>17</v>
      </c>
      <c r="U10" s="711">
        <f t="shared" si="1"/>
        <v>100</v>
      </c>
      <c r="V10" s="710" t="s">
        <v>17</v>
      </c>
      <c r="W10" s="711">
        <f t="shared" si="2"/>
        <v>100</v>
      </c>
      <c r="X10" s="712"/>
      <c r="Y10" s="3708"/>
      <c r="Z10" s="55" t="str">
        <f t="shared" si="7"/>
        <v>土地使用年限（年）</v>
      </c>
      <c r="AA10" s="713">
        <f t="shared" si="3"/>
        <v>1</v>
      </c>
      <c r="AB10" s="713">
        <f t="shared" si="4"/>
        <v>1</v>
      </c>
      <c r="AC10" s="2145">
        <f t="shared" si="5"/>
        <v>1</v>
      </c>
    </row>
    <row r="11" spans="1:29" ht="15" hidden="1">
      <c r="A11" s="387"/>
      <c r="B11" s="381" t="s">
        <v>2379</v>
      </c>
      <c r="C11" s="388"/>
      <c r="D11" s="132">
        <v>100</v>
      </c>
      <c r="E11" s="388"/>
      <c r="F11" s="132">
        <f>LOOKUP(E11,69:69,70:70)-LOOKUP(C11,69:69,70:70)+100</f>
        <v>100</v>
      </c>
      <c r="G11" s="389"/>
      <c r="H11" s="132">
        <f>LOOKUP(G11,69:69,70:70)-LOOKUP(C11,69:69,70:70)+100</f>
        <v>100</v>
      </c>
      <c r="I11" s="388"/>
      <c r="J11" s="132">
        <f>LOOKUP(I11,69:69,70:70)-LOOKUP(C11,69:69,70:70)+100</f>
        <v>100</v>
      </c>
      <c r="K11" s="569"/>
      <c r="L11" s="2948"/>
      <c r="M11" s="2943"/>
      <c r="N11" s="2943"/>
      <c r="O11" s="2943"/>
      <c r="P11" s="3780"/>
      <c r="Q11" s="1527" t="str">
        <f t="shared" si="6"/>
        <v>容积率</v>
      </c>
      <c r="R11" s="710" t="s">
        <v>17</v>
      </c>
      <c r="S11" s="711">
        <f t="shared" si="0"/>
        <v>100</v>
      </c>
      <c r="T11" s="710" t="s">
        <v>17</v>
      </c>
      <c r="U11" s="711">
        <f t="shared" si="1"/>
        <v>100</v>
      </c>
      <c r="V11" s="710" t="s">
        <v>17</v>
      </c>
      <c r="W11" s="711">
        <f t="shared" si="2"/>
        <v>100</v>
      </c>
      <c r="X11" s="712"/>
      <c r="Y11" s="3708"/>
      <c r="Z11" s="55" t="str">
        <f t="shared" si="7"/>
        <v>容积率</v>
      </c>
      <c r="AA11" s="713">
        <f t="shared" si="3"/>
        <v>1</v>
      </c>
      <c r="AB11" s="713">
        <f t="shared" si="4"/>
        <v>1</v>
      </c>
      <c r="AC11" s="2145">
        <f t="shared" si="5"/>
        <v>1</v>
      </c>
    </row>
    <row r="12" spans="1:29" s="113" customFormat="1" ht="15">
      <c r="A12" s="390"/>
      <c r="B12" s="3315" t="s">
        <v>4025</v>
      </c>
      <c r="C12" s="391">
        <v>15</v>
      </c>
      <c r="D12" s="392">
        <v>100</v>
      </c>
      <c r="E12" s="391">
        <v>8</v>
      </c>
      <c r="F12" s="132">
        <f>SUMIF(71:71,E12,72:72)-SUMIF(71:71,C12,72:72)+100</f>
        <v>102</v>
      </c>
      <c r="G12" s="2146">
        <v>3</v>
      </c>
      <c r="H12" s="132">
        <f>SUMIF(71:71,G12,72:72)-SUMIF(71:71,C12,72:72)+100</f>
        <v>104</v>
      </c>
      <c r="I12" s="391">
        <v>10</v>
      </c>
      <c r="J12" s="132">
        <f>SUMIF(71:71,I12,72:72)-SUMIF(71:71,C12,72:72)+100</f>
        <v>102</v>
      </c>
      <c r="K12" s="570"/>
      <c r="L12" s="2944"/>
      <c r="M12" s="2945"/>
      <c r="N12" s="2945"/>
      <c r="O12" s="2945"/>
      <c r="P12" s="3780"/>
      <c r="Q12" s="1527" t="str">
        <f t="shared" si="6"/>
        <v>租期</v>
      </c>
      <c r="R12" s="710" t="s">
        <v>17</v>
      </c>
      <c r="S12" s="711">
        <f t="shared" si="0"/>
        <v>102</v>
      </c>
      <c r="T12" s="710" t="s">
        <v>17</v>
      </c>
      <c r="U12" s="711">
        <f t="shared" si="1"/>
        <v>104</v>
      </c>
      <c r="V12" s="710" t="s">
        <v>17</v>
      </c>
      <c r="W12" s="711">
        <f t="shared" si="2"/>
        <v>102</v>
      </c>
      <c r="X12" s="712"/>
      <c r="Y12" s="3708"/>
      <c r="Z12" s="55" t="str">
        <f t="shared" si="7"/>
        <v>租期</v>
      </c>
      <c r="AA12" s="713">
        <f>D12/F12</f>
        <v>0.98039215686274506</v>
      </c>
      <c r="AB12" s="713">
        <f>D12/H12</f>
        <v>0.96153846153846156</v>
      </c>
      <c r="AC12" s="2145">
        <f>D12/J12</f>
        <v>0.98039215686274506</v>
      </c>
    </row>
    <row r="13" spans="1:29" ht="15">
      <c r="A13" s="387"/>
      <c r="B13" s="3315" t="s">
        <v>4183</v>
      </c>
      <c r="C13" s="3170" t="s">
        <v>4184</v>
      </c>
      <c r="D13" s="394">
        <v>100</v>
      </c>
      <c r="E13" s="3313" t="s">
        <v>4185</v>
      </c>
      <c r="F13" s="132">
        <f>SUMIF(73:73,E13,74:74)-SUMIF(73:73,C13,74:74)+100</f>
        <v>97</v>
      </c>
      <c r="G13" s="3170" t="s">
        <v>4184</v>
      </c>
      <c r="H13" s="394">
        <f>SUMIF(73:73,G13,74:74)-SUMIF(73:73,C13,74:74)+100</f>
        <v>100</v>
      </c>
      <c r="I13" s="3313" t="s">
        <v>4185</v>
      </c>
      <c r="J13" s="394">
        <f>SUMIF(73:73,I13,74:74)-SUMIF(73:73,C13,74:74)+100</f>
        <v>97</v>
      </c>
      <c r="K13" s="570"/>
      <c r="L13" s="2949"/>
      <c r="M13" s="2943"/>
      <c r="N13" s="2943"/>
      <c r="O13" s="2943"/>
      <c r="P13" s="3780"/>
      <c r="Q13" s="1527" t="str">
        <f t="shared" si="6"/>
        <v>产权</v>
      </c>
      <c r="R13" s="710" t="s">
        <v>17</v>
      </c>
      <c r="S13" s="711">
        <f t="shared" si="0"/>
        <v>97</v>
      </c>
      <c r="T13" s="710" t="s">
        <v>17</v>
      </c>
      <c r="U13" s="711">
        <f t="shared" si="1"/>
        <v>100</v>
      </c>
      <c r="V13" s="710" t="s">
        <v>17</v>
      </c>
      <c r="W13" s="711">
        <f t="shared" si="2"/>
        <v>97</v>
      </c>
      <c r="X13" s="712"/>
      <c r="Y13" s="3708"/>
      <c r="Z13" s="55" t="str">
        <f t="shared" si="7"/>
        <v>产权</v>
      </c>
      <c r="AA13" s="713">
        <f t="shared" si="3"/>
        <v>1.0309278350515463</v>
      </c>
      <c r="AB13" s="713">
        <f t="shared" si="4"/>
        <v>1</v>
      </c>
      <c r="AC13" s="2145">
        <f t="shared" si="5"/>
        <v>1.0309278350515463</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49"/>
      <c r="M14" s="2943"/>
      <c r="N14" s="2943"/>
      <c r="O14" s="2943"/>
      <c r="P14" s="3780"/>
      <c r="Q14" s="1527">
        <f t="shared" si="6"/>
        <v>111</v>
      </c>
      <c r="R14" s="710" t="s">
        <v>17</v>
      </c>
      <c r="S14" s="711">
        <f t="shared" si="0"/>
        <v>100</v>
      </c>
      <c r="T14" s="710" t="s">
        <v>17</v>
      </c>
      <c r="U14" s="711">
        <f t="shared" si="1"/>
        <v>100</v>
      </c>
      <c r="V14" s="710" t="s">
        <v>17</v>
      </c>
      <c r="W14" s="711">
        <f t="shared" si="2"/>
        <v>100</v>
      </c>
      <c r="X14" s="712"/>
      <c r="Y14" s="3708"/>
      <c r="Z14" s="55">
        <f t="shared" si="7"/>
        <v>111</v>
      </c>
      <c r="AA14" s="713">
        <f t="shared" si="3"/>
        <v>1</v>
      </c>
      <c r="AB14" s="713">
        <f t="shared" si="4"/>
        <v>1</v>
      </c>
      <c r="AC14" s="2145">
        <f t="shared" si="5"/>
        <v>1</v>
      </c>
    </row>
    <row r="15" spans="1:29" ht="64.5" customHeight="1">
      <c r="A15" s="399" t="s">
        <v>2380</v>
      </c>
      <c r="B15" s="585" t="s">
        <v>2508</v>
      </c>
      <c r="C15" s="2147" t="str">
        <f>估价对象房地状况!C5</f>
        <v>估价对象位于东四商圈，位于办公类一级地价区，有国家民航总局、国务院发展研究中心机关办公楼、隆福大厦由商场主体改写字楼，周边商业写字楼项目较少，没有形成聚集的写字楼办公区，办公集聚度一般。</v>
      </c>
      <c r="D15" s="400">
        <v>100</v>
      </c>
      <c r="E15" s="3227" t="s">
        <v>4030</v>
      </c>
      <c r="F15" s="400">
        <f>SUMIF(77:77,E16,78:78)-SUMIF(77:77,C16,78:78)+100</f>
        <v>105</v>
      </c>
      <c r="G15" s="3225" t="s">
        <v>4031</v>
      </c>
      <c r="H15" s="400">
        <f>SUMIF(77:77,G16,78:78)-SUMIF(77:77,C16,78:78)+100</f>
        <v>110</v>
      </c>
      <c r="I15" s="3225" t="s">
        <v>4170</v>
      </c>
      <c r="J15" s="400">
        <f>SUMIF(77:77,I16,78:78)-SUMIF(77:77,C16,78:78)+100</f>
        <v>110</v>
      </c>
      <c r="K15" s="571">
        <v>5</v>
      </c>
      <c r="L15" s="2949"/>
      <c r="M15" s="2943"/>
      <c r="N15" s="2943"/>
      <c r="O15" s="2943"/>
      <c r="P15" s="3807" t="s">
        <v>2381</v>
      </c>
      <c r="Q15" s="1536" t="str">
        <f t="shared" si="6"/>
        <v>办公集聚程度</v>
      </c>
      <c r="R15" s="714" t="s">
        <v>17</v>
      </c>
      <c r="S15" s="715">
        <f t="shared" si="0"/>
        <v>105</v>
      </c>
      <c r="T15" s="714" t="s">
        <v>17</v>
      </c>
      <c r="U15" s="715">
        <f t="shared" si="1"/>
        <v>110</v>
      </c>
      <c r="V15" s="714" t="s">
        <v>17</v>
      </c>
      <c r="W15" s="715">
        <f t="shared" si="2"/>
        <v>110</v>
      </c>
      <c r="X15" s="1539"/>
      <c r="Y15" s="3800" t="s">
        <v>2381</v>
      </c>
      <c r="Z15" s="1540" t="str">
        <f t="shared" si="7"/>
        <v>办公集聚程度</v>
      </c>
      <c r="AA15" s="1537">
        <f t="shared" si="3"/>
        <v>0.95238095238095233</v>
      </c>
      <c r="AB15" s="1537">
        <f t="shared" si="4"/>
        <v>0.90909090909090906</v>
      </c>
      <c r="AC15" s="2148">
        <f t="shared" si="5"/>
        <v>0.90909090909090906</v>
      </c>
    </row>
    <row r="16" spans="1:29" ht="15">
      <c r="A16" s="387"/>
      <c r="B16" s="586"/>
      <c r="C16" s="2090" t="s">
        <v>3474</v>
      </c>
      <c r="D16" s="407"/>
      <c r="E16" s="406" t="s">
        <v>3094</v>
      </c>
      <c r="F16" s="407"/>
      <c r="G16" s="406" t="s">
        <v>3095</v>
      </c>
      <c r="H16" s="409"/>
      <c r="I16" s="406" t="s">
        <v>3095</v>
      </c>
      <c r="J16" s="407"/>
      <c r="K16" s="572"/>
      <c r="L16" s="2949"/>
      <c r="M16" s="2943"/>
      <c r="N16" s="2943"/>
      <c r="O16" s="2943"/>
      <c r="P16" s="3808"/>
      <c r="Q16" s="1536"/>
      <c r="R16" s="714"/>
      <c r="S16" s="715"/>
      <c r="T16" s="714"/>
      <c r="U16" s="715"/>
      <c r="V16" s="714"/>
      <c r="W16" s="715"/>
      <c r="X16" s="1539"/>
      <c r="Y16" s="3801"/>
      <c r="Z16" s="1540"/>
      <c r="AA16" s="1537">
        <v>1</v>
      </c>
      <c r="AB16" s="1537">
        <v>1</v>
      </c>
      <c r="AC16" s="2148">
        <v>1</v>
      </c>
    </row>
    <row r="17" spans="1:29" ht="72.75" customHeight="1">
      <c r="A17" s="387"/>
      <c r="B17" s="587" t="s">
        <v>1945</v>
      </c>
      <c r="C17" s="2149" t="str">
        <f>估价对象房地状况!C6</f>
        <v>估价对象位于东四路口的东南角，紧临城市主干道-朝阳门内大街，西距东四南大街100米，距离地铁5号线（2007年通车）与6号线（2012年通车）东四站75米，多条公交线路通达，公共交通便利，停车便捷度好，综合评价交通便捷度较好。</v>
      </c>
      <c r="D17" s="409">
        <v>100</v>
      </c>
      <c r="E17" s="3222" t="s">
        <v>4178</v>
      </c>
      <c r="F17" s="409">
        <f>SUMIF(79:79,E18,80:80)-SUMIF(79:79,C18,80:80)+100</f>
        <v>98</v>
      </c>
      <c r="G17" s="3222" t="s">
        <v>4171</v>
      </c>
      <c r="H17" s="414">
        <f>SUMIF(79:79,G18,80:80)-SUMIF(79:79,C18,80:80)+100</f>
        <v>98</v>
      </c>
      <c r="I17" s="3222" t="s">
        <v>3771</v>
      </c>
      <c r="J17" s="414">
        <f>SUMIF(79:79,I18,80:80)-SUMIF(79:79,C18,80:80)+100</f>
        <v>100</v>
      </c>
      <c r="K17" s="571">
        <v>2</v>
      </c>
      <c r="L17" s="2949"/>
      <c r="M17" s="2943"/>
      <c r="N17" s="2943"/>
      <c r="O17" s="2943"/>
      <c r="P17" s="3808"/>
      <c r="Q17" s="1536" t="str">
        <f>B17</f>
        <v>交通便捷度</v>
      </c>
      <c r="R17" s="714" t="s">
        <v>17</v>
      </c>
      <c r="S17" s="715">
        <f>F17</f>
        <v>98</v>
      </c>
      <c r="T17" s="714" t="s">
        <v>17</v>
      </c>
      <c r="U17" s="715">
        <f>H17</f>
        <v>98</v>
      </c>
      <c r="V17" s="714" t="s">
        <v>17</v>
      </c>
      <c r="W17" s="715">
        <f>J17</f>
        <v>100</v>
      </c>
      <c r="X17" s="1539"/>
      <c r="Y17" s="3801"/>
      <c r="Z17" s="1540" t="str">
        <f>Q17</f>
        <v>交通便捷度</v>
      </c>
      <c r="AA17" s="1537">
        <f t="shared" si="3"/>
        <v>1.0204081632653061</v>
      </c>
      <c r="AB17" s="1537">
        <f t="shared" si="4"/>
        <v>1.0204081632653061</v>
      </c>
      <c r="AC17" s="2148">
        <f t="shared" si="5"/>
        <v>1</v>
      </c>
    </row>
    <row r="18" spans="1:29" ht="15">
      <c r="A18" s="387"/>
      <c r="B18" s="588"/>
      <c r="C18" s="2150" t="s">
        <v>3095</v>
      </c>
      <c r="D18" s="409"/>
      <c r="E18" s="2150" t="s">
        <v>3094</v>
      </c>
      <c r="F18" s="409"/>
      <c r="G18" s="2150" t="s">
        <v>3094</v>
      </c>
      <c r="H18" s="407"/>
      <c r="I18" s="2150" t="s">
        <v>3095</v>
      </c>
      <c r="J18" s="407"/>
      <c r="K18" s="572"/>
      <c r="L18" s="2949"/>
      <c r="M18" s="2943"/>
      <c r="N18" s="2943"/>
      <c r="O18" s="2943"/>
      <c r="P18" s="3808"/>
      <c r="Q18" s="1536"/>
      <c r="R18" s="714"/>
      <c r="S18" s="715"/>
      <c r="T18" s="714"/>
      <c r="U18" s="715"/>
      <c r="V18" s="714"/>
      <c r="W18" s="715"/>
      <c r="X18" s="1539"/>
      <c r="Y18" s="3801"/>
      <c r="Z18" s="1540"/>
      <c r="AA18" s="1537">
        <v>1</v>
      </c>
      <c r="AB18" s="1537">
        <v>1</v>
      </c>
      <c r="AC18" s="2148">
        <v>1</v>
      </c>
    </row>
    <row r="19" spans="1:29" ht="65.25" customHeight="1">
      <c r="A19" s="387"/>
      <c r="B19" s="587" t="s">
        <v>2509</v>
      </c>
      <c r="C19" s="2149" t="str">
        <f>估价对象房地状况!C7</f>
        <v>估价对象所在区域有购物场所（隆福广场、物美超市等），教育机构（灯市口小学、北京市第一六六中学），医疗网点（北京市东城区口腔医院、北京市东城区朝阳门社区卫生服务中心），金融网点（中国邮政储蓄银行、中国工商银行、北京农商银行、广发银行），综合分析，公共配套设施齐备程度较好。</v>
      </c>
      <c r="D19" s="414">
        <v>100</v>
      </c>
      <c r="E19" s="3224" t="s">
        <v>4032</v>
      </c>
      <c r="F19" s="414">
        <f>SUMIF(81:81,E20,82:82)-SUMIF(81:81,C20,82:82)+100</f>
        <v>100</v>
      </c>
      <c r="G19" s="3224" t="s">
        <v>3770</v>
      </c>
      <c r="H19" s="409">
        <f>SUMIF(81:81,G20,82:82)-SUMIF(81:81,C20,82:82)+100</f>
        <v>100</v>
      </c>
      <c r="I19" s="3224" t="s">
        <v>3772</v>
      </c>
      <c r="J19" s="409">
        <f>SUMIF(81:81,I20,82:82)-SUMIF(81:81,C20,82:82)+100</f>
        <v>100</v>
      </c>
      <c r="K19" s="571">
        <v>2</v>
      </c>
      <c r="L19" s="2949"/>
      <c r="M19" s="2943"/>
      <c r="N19" s="2943"/>
      <c r="O19" s="2943"/>
      <c r="P19" s="3808"/>
      <c r="Q19" s="1536" t="str">
        <f>B19</f>
        <v>公共配套设施</v>
      </c>
      <c r="R19" s="714" t="s">
        <v>17</v>
      </c>
      <c r="S19" s="715">
        <f>F19</f>
        <v>100</v>
      </c>
      <c r="T19" s="714" t="s">
        <v>17</v>
      </c>
      <c r="U19" s="715">
        <f>H19</f>
        <v>100</v>
      </c>
      <c r="V19" s="714" t="s">
        <v>17</v>
      </c>
      <c r="W19" s="715">
        <f>J19</f>
        <v>100</v>
      </c>
      <c r="X19" s="1539"/>
      <c r="Y19" s="3801"/>
      <c r="Z19" s="1540" t="str">
        <f>Q19</f>
        <v>公共配套设施</v>
      </c>
      <c r="AA19" s="1537">
        <f t="shared" si="3"/>
        <v>1</v>
      </c>
      <c r="AB19" s="1537">
        <f t="shared" si="4"/>
        <v>1</v>
      </c>
      <c r="AC19" s="2148">
        <f t="shared" si="5"/>
        <v>1</v>
      </c>
    </row>
    <row r="20" spans="1:29" ht="15">
      <c r="A20" s="387"/>
      <c r="B20" s="588"/>
      <c r="C20" s="2090" t="s">
        <v>3094</v>
      </c>
      <c r="D20" s="407"/>
      <c r="E20" s="2150" t="s">
        <v>3094</v>
      </c>
      <c r="F20" s="407"/>
      <c r="G20" s="2150" t="s">
        <v>3094</v>
      </c>
      <c r="H20" s="407"/>
      <c r="I20" s="2150" t="s">
        <v>3094</v>
      </c>
      <c r="J20" s="407"/>
      <c r="K20" s="572"/>
      <c r="L20" s="2949"/>
      <c r="M20" s="2943"/>
      <c r="N20" s="2943"/>
      <c r="O20" s="2943"/>
      <c r="P20" s="3808"/>
      <c r="Q20" s="1536"/>
      <c r="R20" s="714"/>
      <c r="S20" s="715"/>
      <c r="T20" s="714"/>
      <c r="U20" s="715"/>
      <c r="V20" s="714"/>
      <c r="W20" s="715"/>
      <c r="X20" s="1539"/>
      <c r="Y20" s="3801"/>
      <c r="Z20" s="1540"/>
      <c r="AA20" s="1537">
        <v>1</v>
      </c>
      <c r="AB20" s="1537">
        <v>1</v>
      </c>
      <c r="AC20" s="2148">
        <v>1</v>
      </c>
    </row>
    <row r="21" spans="1:29" ht="16.5" customHeight="1">
      <c r="A21" s="387"/>
      <c r="B21" s="589" t="s">
        <v>2510</v>
      </c>
      <c r="C21" s="2149" t="str">
        <f>估价对象房地状况!C8</f>
        <v>估价对象所在区域基础设施水平-七通</v>
      </c>
      <c r="D21" s="409">
        <v>100</v>
      </c>
      <c r="E21" s="418"/>
      <c r="F21" s="414">
        <f>SUMIF(83:83,E22,84:84)-SUMIF(83:83,C22,84:84)+100</f>
        <v>100</v>
      </c>
      <c r="G21" s="416"/>
      <c r="H21" s="409">
        <f>SUMIF(83:83,G22,84:84)-SUMIF(83:83,C22,84:84)+100</f>
        <v>100</v>
      </c>
      <c r="I21" s="416"/>
      <c r="J21" s="409">
        <f>SUMIF(83:83,I22,84:84)-SUMIF(83:83,C22,84:84)+100</f>
        <v>100</v>
      </c>
      <c r="K21" s="571">
        <v>2</v>
      </c>
      <c r="L21" s="2949"/>
      <c r="M21" s="2943"/>
      <c r="N21" s="2943"/>
      <c r="O21" s="2943"/>
      <c r="P21" s="3808"/>
      <c r="Q21" s="1536" t="str">
        <f>B21</f>
        <v>基础设施水平</v>
      </c>
      <c r="R21" s="714" t="s">
        <v>17</v>
      </c>
      <c r="S21" s="715">
        <f>F21</f>
        <v>100</v>
      </c>
      <c r="T21" s="714" t="s">
        <v>17</v>
      </c>
      <c r="U21" s="715">
        <f>H21</f>
        <v>100</v>
      </c>
      <c r="V21" s="714" t="s">
        <v>17</v>
      </c>
      <c r="W21" s="715">
        <f>J21</f>
        <v>100</v>
      </c>
      <c r="X21" s="1539"/>
      <c r="Y21" s="3801"/>
      <c r="Z21" s="1540" t="str">
        <f>Q21</f>
        <v>基础设施水平</v>
      </c>
      <c r="AA21" s="1537">
        <f>D21/F21</f>
        <v>1</v>
      </c>
      <c r="AB21" s="1537">
        <f>D21/H21</f>
        <v>1</v>
      </c>
      <c r="AC21" s="2148">
        <f>D21/J21</f>
        <v>1</v>
      </c>
    </row>
    <row r="22" spans="1:29" ht="15">
      <c r="A22" s="387"/>
      <c r="B22" s="589"/>
      <c r="C22" s="2150" t="s">
        <v>3475</v>
      </c>
      <c r="D22" s="407"/>
      <c r="E22" s="2150" t="s">
        <v>3475</v>
      </c>
      <c r="F22" s="407"/>
      <c r="G22" s="2150" t="s">
        <v>3475</v>
      </c>
      <c r="H22" s="407"/>
      <c r="I22" s="2150" t="s">
        <v>3475</v>
      </c>
      <c r="J22" s="407"/>
      <c r="K22" s="1292"/>
      <c r="L22" s="2949"/>
      <c r="M22" s="2943"/>
      <c r="N22" s="2943"/>
      <c r="O22" s="2943"/>
      <c r="P22" s="3808"/>
      <c r="Q22" s="1536"/>
      <c r="R22" s="714"/>
      <c r="S22" s="715"/>
      <c r="T22" s="714"/>
      <c r="U22" s="715"/>
      <c r="V22" s="714"/>
      <c r="W22" s="715"/>
      <c r="X22" s="1539"/>
      <c r="Y22" s="3801"/>
      <c r="Z22" s="1540"/>
      <c r="AA22" s="1537">
        <v>1</v>
      </c>
      <c r="AB22" s="1537">
        <v>1</v>
      </c>
      <c r="AC22" s="2148">
        <v>1</v>
      </c>
    </row>
    <row r="23" spans="1:29" ht="45" customHeight="1">
      <c r="A23" s="387"/>
      <c r="B23" s="587" t="s">
        <v>2511</v>
      </c>
      <c r="C23" s="2149" t="str">
        <f>估价对象房地状况!C9</f>
        <v>周边有隆福寺广场、东四清真寺等，自然及人文环境较好</v>
      </c>
      <c r="D23" s="409">
        <v>100</v>
      </c>
      <c r="E23" s="3228" t="s">
        <v>4033</v>
      </c>
      <c r="F23" s="409">
        <f>SUMIF(85:85,E24,86:86)-SUMIF(85:85,C24,86:86)+100</f>
        <v>100</v>
      </c>
      <c r="G23" s="3228" t="s">
        <v>4035</v>
      </c>
      <c r="H23" s="409">
        <f>SUMIF(85:85,G24,86:86)-SUMIF(85:85,C24,86:86)+100</f>
        <v>100</v>
      </c>
      <c r="I23" s="3228" t="s">
        <v>3773</v>
      </c>
      <c r="J23" s="409">
        <f>SUMIF(85:85,I24,86:86)-SUMIF(85:85,C24,86:86)+100</f>
        <v>100</v>
      </c>
      <c r="K23" s="571">
        <v>2</v>
      </c>
      <c r="L23" s="2949"/>
      <c r="M23" s="2943"/>
      <c r="N23" s="2943"/>
      <c r="O23" s="2943"/>
      <c r="P23" s="3808"/>
      <c r="Q23" s="1536" t="str">
        <f>B23</f>
        <v>环境质量</v>
      </c>
      <c r="R23" s="714" t="s">
        <v>17</v>
      </c>
      <c r="S23" s="715">
        <f>F23</f>
        <v>100</v>
      </c>
      <c r="T23" s="714" t="s">
        <v>17</v>
      </c>
      <c r="U23" s="715">
        <f>H23</f>
        <v>100</v>
      </c>
      <c r="V23" s="714" t="s">
        <v>17</v>
      </c>
      <c r="W23" s="715">
        <f>J23</f>
        <v>100</v>
      </c>
      <c r="X23" s="1539"/>
      <c r="Y23" s="3801"/>
      <c r="Z23" s="1540" t="str">
        <f>Q23</f>
        <v>环境质量</v>
      </c>
      <c r="AA23" s="1537">
        <f t="shared" si="3"/>
        <v>1</v>
      </c>
      <c r="AB23" s="1537">
        <f t="shared" si="4"/>
        <v>1</v>
      </c>
      <c r="AC23" s="2148">
        <f t="shared" si="5"/>
        <v>1</v>
      </c>
    </row>
    <row r="24" spans="1:29" ht="15">
      <c r="A24" s="387"/>
      <c r="B24" s="589"/>
      <c r="C24" s="2090" t="s">
        <v>3094</v>
      </c>
      <c r="D24" s="407"/>
      <c r="E24" s="2150" t="s">
        <v>3094</v>
      </c>
      <c r="F24" s="407"/>
      <c r="G24" s="2150" t="s">
        <v>3094</v>
      </c>
      <c r="H24" s="407"/>
      <c r="I24" s="2150" t="s">
        <v>3094</v>
      </c>
      <c r="J24" s="407"/>
      <c r="K24" s="572"/>
      <c r="L24" s="2949"/>
      <c r="M24" s="2943"/>
      <c r="N24" s="2943"/>
      <c r="O24" s="2943"/>
      <c r="P24" s="3808"/>
      <c r="Q24" s="1536"/>
      <c r="R24" s="714"/>
      <c r="S24" s="715"/>
      <c r="T24" s="714"/>
      <c r="U24" s="715"/>
      <c r="V24" s="714"/>
      <c r="W24" s="715"/>
      <c r="X24" s="1539"/>
      <c r="Y24" s="3801"/>
      <c r="Z24" s="1540"/>
      <c r="AA24" s="1537">
        <v>1</v>
      </c>
      <c r="AB24" s="1537">
        <v>1</v>
      </c>
      <c r="AC24" s="2148">
        <v>1</v>
      </c>
    </row>
    <row r="25" spans="1:29" ht="27">
      <c r="A25" s="364"/>
      <c r="B25" s="587" t="s">
        <v>2512</v>
      </c>
      <c r="C25" s="3169" t="s">
        <v>3479</v>
      </c>
      <c r="D25" s="394">
        <v>100</v>
      </c>
      <c r="E25" s="3170" t="s">
        <v>4287</v>
      </c>
      <c r="F25" s="394">
        <f>SUMIF(87:87,E26,88:88)-SUMIF(87:87,C26,88:88)+100</f>
        <v>99</v>
      </c>
      <c r="G25" s="3170" t="s">
        <v>4286</v>
      </c>
      <c r="H25" s="394">
        <f>SUMIF(87:87,G26,88:88)-SUMIF(87:87,C26,88:88)+100</f>
        <v>99</v>
      </c>
      <c r="I25" s="3170" t="s">
        <v>3766</v>
      </c>
      <c r="J25" s="394">
        <f>SUMIF(87:87,I26,88:88)-SUMIF(87:87,C26,88:88)+100</f>
        <v>100</v>
      </c>
      <c r="K25" s="571">
        <v>1</v>
      </c>
      <c r="L25" s="2949"/>
      <c r="M25" s="2943"/>
      <c r="N25" s="2943"/>
      <c r="O25" s="2943"/>
      <c r="P25" s="3808"/>
      <c r="Q25" s="1536" t="str">
        <f>B25</f>
        <v>毗邻道路的类型与等级</v>
      </c>
      <c r="R25" s="714" t="s">
        <v>17</v>
      </c>
      <c r="S25" s="715">
        <f>F25</f>
        <v>99</v>
      </c>
      <c r="T25" s="714" t="s">
        <v>17</v>
      </c>
      <c r="U25" s="715">
        <f>H25</f>
        <v>99</v>
      </c>
      <c r="V25" s="714" t="s">
        <v>17</v>
      </c>
      <c r="W25" s="715">
        <f>J25</f>
        <v>100</v>
      </c>
      <c r="X25" s="1539"/>
      <c r="Y25" s="3801"/>
      <c r="Z25" s="1540" t="str">
        <f>Q25</f>
        <v>毗邻道路的类型与等级</v>
      </c>
      <c r="AA25" s="1537">
        <f t="shared" si="3"/>
        <v>1.0101010101010102</v>
      </c>
      <c r="AB25" s="1537">
        <f t="shared" si="4"/>
        <v>1.0101010101010102</v>
      </c>
      <c r="AC25" s="2148">
        <f t="shared" si="5"/>
        <v>1</v>
      </c>
    </row>
    <row r="26" spans="1:29" ht="15">
      <c r="A26" s="364"/>
      <c r="B26" s="588"/>
      <c r="C26" s="590" t="s">
        <v>3476</v>
      </c>
      <c r="D26" s="394"/>
      <c r="E26" s="573" t="s">
        <v>3763</v>
      </c>
      <c r="F26" s="394"/>
      <c r="G26" s="573" t="s">
        <v>3763</v>
      </c>
      <c r="H26" s="394"/>
      <c r="I26" s="573" t="s">
        <v>3476</v>
      </c>
      <c r="J26" s="394"/>
      <c r="K26" s="572"/>
      <c r="L26" s="2949"/>
      <c r="M26" s="2943"/>
      <c r="N26" s="2943"/>
      <c r="O26" s="2943"/>
      <c r="P26" s="3808"/>
      <c r="Q26" s="1536"/>
      <c r="R26" s="714"/>
      <c r="S26" s="715"/>
      <c r="T26" s="714"/>
      <c r="U26" s="715"/>
      <c r="V26" s="714"/>
      <c r="W26" s="715"/>
      <c r="X26" s="1539"/>
      <c r="Y26" s="3801"/>
      <c r="Z26" s="1540"/>
      <c r="AA26" s="1537">
        <v>1</v>
      </c>
      <c r="AB26" s="1537">
        <v>1</v>
      </c>
      <c r="AC26" s="2148">
        <v>1</v>
      </c>
    </row>
    <row r="27" spans="1:29" ht="15">
      <c r="A27" s="387"/>
      <c r="B27" s="588" t="s">
        <v>2480</v>
      </c>
      <c r="C27" s="590" t="s">
        <v>4247</v>
      </c>
      <c r="D27" s="394">
        <v>100</v>
      </c>
      <c r="E27" s="573" t="s">
        <v>4247</v>
      </c>
      <c r="F27" s="394">
        <f>SUMIF(89:89,E27,90:90)-SUMIF(89:89,C27,90:90)+100</f>
        <v>100</v>
      </c>
      <c r="G27" s="590" t="s">
        <v>4249</v>
      </c>
      <c r="H27" s="394">
        <f>SUMIF(89:89,G27,90:90)-SUMIF(89:89,C27,90:90)+100</f>
        <v>98</v>
      </c>
      <c r="I27" s="573" t="s">
        <v>4249</v>
      </c>
      <c r="J27" s="394">
        <f>SUMIF(89:89,I27,90:90)-SUMIF(89:89,C27,90:90)+100</f>
        <v>98</v>
      </c>
      <c r="K27" s="569">
        <v>2</v>
      </c>
      <c r="L27" s="2949"/>
      <c r="M27" s="2943"/>
      <c r="N27" s="2943"/>
      <c r="O27" s="2943"/>
      <c r="P27" s="3808"/>
      <c r="Q27" s="1536" t="str">
        <f t="shared" ref="Q27:Q47" si="8">B27</f>
        <v>楼层</v>
      </c>
      <c r="R27" s="714" t="s">
        <v>17</v>
      </c>
      <c r="S27" s="715">
        <f>F27</f>
        <v>100</v>
      </c>
      <c r="T27" s="714" t="s">
        <v>17</v>
      </c>
      <c r="U27" s="715">
        <f>H27</f>
        <v>98</v>
      </c>
      <c r="V27" s="714" t="s">
        <v>17</v>
      </c>
      <c r="W27" s="715">
        <f>J27</f>
        <v>98</v>
      </c>
      <c r="X27" s="1539"/>
      <c r="Y27" s="3801"/>
      <c r="Z27" s="1540" t="str">
        <f>Q27</f>
        <v>楼层</v>
      </c>
      <c r="AA27" s="1537">
        <f t="shared" si="3"/>
        <v>1</v>
      </c>
      <c r="AB27" s="1537">
        <f t="shared" si="4"/>
        <v>1.0204081632653061</v>
      </c>
      <c r="AC27" s="2148">
        <f t="shared" si="5"/>
        <v>1.0204081632653061</v>
      </c>
    </row>
    <row r="28" spans="1:29" s="113" customFormat="1" ht="15" hidden="1">
      <c r="A28" s="390"/>
      <c r="B28" s="587" t="s">
        <v>2513</v>
      </c>
      <c r="C28" s="2151"/>
      <c r="D28" s="421">
        <v>100</v>
      </c>
      <c r="E28" s="2142"/>
      <c r="F28" s="421">
        <f>SUMIF(91:91,E28,92:92)-SUMIF(91:91,C28,92:92)+100</f>
        <v>100</v>
      </c>
      <c r="G28" s="2151"/>
      <c r="H28" s="421">
        <f>SUMIF(91:91,G28,92:92)-SUMIF(91:91,C28,92:92)+100</f>
        <v>100</v>
      </c>
      <c r="I28" s="2142"/>
      <c r="J28" s="421">
        <f>SUMIF(91:91,I28,92:92)-SUMIF(91:91,C28,92:92)+100</f>
        <v>100</v>
      </c>
      <c r="K28" s="569"/>
      <c r="L28" s="2944"/>
      <c r="M28" s="2945"/>
      <c r="N28" s="2945"/>
      <c r="O28" s="2945"/>
      <c r="P28" s="3808"/>
      <c r="Q28" s="1527" t="str">
        <f t="shared" si="8"/>
        <v>朝向</v>
      </c>
      <c r="R28" s="710" t="s">
        <v>17</v>
      </c>
      <c r="S28" s="711">
        <f>F28</f>
        <v>100</v>
      </c>
      <c r="T28" s="710" t="s">
        <v>17</v>
      </c>
      <c r="U28" s="711">
        <f>H28</f>
        <v>100</v>
      </c>
      <c r="V28" s="710" t="s">
        <v>17</v>
      </c>
      <c r="W28" s="711">
        <f>J28</f>
        <v>100</v>
      </c>
      <c r="X28" s="712"/>
      <c r="Y28" s="3801"/>
      <c r="Z28" s="55" t="str">
        <f>Q28</f>
        <v>朝向</v>
      </c>
      <c r="AA28" s="1537">
        <f>D28/F28</f>
        <v>1</v>
      </c>
      <c r="AB28" s="1537">
        <f>D28/H28</f>
        <v>1</v>
      </c>
      <c r="AC28" s="2148">
        <f>D28/J28</f>
        <v>1</v>
      </c>
    </row>
    <row r="29" spans="1:29" ht="15">
      <c r="A29" s="387"/>
      <c r="B29" s="3423"/>
      <c r="C29" s="3169"/>
      <c r="D29" s="394">
        <v>100</v>
      </c>
      <c r="E29" s="3313"/>
      <c r="F29" s="394">
        <f>SUMIF(93:93,E29,94:94)-SUMIF(93:93,C29,94:94)+100</f>
        <v>100</v>
      </c>
      <c r="G29" s="3314"/>
      <c r="H29" s="394">
        <f>SUMIF(93:93,G29,94:94)-SUMIF(93:93,C29,94:94)+100</f>
        <v>100</v>
      </c>
      <c r="I29" s="3313"/>
      <c r="J29" s="394">
        <f>SUMIF(93:93,I29,94:94)-SUMIF(93:93,C29,94:94)+100</f>
        <v>100</v>
      </c>
      <c r="K29" s="570"/>
      <c r="L29" s="2949"/>
      <c r="M29" s="2943"/>
      <c r="N29" s="2943"/>
      <c r="O29" s="2943"/>
      <c r="P29" s="3808"/>
      <c r="Q29" s="1536">
        <f t="shared" si="8"/>
        <v>0</v>
      </c>
      <c r="R29" s="714" t="s">
        <v>17</v>
      </c>
      <c r="S29" s="715">
        <f t="shared" ref="S29:S47" si="9">F29</f>
        <v>100</v>
      </c>
      <c r="T29" s="714" t="s">
        <v>17</v>
      </c>
      <c r="U29" s="715">
        <f t="shared" ref="U29:U47" si="10">H29</f>
        <v>100</v>
      </c>
      <c r="V29" s="714" t="s">
        <v>17</v>
      </c>
      <c r="W29" s="715">
        <f t="shared" ref="W29:W47" si="11">J29</f>
        <v>100</v>
      </c>
      <c r="X29" s="1539"/>
      <c r="Y29" s="3801"/>
      <c r="Z29" s="1540">
        <f t="shared" ref="Z29:Z47" si="12">Q29</f>
        <v>0</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49"/>
      <c r="M30" s="2943"/>
      <c r="N30" s="2943"/>
      <c r="O30" s="2943"/>
      <c r="P30" s="3808"/>
      <c r="Q30" s="1536">
        <f t="shared" si="8"/>
        <v>111</v>
      </c>
      <c r="R30" s="714" t="s">
        <v>17</v>
      </c>
      <c r="S30" s="715">
        <f t="shared" si="9"/>
        <v>100</v>
      </c>
      <c r="T30" s="714" t="s">
        <v>17</v>
      </c>
      <c r="U30" s="715">
        <f t="shared" si="10"/>
        <v>100</v>
      </c>
      <c r="V30" s="714" t="s">
        <v>17</v>
      </c>
      <c r="W30" s="715">
        <f t="shared" si="11"/>
        <v>100</v>
      </c>
      <c r="X30" s="1539"/>
      <c r="Y30" s="3801"/>
      <c r="Z30" s="1540">
        <f t="shared" si="12"/>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49"/>
      <c r="M31" s="2943"/>
      <c r="N31" s="2943"/>
      <c r="O31" s="2943"/>
      <c r="P31" s="3808"/>
      <c r="Q31" s="1536">
        <f t="shared" si="8"/>
        <v>111</v>
      </c>
      <c r="R31" s="714" t="s">
        <v>17</v>
      </c>
      <c r="S31" s="715">
        <f t="shared" si="9"/>
        <v>100</v>
      </c>
      <c r="T31" s="714" t="s">
        <v>17</v>
      </c>
      <c r="U31" s="715">
        <f t="shared" si="10"/>
        <v>100</v>
      </c>
      <c r="V31" s="714" t="s">
        <v>17</v>
      </c>
      <c r="W31" s="715">
        <f t="shared" si="11"/>
        <v>100</v>
      </c>
      <c r="X31" s="1539"/>
      <c r="Y31" s="3801"/>
      <c r="Z31" s="1540">
        <f t="shared" si="12"/>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49"/>
      <c r="M32" s="2943"/>
      <c r="N32" s="2943"/>
      <c r="O32" s="2943"/>
      <c r="P32" s="3808"/>
      <c r="Q32" s="1536">
        <f t="shared" si="8"/>
        <v>111</v>
      </c>
      <c r="R32" s="714" t="s">
        <v>17</v>
      </c>
      <c r="S32" s="715">
        <f t="shared" si="9"/>
        <v>100</v>
      </c>
      <c r="T32" s="714" t="s">
        <v>17</v>
      </c>
      <c r="U32" s="715">
        <f t="shared" si="10"/>
        <v>100</v>
      </c>
      <c r="V32" s="714" t="s">
        <v>17</v>
      </c>
      <c r="W32" s="715">
        <f t="shared" si="11"/>
        <v>100</v>
      </c>
      <c r="X32" s="1539"/>
      <c r="Y32" s="3801"/>
      <c r="Z32" s="1540">
        <f t="shared" si="12"/>
        <v>111</v>
      </c>
      <c r="AA32" s="1537">
        <f t="shared" si="3"/>
        <v>1</v>
      </c>
      <c r="AB32" s="1537">
        <f t="shared" si="4"/>
        <v>1</v>
      </c>
      <c r="AC32" s="2148">
        <f t="shared" si="5"/>
        <v>1</v>
      </c>
    </row>
    <row r="33" spans="1:29" ht="15">
      <c r="A33" s="399" t="s">
        <v>2384</v>
      </c>
      <c r="B33" s="67" t="s">
        <v>2514</v>
      </c>
      <c r="C33" s="3422" t="s">
        <v>4172</v>
      </c>
      <c r="D33" s="426">
        <v>100</v>
      </c>
      <c r="E33" s="2153" t="s">
        <v>4172</v>
      </c>
      <c r="F33" s="420">
        <f>SUMIF(101:101,E33,102:102)-SUMIF(101:101,C33,102:102)+100</f>
        <v>100</v>
      </c>
      <c r="G33" s="2153" t="s">
        <v>4172</v>
      </c>
      <c r="H33" s="394">
        <f>SUMIF(101:101,G33,102:102)-SUMIF(101:101,C33,102:102)+100</f>
        <v>100</v>
      </c>
      <c r="I33" s="2153" t="s">
        <v>4172</v>
      </c>
      <c r="J33" s="426">
        <f>SUMIF(101:101,I33,102:102)-SUMIF(101:101,C33,102:102)+100</f>
        <v>100</v>
      </c>
      <c r="K33" s="569">
        <v>5</v>
      </c>
      <c r="L33" s="2949"/>
      <c r="M33" s="2943"/>
      <c r="N33" s="2943"/>
      <c r="O33" s="2943"/>
      <c r="P33" s="3802" t="s">
        <v>2386</v>
      </c>
      <c r="Q33" s="1536" t="str">
        <f t="shared" si="8"/>
        <v>建筑类型</v>
      </c>
      <c r="R33" s="714" t="s">
        <v>17</v>
      </c>
      <c r="S33" s="715">
        <f t="shared" si="9"/>
        <v>100</v>
      </c>
      <c r="T33" s="714" t="s">
        <v>17</v>
      </c>
      <c r="U33" s="715">
        <f t="shared" si="10"/>
        <v>100</v>
      </c>
      <c r="V33" s="714" t="s">
        <v>17</v>
      </c>
      <c r="W33" s="715">
        <f t="shared" si="11"/>
        <v>100</v>
      </c>
      <c r="X33" s="1539"/>
      <c r="Y33" s="3805" t="s">
        <v>2386</v>
      </c>
      <c r="Z33" s="1540" t="str">
        <f t="shared" si="12"/>
        <v>建筑类型</v>
      </c>
      <c r="AA33" s="1537">
        <f t="shared" si="3"/>
        <v>1</v>
      </c>
      <c r="AB33" s="1537">
        <f t="shared" si="4"/>
        <v>1</v>
      </c>
      <c r="AC33" s="2148">
        <f t="shared" si="5"/>
        <v>1</v>
      </c>
    </row>
    <row r="34" spans="1:29" s="430" customFormat="1" ht="15">
      <c r="A34" s="427"/>
      <c r="B34" s="381" t="s">
        <v>2387</v>
      </c>
      <c r="C34" s="428">
        <f>'数据-汇总表'!E3</f>
        <v>47689.05</v>
      </c>
      <c r="D34" s="132">
        <v>100</v>
      </c>
      <c r="E34" s="3171">
        <v>59187</v>
      </c>
      <c r="F34" s="384">
        <f>LOOKUP(E34,104:104,105:105)-LOOKUP(C34,104:104,105:105)+100</f>
        <v>101</v>
      </c>
      <c r="G34" s="388">
        <v>19803</v>
      </c>
      <c r="H34" s="132">
        <f>LOOKUP(G34,104:104,105:105)-LOOKUP(C34,104:104,105:105)+100</f>
        <v>99</v>
      </c>
      <c r="I34" s="388">
        <v>16000</v>
      </c>
      <c r="J34" s="132">
        <f>LOOKUP(I34,104:104,105:105)-LOOKUP(C34,104:104,105:105)+100</f>
        <v>99</v>
      </c>
      <c r="K34" s="570"/>
      <c r="L34" s="2948"/>
      <c r="M34" s="2950"/>
      <c r="N34" s="2950"/>
      <c r="O34" s="2950"/>
      <c r="P34" s="3803"/>
      <c r="Q34" s="716" t="str">
        <f t="shared" si="8"/>
        <v>项目建筑规模</v>
      </c>
      <c r="R34" s="717" t="s">
        <v>17</v>
      </c>
      <c r="S34" s="718">
        <f t="shared" si="9"/>
        <v>101</v>
      </c>
      <c r="T34" s="717" t="s">
        <v>17</v>
      </c>
      <c r="U34" s="718">
        <f t="shared" si="10"/>
        <v>99</v>
      </c>
      <c r="V34" s="717" t="s">
        <v>17</v>
      </c>
      <c r="W34" s="718">
        <f t="shared" si="11"/>
        <v>99</v>
      </c>
      <c r="X34" s="719"/>
      <c r="Y34" s="3805"/>
      <c r="Z34" s="720" t="str">
        <f t="shared" si="12"/>
        <v>项目建筑规模</v>
      </c>
      <c r="AA34" s="1537">
        <f t="shared" si="3"/>
        <v>0.99009900990099009</v>
      </c>
      <c r="AB34" s="1537">
        <f t="shared" si="4"/>
        <v>1.0101010101010102</v>
      </c>
      <c r="AC34" s="2148">
        <f t="shared" si="5"/>
        <v>1.0101010101010102</v>
      </c>
    </row>
    <row r="35" spans="1:29" ht="15">
      <c r="A35" s="431"/>
      <c r="B35" s="381" t="s">
        <v>2388</v>
      </c>
      <c r="C35" s="419" t="s">
        <v>3499</v>
      </c>
      <c r="D35" s="394">
        <v>100</v>
      </c>
      <c r="E35" s="419" t="s">
        <v>3499</v>
      </c>
      <c r="F35" s="420">
        <f>SUMIF(106:106,E35,107:107)-SUMIF(106:106,C35,107:107)+100</f>
        <v>100</v>
      </c>
      <c r="G35" s="419" t="s">
        <v>3499</v>
      </c>
      <c r="H35" s="394">
        <f>SUMIF(106:106,G35,107:107)-SUMIF(106:106,C35,107:107)+100</f>
        <v>100</v>
      </c>
      <c r="I35" s="419" t="s">
        <v>3499</v>
      </c>
      <c r="J35" s="394">
        <f>SUMIF(106:106,I35,107:107)-SUMIF(106:106,C35,107:107)+100</f>
        <v>100</v>
      </c>
      <c r="K35" s="569">
        <v>2</v>
      </c>
      <c r="L35" s="2949"/>
      <c r="M35" s="2943"/>
      <c r="N35" s="2943"/>
      <c r="O35" s="2943"/>
      <c r="P35" s="3803"/>
      <c r="Q35" s="1536" t="str">
        <f t="shared" si="8"/>
        <v>建筑结构</v>
      </c>
      <c r="R35" s="714" t="s">
        <v>17</v>
      </c>
      <c r="S35" s="715">
        <f t="shared" si="9"/>
        <v>100</v>
      </c>
      <c r="T35" s="714" t="s">
        <v>17</v>
      </c>
      <c r="U35" s="715">
        <f t="shared" si="10"/>
        <v>100</v>
      </c>
      <c r="V35" s="714" t="s">
        <v>17</v>
      </c>
      <c r="W35" s="715">
        <f t="shared" si="11"/>
        <v>100</v>
      </c>
      <c r="X35" s="1539"/>
      <c r="Y35" s="3805"/>
      <c r="Z35" s="1540" t="str">
        <f t="shared" si="12"/>
        <v>建筑结构</v>
      </c>
      <c r="AA35" s="1537">
        <f t="shared" si="3"/>
        <v>1</v>
      </c>
      <c r="AB35" s="1537">
        <f t="shared" si="4"/>
        <v>1</v>
      </c>
      <c r="AC35" s="2148">
        <f t="shared" si="5"/>
        <v>1</v>
      </c>
    </row>
    <row r="36" spans="1:29" ht="15">
      <c r="A36" s="431"/>
      <c r="B36" s="381" t="s">
        <v>2482</v>
      </c>
      <c r="C36" s="419" t="s">
        <v>3503</v>
      </c>
      <c r="D36" s="394">
        <v>100</v>
      </c>
      <c r="E36" s="419" t="s">
        <v>3500</v>
      </c>
      <c r="F36" s="420">
        <f>SUMIF(108:108,E36,109:109)-SUMIF(108:108,C36,109:109)+100</f>
        <v>106</v>
      </c>
      <c r="G36" s="419" t="s">
        <v>3500</v>
      </c>
      <c r="H36" s="394">
        <f>SUMIF(108:108,G36,109:109)-SUMIF(108:108,C36,109:109)+100</f>
        <v>106</v>
      </c>
      <c r="I36" s="419" t="s">
        <v>3500</v>
      </c>
      <c r="J36" s="394">
        <f>SUMIF(108:108,I36,109:109)-SUMIF(108:108,C36,109:109)+100</f>
        <v>106</v>
      </c>
      <c r="K36" s="569">
        <v>3</v>
      </c>
      <c r="L36" s="2949"/>
      <c r="M36" s="2943"/>
      <c r="N36" s="2943"/>
      <c r="O36" s="2943"/>
      <c r="P36" s="3803"/>
      <c r="Q36" s="1536" t="str">
        <f t="shared" si="8"/>
        <v>公共部分装修</v>
      </c>
      <c r="R36" s="714" t="s">
        <v>17</v>
      </c>
      <c r="S36" s="715">
        <f t="shared" si="9"/>
        <v>106</v>
      </c>
      <c r="T36" s="714" t="s">
        <v>17</v>
      </c>
      <c r="U36" s="715">
        <f t="shared" si="10"/>
        <v>106</v>
      </c>
      <c r="V36" s="714" t="s">
        <v>17</v>
      </c>
      <c r="W36" s="715">
        <f t="shared" si="11"/>
        <v>106</v>
      </c>
      <c r="X36" s="1539"/>
      <c r="Y36" s="3805"/>
      <c r="Z36" s="1540" t="str">
        <f t="shared" si="12"/>
        <v>公共部分装修</v>
      </c>
      <c r="AA36" s="1537">
        <f t="shared" si="3"/>
        <v>0.94339622641509435</v>
      </c>
      <c r="AB36" s="1537">
        <f t="shared" si="4"/>
        <v>0.94339622641509435</v>
      </c>
      <c r="AC36" s="2148">
        <f t="shared" si="5"/>
        <v>0.94339622641509435</v>
      </c>
    </row>
    <row r="37" spans="1:29" ht="15" hidden="1">
      <c r="A37" s="431"/>
      <c r="B37" s="381" t="s">
        <v>2483</v>
      </c>
      <c r="C37" s="433">
        <v>0.8</v>
      </c>
      <c r="D37" s="394">
        <v>100</v>
      </c>
      <c r="E37" s="433">
        <v>0.8</v>
      </c>
      <c r="F37" s="420">
        <f>LOOKUP(E37,111:111,112:112)-LOOKUP(C37,111:111,112:112)+100</f>
        <v>100</v>
      </c>
      <c r="G37" s="433">
        <v>0.8</v>
      </c>
      <c r="H37" s="420">
        <f>LOOKUP(G37,111:111,112:112)-LOOKUP(C37,111:111,112:112)+100</f>
        <v>100</v>
      </c>
      <c r="I37" s="433">
        <v>0.8</v>
      </c>
      <c r="J37" s="394">
        <f>LOOKUP(I37,111:111,112:112)-LOOKUP(C37,111:111,112:112)+100</f>
        <v>100</v>
      </c>
      <c r="K37" s="569">
        <v>2</v>
      </c>
      <c r="L37" s="2949"/>
      <c r="M37" s="2943"/>
      <c r="N37" s="2943"/>
      <c r="O37" s="2943"/>
      <c r="P37" s="3803"/>
      <c r="Q37" s="1536" t="str">
        <f t="shared" si="8"/>
        <v>成新度</v>
      </c>
      <c r="R37" s="714" t="s">
        <v>17</v>
      </c>
      <c r="S37" s="715">
        <f t="shared" si="9"/>
        <v>100</v>
      </c>
      <c r="T37" s="714" t="s">
        <v>17</v>
      </c>
      <c r="U37" s="715">
        <f t="shared" si="10"/>
        <v>100</v>
      </c>
      <c r="V37" s="714" t="s">
        <v>17</v>
      </c>
      <c r="W37" s="715">
        <f t="shared" si="11"/>
        <v>100</v>
      </c>
      <c r="X37" s="1539"/>
      <c r="Y37" s="3805"/>
      <c r="Z37" s="1540" t="str">
        <f t="shared" si="12"/>
        <v>成新度</v>
      </c>
      <c r="AA37" s="1537">
        <f t="shared" si="3"/>
        <v>1</v>
      </c>
      <c r="AB37" s="1537">
        <f t="shared" si="4"/>
        <v>1</v>
      </c>
      <c r="AC37" s="2148">
        <f t="shared" si="5"/>
        <v>1</v>
      </c>
    </row>
    <row r="38" spans="1:29" s="113" customFormat="1" ht="15">
      <c r="A38" s="432"/>
      <c r="B38" s="381" t="s">
        <v>2515</v>
      </c>
      <c r="C38" s="419" t="s">
        <v>3501</v>
      </c>
      <c r="D38" s="132">
        <v>100</v>
      </c>
      <c r="E38" s="419" t="s">
        <v>3501</v>
      </c>
      <c r="F38" s="420">
        <f>SUMIF(113:113,E38,114:114)-SUMIF(113:113,C38,114:114)+100</f>
        <v>100</v>
      </c>
      <c r="G38" s="419" t="s">
        <v>3501</v>
      </c>
      <c r="H38" s="394">
        <f>SUMIF(113:113,G38,114:114)-SUMIF(113:113,C38,114:114)+100</f>
        <v>100</v>
      </c>
      <c r="I38" s="419" t="s">
        <v>3501</v>
      </c>
      <c r="J38" s="394">
        <f>SUMIF(113:113,I38,114:114)-SUMIF(113:113,C38,114:114)+100</f>
        <v>100</v>
      </c>
      <c r="K38" s="569">
        <v>2</v>
      </c>
      <c r="L38" s="2944"/>
      <c r="M38" s="2945"/>
      <c r="N38" s="2945"/>
      <c r="O38" s="2945"/>
      <c r="P38" s="3803"/>
      <c r="Q38" s="1527" t="str">
        <f t="shared" si="8"/>
        <v>写字楼等级</v>
      </c>
      <c r="R38" s="710" t="s">
        <v>17</v>
      </c>
      <c r="S38" s="711">
        <f t="shared" si="9"/>
        <v>100</v>
      </c>
      <c r="T38" s="710" t="s">
        <v>17</v>
      </c>
      <c r="U38" s="711">
        <f t="shared" si="10"/>
        <v>100</v>
      </c>
      <c r="V38" s="710" t="s">
        <v>17</v>
      </c>
      <c r="W38" s="711">
        <f t="shared" si="11"/>
        <v>100</v>
      </c>
      <c r="X38" s="712"/>
      <c r="Y38" s="3805"/>
      <c r="Z38" s="55" t="str">
        <f t="shared" si="12"/>
        <v>写字楼等级</v>
      </c>
      <c r="AA38" s="713">
        <f t="shared" si="3"/>
        <v>1</v>
      </c>
      <c r="AB38" s="713">
        <f t="shared" si="4"/>
        <v>1</v>
      </c>
      <c r="AC38" s="2145">
        <f t="shared" si="5"/>
        <v>1</v>
      </c>
    </row>
    <row r="39" spans="1:29" ht="15" hidden="1">
      <c r="A39" s="431"/>
      <c r="B39" s="381" t="s">
        <v>2516</v>
      </c>
      <c r="C39" s="419" t="s">
        <v>3557</v>
      </c>
      <c r="D39" s="394">
        <v>100</v>
      </c>
      <c r="E39" s="419" t="s">
        <v>3502</v>
      </c>
      <c r="F39" s="420">
        <f>SUMIF(115:115,E39,116:116)-SUMIF(115:115,C39,116:116)+100</f>
        <v>100</v>
      </c>
      <c r="G39" s="419" t="s">
        <v>3502</v>
      </c>
      <c r="H39" s="394">
        <f>SUMIF(115:115,G39,116:116)-SUMIF(115:115,C39,116:116)+100</f>
        <v>100</v>
      </c>
      <c r="I39" s="419" t="s">
        <v>3502</v>
      </c>
      <c r="J39" s="394">
        <f>SUMIF(115:115,I39,116:116)-SUMIF(115:115,C39,116:116)+100</f>
        <v>100</v>
      </c>
      <c r="K39" s="569">
        <v>0</v>
      </c>
      <c r="L39" s="2949"/>
      <c r="M39" s="2943"/>
      <c r="N39" s="2943"/>
      <c r="O39" s="2943"/>
      <c r="P39" s="3803" t="s">
        <v>2386</v>
      </c>
      <c r="Q39" s="1536" t="str">
        <f t="shared" si="8"/>
        <v>物业管理</v>
      </c>
      <c r="R39" s="714" t="s">
        <v>17</v>
      </c>
      <c r="S39" s="715">
        <f t="shared" si="9"/>
        <v>100</v>
      </c>
      <c r="T39" s="714" t="s">
        <v>17</v>
      </c>
      <c r="U39" s="715">
        <f t="shared" si="10"/>
        <v>100</v>
      </c>
      <c r="V39" s="714" t="s">
        <v>17</v>
      </c>
      <c r="W39" s="715">
        <f t="shared" si="11"/>
        <v>100</v>
      </c>
      <c r="X39" s="1539"/>
      <c r="Y39" s="3805" t="s">
        <v>2386</v>
      </c>
      <c r="Z39" s="1540" t="str">
        <f t="shared" si="12"/>
        <v>物业管理</v>
      </c>
      <c r="AA39" s="1537">
        <f t="shared" si="3"/>
        <v>1</v>
      </c>
      <c r="AB39" s="1537">
        <f t="shared" si="4"/>
        <v>1</v>
      </c>
      <c r="AC39" s="2148">
        <f t="shared" si="5"/>
        <v>1</v>
      </c>
    </row>
    <row r="40" spans="1:29" ht="15" hidden="1">
      <c r="A40" s="431"/>
      <c r="B40" s="381" t="s">
        <v>2484</v>
      </c>
      <c r="C40" s="419" t="s">
        <v>3475</v>
      </c>
      <c r="D40" s="394">
        <v>100</v>
      </c>
      <c r="E40" s="419" t="s">
        <v>3475</v>
      </c>
      <c r="F40" s="420">
        <f>SUMIF(117:117,E40,118:118)-SUMIF(117:117,C40,118:118)+100</f>
        <v>100</v>
      </c>
      <c r="G40" s="419" t="s">
        <v>3475</v>
      </c>
      <c r="H40" s="394">
        <f>SUMIF(117:117,G40,118:118)-SUMIF(117:117,C40,118:118)+100</f>
        <v>100</v>
      </c>
      <c r="I40" s="419" t="s">
        <v>3475</v>
      </c>
      <c r="J40" s="394">
        <f>SUMIF(117:117,I40,118:118)-SUMIF(117:117,C40,118:118)+100</f>
        <v>100</v>
      </c>
      <c r="K40" s="569">
        <v>2</v>
      </c>
      <c r="L40" s="2949"/>
      <c r="M40" s="2943"/>
      <c r="N40" s="2943"/>
      <c r="O40" s="2943"/>
      <c r="P40" s="3803"/>
      <c r="Q40" s="1536" t="str">
        <f t="shared" si="8"/>
        <v>市政基础设施</v>
      </c>
      <c r="R40" s="714" t="s">
        <v>17</v>
      </c>
      <c r="S40" s="715">
        <f t="shared" si="9"/>
        <v>100</v>
      </c>
      <c r="T40" s="714" t="s">
        <v>17</v>
      </c>
      <c r="U40" s="715">
        <f t="shared" si="10"/>
        <v>100</v>
      </c>
      <c r="V40" s="714" t="s">
        <v>17</v>
      </c>
      <c r="W40" s="715">
        <f t="shared" si="11"/>
        <v>100</v>
      </c>
      <c r="X40" s="1539"/>
      <c r="Y40" s="3805"/>
      <c r="Z40" s="1540" t="str">
        <f t="shared" si="12"/>
        <v>市政基础设施</v>
      </c>
      <c r="AA40" s="1537">
        <f t="shared" si="3"/>
        <v>1</v>
      </c>
      <c r="AB40" s="1537">
        <f t="shared" si="4"/>
        <v>1</v>
      </c>
      <c r="AC40" s="2148">
        <f t="shared" si="5"/>
        <v>1</v>
      </c>
    </row>
    <row r="41" spans="1:29" ht="15">
      <c r="A41" s="431"/>
      <c r="B41" s="381" t="s">
        <v>2486</v>
      </c>
      <c r="C41" s="573" t="s">
        <v>3776</v>
      </c>
      <c r="D41" s="394">
        <v>100</v>
      </c>
      <c r="E41" s="573" t="s">
        <v>3778</v>
      </c>
      <c r="F41" s="420">
        <f>SUMIF(119:119,E41,120:120)-SUMIF(119:119,C41,120:120)+100</f>
        <v>97</v>
      </c>
      <c r="G41" s="573" t="s">
        <v>3778</v>
      </c>
      <c r="H41" s="394">
        <f>SUMIF(119:119,G41,120:120)-SUMIF(119:119,C41,120:120)+100</f>
        <v>97</v>
      </c>
      <c r="I41" s="573" t="s">
        <v>3776</v>
      </c>
      <c r="J41" s="394">
        <f>SUMIF(119:119,I41,120:120)-SUMIF(119:119,C41,120:120)+100</f>
        <v>100</v>
      </c>
      <c r="K41" s="569">
        <v>3</v>
      </c>
      <c r="L41" s="2949"/>
      <c r="M41" s="2943"/>
      <c r="N41" s="2943"/>
      <c r="O41" s="2943"/>
      <c r="P41" s="3803"/>
      <c r="Q41" s="1536" t="str">
        <f t="shared" si="8"/>
        <v>层高</v>
      </c>
      <c r="R41" s="714" t="s">
        <v>17</v>
      </c>
      <c r="S41" s="715">
        <f t="shared" si="9"/>
        <v>97</v>
      </c>
      <c r="T41" s="714" t="s">
        <v>17</v>
      </c>
      <c r="U41" s="715">
        <f t="shared" si="10"/>
        <v>97</v>
      </c>
      <c r="V41" s="714" t="s">
        <v>17</v>
      </c>
      <c r="W41" s="715">
        <f t="shared" si="11"/>
        <v>100</v>
      </c>
      <c r="X41" s="1539"/>
      <c r="Y41" s="3805"/>
      <c r="Z41" s="1540" t="str">
        <f t="shared" si="12"/>
        <v>层高</v>
      </c>
      <c r="AA41" s="1537">
        <f t="shared" si="3"/>
        <v>1.0309278350515463</v>
      </c>
      <c r="AB41" s="1537">
        <f t="shared" si="4"/>
        <v>1.0309278350515463</v>
      </c>
      <c r="AC41" s="2148">
        <f t="shared" si="5"/>
        <v>1</v>
      </c>
    </row>
    <row r="42" spans="1:29" s="430" customFormat="1" ht="15">
      <c r="A42" s="427"/>
      <c r="B42" s="3394" t="s">
        <v>4175</v>
      </c>
      <c r="C42" s="393">
        <f>'数据-基础表'!I21</f>
        <v>3684.9</v>
      </c>
      <c r="D42" s="394">
        <v>100</v>
      </c>
      <c r="E42" s="393">
        <f>'案例-租金'!$N$6</f>
        <v>1562.47</v>
      </c>
      <c r="F42" s="420">
        <f>SUMIF(121:121,E42,122:122)-SUMIF(121:121,C42,122:122)+100</f>
        <v>100</v>
      </c>
      <c r="G42" s="393">
        <f>'案例-租金'!$N$7</f>
        <v>1020.87</v>
      </c>
      <c r="H42" s="394">
        <f>SUMIF(121:121,G42,122:122)-SUMIF(121:121,C42,122:122)+100</f>
        <v>100</v>
      </c>
      <c r="I42" s="393">
        <f>'案例-租金'!$N$8</f>
        <v>1867.59</v>
      </c>
      <c r="J42" s="394">
        <f>SUMIF(121:121,I42,122:122)-SUMIF(121:121,C42,122:122)+100</f>
        <v>100</v>
      </c>
      <c r="K42" s="570"/>
      <c r="L42" s="2948"/>
      <c r="M42" s="2950"/>
      <c r="N42" s="2950"/>
      <c r="O42" s="2950"/>
      <c r="P42" s="3803"/>
      <c r="Q42" s="716" t="str">
        <f t="shared" si="8"/>
        <v>标准层面积</v>
      </c>
      <c r="R42" s="717" t="s">
        <v>17</v>
      </c>
      <c r="S42" s="718">
        <f t="shared" si="9"/>
        <v>100</v>
      </c>
      <c r="T42" s="717" t="s">
        <v>17</v>
      </c>
      <c r="U42" s="718">
        <f t="shared" si="10"/>
        <v>100</v>
      </c>
      <c r="V42" s="717" t="s">
        <v>17</v>
      </c>
      <c r="W42" s="718">
        <f t="shared" si="11"/>
        <v>100</v>
      </c>
      <c r="X42" s="719"/>
      <c r="Y42" s="3805"/>
      <c r="Z42" s="720" t="str">
        <f t="shared" si="12"/>
        <v>标准层面积</v>
      </c>
      <c r="AA42" s="1537">
        <f t="shared" si="3"/>
        <v>1</v>
      </c>
      <c r="AB42" s="1537">
        <f t="shared" si="4"/>
        <v>1</v>
      </c>
      <c r="AC42" s="2148">
        <f t="shared" si="5"/>
        <v>1</v>
      </c>
    </row>
    <row r="43" spans="1:29" ht="15" hidden="1">
      <c r="A43" s="431"/>
      <c r="B43" s="381" t="s">
        <v>2489</v>
      </c>
      <c r="C43" s="419" t="s">
        <v>3503</v>
      </c>
      <c r="D43" s="394">
        <v>100</v>
      </c>
      <c r="E43" s="419" t="s">
        <v>3500</v>
      </c>
      <c r="F43" s="420">
        <f>SUMIF(123:123,E43,124:124)-SUMIF(123:123,C43,124:124)+100</f>
        <v>100</v>
      </c>
      <c r="G43" s="419" t="s">
        <v>3500</v>
      </c>
      <c r="H43" s="394">
        <f>SUMIF(123:123,G43,124:124)-SUMIF(123:123,C43,124:124)+100</f>
        <v>100</v>
      </c>
      <c r="I43" s="419" t="s">
        <v>3500</v>
      </c>
      <c r="J43" s="394">
        <f>SUMIF(123:123,I43,124:124)-SUMIF(123:123,C43,124:124)+100</f>
        <v>100</v>
      </c>
      <c r="K43" s="569">
        <v>0</v>
      </c>
      <c r="L43" s="2949"/>
      <c r="M43" s="2943"/>
      <c r="N43" s="2943"/>
      <c r="O43" s="2943"/>
      <c r="P43" s="3803"/>
      <c r="Q43" s="1536" t="str">
        <f t="shared" si="8"/>
        <v>内部装修</v>
      </c>
      <c r="R43" s="714" t="s">
        <v>17</v>
      </c>
      <c r="S43" s="715">
        <f t="shared" si="9"/>
        <v>100</v>
      </c>
      <c r="T43" s="714" t="s">
        <v>17</v>
      </c>
      <c r="U43" s="715">
        <f t="shared" si="10"/>
        <v>100</v>
      </c>
      <c r="V43" s="714" t="s">
        <v>17</v>
      </c>
      <c r="W43" s="715">
        <f t="shared" si="11"/>
        <v>100</v>
      </c>
      <c r="X43" s="1539"/>
      <c r="Y43" s="3805"/>
      <c r="Z43" s="1540" t="str">
        <f t="shared" si="12"/>
        <v>内部装修</v>
      </c>
      <c r="AA43" s="1537">
        <f t="shared" si="3"/>
        <v>1</v>
      </c>
      <c r="AB43" s="1537">
        <f t="shared" si="4"/>
        <v>1</v>
      </c>
      <c r="AC43" s="2148">
        <f t="shared" si="5"/>
        <v>1</v>
      </c>
    </row>
    <row r="44" spans="1:29" ht="15" hidden="1">
      <c r="A44" s="431"/>
      <c r="B44" s="3326" t="s">
        <v>2397</v>
      </c>
      <c r="C44" s="419" t="s">
        <v>3094</v>
      </c>
      <c r="D44" s="394">
        <v>100</v>
      </c>
      <c r="E44" s="419" t="s">
        <v>3094</v>
      </c>
      <c r="F44" s="420">
        <f>SUMIF(125:125,E44,126:126)-SUMIF(125:125,C44,126:126)+100</f>
        <v>100</v>
      </c>
      <c r="G44" s="419" t="s">
        <v>3094</v>
      </c>
      <c r="H44" s="394">
        <f>SUMIF(125:125,G44,126:126)-SUMIF(125:125,C44,126:126)+100</f>
        <v>100</v>
      </c>
      <c r="I44" s="419" t="s">
        <v>3094</v>
      </c>
      <c r="J44" s="394">
        <f>SUMIF(125:125,I44,126:126)-SUMIF(125:125,C44,126:126)+100</f>
        <v>100</v>
      </c>
      <c r="K44" s="569">
        <v>2</v>
      </c>
      <c r="L44" s="2949"/>
      <c r="M44" s="2943"/>
      <c r="N44" s="2943"/>
      <c r="O44" s="2943"/>
      <c r="P44" s="3803"/>
      <c r="Q44" s="1536" t="str">
        <f t="shared" si="8"/>
        <v>内部装修维护情况</v>
      </c>
      <c r="R44" s="714" t="s">
        <v>17</v>
      </c>
      <c r="S44" s="715">
        <f t="shared" si="9"/>
        <v>100</v>
      </c>
      <c r="T44" s="714" t="s">
        <v>17</v>
      </c>
      <c r="U44" s="715">
        <f t="shared" si="10"/>
        <v>100</v>
      </c>
      <c r="V44" s="714" t="s">
        <v>17</v>
      </c>
      <c r="W44" s="715">
        <f t="shared" si="11"/>
        <v>100</v>
      </c>
      <c r="X44" s="1539"/>
      <c r="Y44" s="3805"/>
      <c r="Z44" s="1540" t="str">
        <f t="shared" si="12"/>
        <v>内部装修维护情况</v>
      </c>
      <c r="AA44" s="1537">
        <f t="shared" si="3"/>
        <v>1</v>
      </c>
      <c r="AB44" s="1537">
        <f t="shared" si="4"/>
        <v>1</v>
      </c>
      <c r="AC44" s="2148">
        <f t="shared" si="5"/>
        <v>1</v>
      </c>
    </row>
    <row r="45" spans="1:29" s="113" customFormat="1" ht="15">
      <c r="A45" s="432"/>
      <c r="B45" s="3154" t="s">
        <v>4026</v>
      </c>
      <c r="C45" s="3316" t="s">
        <v>4027</v>
      </c>
      <c r="D45" s="132">
        <v>100</v>
      </c>
      <c r="E45" s="3317" t="s">
        <v>4177</v>
      </c>
      <c r="F45" s="384">
        <f>SUMIF(127:127,E45,128:128)-SUMIF(127:127,C45,128:128)+100</f>
        <v>105</v>
      </c>
      <c r="G45" s="3317" t="s">
        <v>4029</v>
      </c>
      <c r="H45" s="132">
        <f>SUMIF(127:127,G45,128:128)-SUMIF(127:127,C45,128:128)+100</f>
        <v>110</v>
      </c>
      <c r="I45" s="3318" t="s">
        <v>4029</v>
      </c>
      <c r="J45" s="132">
        <f>SUMIF(127:127,I45,128:128)-SUMIF(127:127,C45,128:128)+100</f>
        <v>110</v>
      </c>
      <c r="K45" s="570"/>
      <c r="L45" s="3216">
        <f>ROUND(C34/5,0)</f>
        <v>9538</v>
      </c>
      <c r="M45" s="3217">
        <f>ROUND(E34/8,0)</f>
        <v>7398</v>
      </c>
      <c r="N45" s="3217">
        <f>ROUND(G34/30,0)</f>
        <v>660</v>
      </c>
      <c r="O45" s="3217">
        <f>ROUND(I34/34,0)</f>
        <v>471</v>
      </c>
      <c r="P45" s="3803"/>
      <c r="Q45" s="1527" t="str">
        <f t="shared" si="8"/>
        <v>设施设备</v>
      </c>
      <c r="R45" s="710" t="s">
        <v>17</v>
      </c>
      <c r="S45" s="711">
        <f t="shared" si="9"/>
        <v>105</v>
      </c>
      <c r="T45" s="710" t="s">
        <v>17</v>
      </c>
      <c r="U45" s="711">
        <f t="shared" si="10"/>
        <v>110</v>
      </c>
      <c r="V45" s="710" t="s">
        <v>17</v>
      </c>
      <c r="W45" s="711">
        <f t="shared" si="11"/>
        <v>110</v>
      </c>
      <c r="X45" s="712"/>
      <c r="Y45" s="3805"/>
      <c r="Z45" s="55" t="str">
        <f t="shared" si="12"/>
        <v>设施设备</v>
      </c>
      <c r="AA45" s="713">
        <f t="shared" si="3"/>
        <v>0.95238095238095233</v>
      </c>
      <c r="AB45" s="713">
        <f t="shared" si="4"/>
        <v>0.90909090909090906</v>
      </c>
      <c r="AC45" s="2145">
        <f t="shared" si="5"/>
        <v>0.90909090909090906</v>
      </c>
    </row>
    <row r="46" spans="1:29" ht="15">
      <c r="A46" s="431"/>
      <c r="B46" s="3154" t="s">
        <v>4179</v>
      </c>
      <c r="C46" s="3184" t="s">
        <v>4180</v>
      </c>
      <c r="D46" s="394">
        <v>100</v>
      </c>
      <c r="E46" s="3317" t="s">
        <v>4177</v>
      </c>
      <c r="F46" s="420">
        <f>SUMIF(129:129,E46,130:130)-SUMIF(129:129,C46,130:130)+100</f>
        <v>105</v>
      </c>
      <c r="G46" s="3317" t="s">
        <v>4177</v>
      </c>
      <c r="H46" s="394">
        <f>SUMIF(129:129,G46,130:130)-SUMIF(129:129,C46,130:130)+100</f>
        <v>105</v>
      </c>
      <c r="I46" s="3317" t="s">
        <v>4177</v>
      </c>
      <c r="J46" s="394">
        <f>SUMIF(129:129,I46,130:130)-SUMIF(129:129,C46,130:130)+100</f>
        <v>105</v>
      </c>
      <c r="K46" s="570"/>
      <c r="L46" s="2949"/>
      <c r="M46" s="2943"/>
      <c r="N46" s="2943"/>
      <c r="O46" s="2943"/>
      <c r="P46" s="3803"/>
      <c r="Q46" s="1536" t="str">
        <f t="shared" si="8"/>
        <v>外装</v>
      </c>
      <c r="R46" s="714" t="s">
        <v>17</v>
      </c>
      <c r="S46" s="715">
        <f t="shared" si="9"/>
        <v>105</v>
      </c>
      <c r="T46" s="714" t="s">
        <v>17</v>
      </c>
      <c r="U46" s="715">
        <f t="shared" si="10"/>
        <v>105</v>
      </c>
      <c r="V46" s="714" t="s">
        <v>17</v>
      </c>
      <c r="W46" s="715">
        <f t="shared" si="11"/>
        <v>105</v>
      </c>
      <c r="X46" s="1539"/>
      <c r="Y46" s="3805"/>
      <c r="Z46" s="1540" t="str">
        <f t="shared" si="12"/>
        <v>外装</v>
      </c>
      <c r="AA46" s="1537">
        <f t="shared" si="3"/>
        <v>0.95238095238095233</v>
      </c>
      <c r="AB46" s="1537">
        <f t="shared" si="4"/>
        <v>0.95238095238095233</v>
      </c>
      <c r="AC46" s="2148">
        <f t="shared" si="5"/>
        <v>0.95238095238095233</v>
      </c>
    </row>
    <row r="47" spans="1:29" ht="15.75" thickBot="1">
      <c r="A47" s="437"/>
      <c r="B47" s="3424" t="s">
        <v>4182</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9"/>
      <c r="M47" s="2943"/>
      <c r="N47" s="2943"/>
      <c r="O47" s="2943"/>
      <c r="P47" s="3804"/>
      <c r="Q47" s="1536" t="str">
        <f t="shared" si="8"/>
        <v>利用率</v>
      </c>
      <c r="R47" s="714" t="s">
        <v>17</v>
      </c>
      <c r="S47" s="715">
        <f t="shared" si="9"/>
        <v>100</v>
      </c>
      <c r="T47" s="714" t="s">
        <v>17</v>
      </c>
      <c r="U47" s="715">
        <f t="shared" si="10"/>
        <v>100</v>
      </c>
      <c r="V47" s="714" t="s">
        <v>17</v>
      </c>
      <c r="W47" s="715">
        <f t="shared" si="11"/>
        <v>100</v>
      </c>
      <c r="X47" s="1539"/>
      <c r="Y47" s="3806"/>
      <c r="Z47" s="1540" t="str">
        <f t="shared" si="12"/>
        <v>利用率</v>
      </c>
      <c r="AA47" s="1537">
        <f t="shared" si="3"/>
        <v>1</v>
      </c>
      <c r="AB47" s="1537">
        <f t="shared" si="4"/>
        <v>1</v>
      </c>
      <c r="AC47" s="2148">
        <f t="shared" si="5"/>
        <v>1</v>
      </c>
    </row>
    <row r="48" spans="1:29" ht="15">
      <c r="A48" s="438" t="s">
        <v>2398</v>
      </c>
      <c r="B48" s="439"/>
      <c r="C48" s="1316" t="s">
        <v>1</v>
      </c>
      <c r="D48" s="1317"/>
      <c r="E48" s="1318">
        <f>'案例-租金'!O5</f>
        <v>9.4</v>
      </c>
      <c r="F48" s="1319"/>
      <c r="G48" s="1320">
        <f>'案例-租金'!D83</f>
        <v>11.5</v>
      </c>
      <c r="H48" s="1321"/>
      <c r="I48" s="1318">
        <f>'案例-租金'!O8</f>
        <v>12.7</v>
      </c>
      <c r="J48" s="444"/>
      <c r="K48" s="723"/>
      <c r="L48" s="2951"/>
      <c r="M48" s="2943"/>
      <c r="N48" s="2943"/>
      <c r="O48" s="2943"/>
      <c r="P48" s="3780" t="str">
        <f>A48</f>
        <v>成交单价（元/平方米）</v>
      </c>
      <c r="Q48" s="3798"/>
      <c r="R48" s="3799">
        <f>E48</f>
        <v>9.4</v>
      </c>
      <c r="S48" s="3799"/>
      <c r="T48" s="3799">
        <f>G48</f>
        <v>11.5</v>
      </c>
      <c r="U48" s="3799"/>
      <c r="V48" s="3799">
        <f>I48</f>
        <v>12.7</v>
      </c>
      <c r="W48" s="3799"/>
      <c r="X48" s="405"/>
      <c r="Y48" s="721"/>
      <c r="Z48" s="405"/>
      <c r="AA48" s="405"/>
      <c r="AB48" s="405"/>
      <c r="AC48" s="586"/>
    </row>
    <row r="49" spans="1:29" ht="15.75" thickBot="1">
      <c r="A49" s="445" t="s">
        <v>2490</v>
      </c>
      <c r="B49" s="446"/>
      <c r="C49" s="1322">
        <f>R50</f>
        <v>9</v>
      </c>
      <c r="D49" s="2538" t="s">
        <v>2877</v>
      </c>
      <c r="E49" s="1323">
        <f>R49</f>
        <v>8.1999999999999993</v>
      </c>
      <c r="F49" s="2539"/>
      <c r="G49" s="1322">
        <f>T49</f>
        <v>9</v>
      </c>
      <c r="H49" s="2539"/>
      <c r="I49" s="1323">
        <f>V49</f>
        <v>9.8000000000000007</v>
      </c>
      <c r="J49" s="2539"/>
      <c r="K49" s="2541">
        <f>F49+H49+J49</f>
        <v>0</v>
      </c>
      <c r="L49" s="2951"/>
      <c r="M49" s="2943"/>
      <c r="N49" s="2943"/>
      <c r="O49" s="2943"/>
      <c r="P49" s="3780" t="str">
        <f>A49</f>
        <v>比较价值（元/平方米）</v>
      </c>
      <c r="Q49" s="3798"/>
      <c r="R49" s="3799">
        <f>IF(F1="售价",ROUND(PRODUCT(R48,AA7:AA47),0),ROUND(PRODUCT(R48,AA7:AA47),1))</f>
        <v>8.1999999999999993</v>
      </c>
      <c r="S49" s="3799"/>
      <c r="T49" s="3799">
        <f>IF(F1="售价",ROUND(PRODUCT(T48,AB7:AB47),0),ROUND(PRODUCT(T48,AB7:AB47),1))</f>
        <v>9</v>
      </c>
      <c r="U49" s="3799"/>
      <c r="V49" s="3799">
        <f>IF(F1="售价",ROUND(PRODUCT(V48,AC7:AC47),0),ROUND(PRODUCT(V48,AC7:AC47),1))</f>
        <v>9.8000000000000007</v>
      </c>
      <c r="W49" s="3799"/>
      <c r="X49" s="405"/>
      <c r="Y49" s="405"/>
      <c r="Z49" s="405"/>
      <c r="AA49" s="405"/>
      <c r="AB49" s="405"/>
      <c r="AC49" s="586"/>
    </row>
    <row r="50" spans="1:29" ht="15.75" thickBot="1">
      <c r="A50" s="449" t="s">
        <v>2491</v>
      </c>
      <c r="B50" s="450"/>
      <c r="C50" s="1325">
        <f>R50</f>
        <v>9</v>
      </c>
      <c r="D50" s="1325"/>
      <c r="E50" s="1325"/>
      <c r="F50" s="1325"/>
      <c r="G50" s="1325"/>
      <c r="H50" s="1325"/>
      <c r="I50" s="1325"/>
      <c r="J50" s="451"/>
      <c r="K50" s="724"/>
      <c r="L50" s="2951"/>
      <c r="M50" s="2943"/>
      <c r="N50" s="2943"/>
      <c r="O50" s="2943"/>
      <c r="P50" s="3848" t="str">
        <f>A50</f>
        <v>估价对象XX用房的比较价值（楼面单价，元/平方米）</v>
      </c>
      <c r="Q50" s="3849"/>
      <c r="R50" s="3850">
        <f>IF(F1="售价",ROUND(IF(D49="简单平均",AVERAGE(R49:V49),R49*F49+T49*H49+V49*J49),0),ROUND(IF(D49="简单平均",AVERAGE(R49:V49),R49*F49+T49*H49+V49*J49),1))</f>
        <v>9</v>
      </c>
      <c r="S50" s="3850"/>
      <c r="T50" s="3850"/>
      <c r="U50" s="3850"/>
      <c r="V50" s="3850"/>
      <c r="W50" s="3850"/>
      <c r="X50" s="2132"/>
      <c r="Y50" s="2132"/>
      <c r="Z50" s="2132"/>
      <c r="AA50" s="2132"/>
      <c r="AB50" s="2132"/>
      <c r="AC50" s="2133"/>
    </row>
    <row r="51" spans="1:29">
      <c r="A51" s="2952"/>
      <c r="B51" s="2952"/>
      <c r="C51" s="2952"/>
      <c r="D51" s="2952"/>
      <c r="E51" s="2952">
        <v>2008</v>
      </c>
      <c r="F51" s="2952"/>
      <c r="G51" s="2956">
        <v>20.07</v>
      </c>
      <c r="H51" s="2952"/>
      <c r="I51" s="2952">
        <v>2008</v>
      </c>
      <c r="J51" s="2952"/>
      <c r="K51" s="2957"/>
      <c r="L51" s="2953"/>
      <c r="M51" s="2952"/>
      <c r="N51" s="2952"/>
      <c r="O51" s="2952"/>
      <c r="P51" s="2983"/>
      <c r="Q51" s="2952"/>
      <c r="R51" s="2952"/>
      <c r="S51" s="2952"/>
      <c r="T51" s="2952"/>
      <c r="U51" s="2952"/>
      <c r="V51" s="2952"/>
      <c r="W51" s="2952"/>
      <c r="X51" s="2952"/>
      <c r="Y51" s="2952"/>
      <c r="Z51" s="2952"/>
      <c r="AA51" s="2952"/>
      <c r="AB51" s="2952"/>
      <c r="AC51" s="2952"/>
    </row>
    <row r="52" spans="1:29">
      <c r="A52" s="2952"/>
      <c r="B52" s="2952"/>
      <c r="C52" s="2952"/>
      <c r="D52" s="2952"/>
      <c r="E52" s="2952">
        <v>2.6</v>
      </c>
      <c r="F52" s="2952"/>
      <c r="G52" s="2952">
        <v>2.75</v>
      </c>
      <c r="H52" s="2952"/>
      <c r="I52" s="2952">
        <v>3</v>
      </c>
      <c r="J52" s="2952"/>
      <c r="K52" s="2957"/>
      <c r="L52" s="2952">
        <v>2016.3</v>
      </c>
      <c r="M52" s="2952">
        <v>2016.4</v>
      </c>
      <c r="N52" s="2952">
        <v>2017.1</v>
      </c>
      <c r="O52" s="2952">
        <v>2017.2</v>
      </c>
      <c r="P52" s="2983"/>
      <c r="Q52" s="2952"/>
      <c r="R52" s="2952"/>
      <c r="S52" s="2952"/>
      <c r="T52" s="2952"/>
      <c r="U52" s="2952"/>
      <c r="V52" s="2952"/>
      <c r="W52" s="2952"/>
      <c r="X52" s="2952"/>
      <c r="Y52" s="2952"/>
      <c r="Z52" s="2952"/>
      <c r="AA52" s="2952"/>
      <c r="AB52" s="2952"/>
      <c r="AC52" s="2952"/>
    </row>
    <row r="53" spans="1:29" ht="13.5" customHeight="1">
      <c r="A53" s="2952"/>
      <c r="B53" s="2952"/>
      <c r="C53" s="454" t="s">
        <v>2492</v>
      </c>
      <c r="D53" s="455"/>
      <c r="E53" s="456">
        <f>IF(E48&lt;E49,E49/E48-1,E48/E49-1)</f>
        <v>0.14634146341463428</v>
      </c>
      <c r="F53" s="457" t="str">
        <f>IF(OR(E53&gt;=0.3,E53&lt;=-0.3),"超过30%","")</f>
        <v/>
      </c>
      <c r="G53" s="456">
        <f>IF(G48&lt;G49,G49/G48-1,G48/G49-1)</f>
        <v>0.27777777777777768</v>
      </c>
      <c r="H53" s="457" t="str">
        <f>IF(OR(G53&gt;=0.3,G53&lt;=-0.3),"超过30%","")</f>
        <v/>
      </c>
      <c r="I53" s="456">
        <f>IF(I48&lt;I49,I49/I48-1,I48/I49-1)</f>
        <v>0.29591836734693855</v>
      </c>
      <c r="J53" s="457" t="str">
        <f>IF(OR(I53&gt;=0.3,I53&lt;=-0.3),"超过30%","")</f>
        <v/>
      </c>
      <c r="K53" s="2957"/>
      <c r="L53" s="2952">
        <v>1.1494</v>
      </c>
      <c r="M53" s="2952">
        <v>1.1740999999999999</v>
      </c>
      <c r="N53" s="2952">
        <v>1.1966000000000001</v>
      </c>
      <c r="O53" s="2952">
        <v>1.2205999999999999</v>
      </c>
      <c r="P53" s="2983"/>
      <c r="Q53" s="2952"/>
      <c r="R53" s="2952"/>
      <c r="S53" s="2952"/>
      <c r="T53" s="2952"/>
      <c r="U53" s="2952"/>
      <c r="V53" s="2952"/>
      <c r="W53" s="2952"/>
      <c r="X53" s="2952"/>
      <c r="Y53" s="2952"/>
      <c r="Z53" s="2952"/>
      <c r="AA53" s="2952"/>
      <c r="AB53" s="2952"/>
      <c r="AC53" s="2952"/>
    </row>
    <row r="54" spans="1:29" ht="13.5" customHeight="1">
      <c r="A54" s="2952"/>
      <c r="B54" s="2952"/>
      <c r="C54" s="454" t="s">
        <v>2493</v>
      </c>
      <c r="D54" s="458"/>
      <c r="E54" s="456">
        <f>IF(E49&lt;G49,G49/E49-1,E49/G49-1)</f>
        <v>9.7560975609756184E-2</v>
      </c>
      <c r="F54" s="457" t="str">
        <f>IF(OR(E54&gt;=0.2,E54&lt;=-0.2),"超过20%","")</f>
        <v/>
      </c>
      <c r="G54" s="456">
        <f>IF(G49&lt;I49,I49/G49-1,G49/I49-1)</f>
        <v>8.8888888888889017E-2</v>
      </c>
      <c r="H54" s="457" t="str">
        <f>IF(OR(G54&gt;=0.2,G54&lt;=-0.2),"超过20%","")</f>
        <v/>
      </c>
      <c r="I54" s="456">
        <f>IF(I49&lt;E49,E49/I49-1,I49/E49-1)</f>
        <v>0.19512195121951237</v>
      </c>
      <c r="J54" s="457" t="str">
        <f>IF(OR(I54&gt;=0.2,I54&lt;=-0.2),"超过20%","")</f>
        <v/>
      </c>
      <c r="K54" s="2957"/>
      <c r="L54" s="2952">
        <f>ROUND(L53*$O$54/$O$53,2)</f>
        <v>94.17</v>
      </c>
      <c r="M54" s="2952">
        <f>ROUND(M53*$O$54/$O$53,2)</f>
        <v>96.19</v>
      </c>
      <c r="N54" s="2952">
        <f>ROUND(N53*$O$54/$O$53,2)</f>
        <v>98.03</v>
      </c>
      <c r="O54" s="2952">
        <v>100</v>
      </c>
      <c r="P54" s="2983"/>
      <c r="Q54" s="2952"/>
      <c r="R54" s="2952"/>
      <c r="S54" s="2952"/>
      <c r="T54" s="2952"/>
      <c r="U54" s="2952"/>
      <c r="V54" s="2952"/>
      <c r="W54" s="2952"/>
      <c r="X54" s="2952"/>
      <c r="Y54" s="2952"/>
      <c r="Z54" s="2952"/>
      <c r="AA54" s="2952"/>
      <c r="AB54" s="2952"/>
      <c r="AC54" s="2952"/>
    </row>
    <row r="55" spans="1:29" s="459" customFormat="1" ht="13.5" customHeight="1">
      <c r="A55" s="2955"/>
      <c r="B55" s="2955"/>
      <c r="C55" s="454" t="s">
        <v>2494</v>
      </c>
      <c r="D55" s="458"/>
      <c r="E55" s="456">
        <f>IF(E48&lt;G48,G48/E48-1,E48/G48-1)</f>
        <v>0.22340425531914887</v>
      </c>
      <c r="F55" s="457" t="str">
        <f>IF(OR(E55&gt;=0.3,E55&lt;=-0.3),"超过30%","")</f>
        <v/>
      </c>
      <c r="G55" s="456">
        <f>IF(G48&lt;I48,I48/G48-1,G48/I48-1)</f>
        <v>0.10434782608695636</v>
      </c>
      <c r="H55" s="457" t="str">
        <f>IF(OR(G55&gt;=0.3,G55&lt;=-0.3),"超过30%","")</f>
        <v/>
      </c>
      <c r="I55" s="456">
        <f>IF(I48&lt;E48,E48/I48-1,I48/E48-1)</f>
        <v>0.35106382978723394</v>
      </c>
      <c r="J55" s="457" t="str">
        <f>IF(OR(I55&gt;=0.3,I55&lt;=-0.3),"超过30%","")</f>
        <v>超过30%</v>
      </c>
      <c r="K55" s="2960"/>
      <c r="L55" s="2954"/>
      <c r="M55" s="2955"/>
      <c r="N55" s="2955"/>
      <c r="O55" s="2955"/>
      <c r="P55" s="2984"/>
      <c r="Q55" s="2955"/>
      <c r="R55" s="2955"/>
      <c r="S55" s="2955"/>
      <c r="T55" s="2955"/>
      <c r="U55" s="2955"/>
      <c r="V55" s="2955"/>
      <c r="W55" s="2955"/>
      <c r="X55" s="2955"/>
      <c r="Y55" s="2955"/>
      <c r="Z55" s="2955"/>
      <c r="AA55" s="2955"/>
      <c r="AB55" s="2955"/>
      <c r="AC55" s="2955"/>
    </row>
    <row r="56" spans="1:29" s="459" customFormat="1">
      <c r="A56" s="2955"/>
      <c r="B56" s="2958"/>
      <c r="C56" s="2959"/>
      <c r="D56" s="2955"/>
      <c r="E56" s="2955"/>
      <c r="F56" s="2955"/>
      <c r="G56" s="2955"/>
      <c r="H56" s="2955"/>
      <c r="I56" s="2955"/>
      <c r="J56" s="2955"/>
      <c r="K56" s="2960"/>
      <c r="L56" s="2954"/>
      <c r="M56" s="2955"/>
      <c r="N56" s="2955"/>
      <c r="O56" s="2955"/>
      <c r="P56" s="2984"/>
      <c r="Q56" s="2955"/>
      <c r="R56" s="2955"/>
      <c r="S56" s="2955"/>
      <c r="T56" s="2955"/>
      <c r="U56" s="2955"/>
      <c r="V56" s="2955"/>
      <c r="W56" s="2955"/>
      <c r="X56" s="2955"/>
      <c r="Y56" s="2955"/>
      <c r="Z56" s="2955"/>
      <c r="AA56" s="2955"/>
      <c r="AB56" s="2955"/>
      <c r="AC56" s="2955"/>
    </row>
    <row r="57" spans="1:29">
      <c r="A57" s="2952"/>
      <c r="B57" s="2958"/>
      <c r="C57" s="2959"/>
      <c r="D57" s="2952"/>
      <c r="E57" s="2952"/>
      <c r="F57" s="2952"/>
      <c r="G57" s="2952"/>
      <c r="H57" s="2952"/>
      <c r="I57" s="2952"/>
      <c r="J57" s="2952"/>
      <c r="K57" s="2957"/>
      <c r="L57" s="2953"/>
      <c r="M57" s="2952"/>
      <c r="N57" s="2952"/>
      <c r="O57" s="2952"/>
      <c r="P57" s="2983"/>
      <c r="Q57" s="2952"/>
      <c r="R57" s="2952"/>
      <c r="S57" s="2952"/>
      <c r="T57" s="2952"/>
      <c r="U57" s="2952"/>
      <c r="V57" s="2952"/>
      <c r="W57" s="2952"/>
      <c r="X57" s="2952"/>
      <c r="Y57" s="2952"/>
      <c r="Z57" s="2952"/>
      <c r="AA57" s="2952"/>
      <c r="AB57" s="2952"/>
      <c r="AC57" s="2952"/>
    </row>
    <row r="58" spans="1:29" ht="21.75" thickBot="1">
      <c r="A58" s="703" t="s">
        <v>2495</v>
      </c>
      <c r="B58" s="699"/>
      <c r="C58" s="704"/>
      <c r="D58" s="704"/>
      <c r="E58" s="704"/>
      <c r="F58" s="705"/>
      <c r="G58" s="705"/>
      <c r="H58" s="704"/>
      <c r="I58" s="704"/>
      <c r="J58" s="704"/>
      <c r="K58" s="706"/>
      <c r="L58" s="1073"/>
      <c r="M58" s="1071"/>
      <c r="N58" s="2996"/>
      <c r="O58" s="2996"/>
      <c r="P58" s="2985"/>
      <c r="Q58" s="2966"/>
      <c r="R58" s="2952"/>
      <c r="S58" s="2952"/>
      <c r="T58" s="2952"/>
      <c r="U58" s="2952"/>
      <c r="V58" s="2952"/>
      <c r="W58" s="2952"/>
      <c r="X58" s="2952"/>
      <c r="Y58" s="2952"/>
      <c r="Z58" s="2952"/>
      <c r="AA58" s="2952"/>
      <c r="AB58" s="2952"/>
      <c r="AC58" s="2952"/>
    </row>
    <row r="59" spans="1:29" s="465" customFormat="1" ht="15">
      <c r="A59" s="462" t="s">
        <v>2369</v>
      </c>
      <c r="B59" s="463"/>
      <c r="C59" s="1346" t="str">
        <f>YEAR(C7)&amp;"-"&amp;MONTH(C7)</f>
        <v>2017-6</v>
      </c>
      <c r="D59" s="1347">
        <f>EDATE(C59,-1)</f>
        <v>42856</v>
      </c>
      <c r="E59" s="1347">
        <f>EDATE(D59,-1)</f>
        <v>42826</v>
      </c>
      <c r="F59" s="1347">
        <f t="shared" ref="F59:O59" si="13">EDATE(E59,-1)</f>
        <v>42795</v>
      </c>
      <c r="G59" s="1347">
        <f t="shared" si="13"/>
        <v>42767</v>
      </c>
      <c r="H59" s="1347">
        <f t="shared" si="13"/>
        <v>42736</v>
      </c>
      <c r="I59" s="1347">
        <f t="shared" si="13"/>
        <v>42705</v>
      </c>
      <c r="J59" s="1347">
        <f t="shared" si="13"/>
        <v>42675</v>
      </c>
      <c r="K59" s="1347">
        <f t="shared" si="13"/>
        <v>42644</v>
      </c>
      <c r="L59" s="1347">
        <f t="shared" si="13"/>
        <v>42614</v>
      </c>
      <c r="M59" s="1347">
        <f t="shared" si="13"/>
        <v>42583</v>
      </c>
      <c r="N59" s="1347">
        <f t="shared" si="13"/>
        <v>42552</v>
      </c>
      <c r="O59" s="1347">
        <f t="shared" si="13"/>
        <v>42522</v>
      </c>
      <c r="P59" s="2986"/>
      <c r="Q59" s="2968"/>
      <c r="R59" s="2968"/>
      <c r="S59" s="2968"/>
      <c r="T59" s="2968"/>
      <c r="U59" s="2968"/>
      <c r="V59" s="2968"/>
      <c r="W59" s="2968"/>
      <c r="X59" s="2968"/>
      <c r="Y59" s="2968"/>
      <c r="Z59" s="2968"/>
      <c r="AA59" s="2968"/>
      <c r="AB59" s="2968"/>
      <c r="AC59" s="2968"/>
    </row>
    <row r="60" spans="1:29" s="113" customFormat="1" ht="15">
      <c r="A60" s="466"/>
      <c r="B60" s="467"/>
      <c r="C60" s="1345">
        <v>100</v>
      </c>
      <c r="D60" s="469">
        <v>100</v>
      </c>
      <c r="E60" s="469">
        <v>100</v>
      </c>
      <c r="F60" s="469">
        <v>100</v>
      </c>
      <c r="G60" s="469">
        <v>100</v>
      </c>
      <c r="H60" s="469">
        <v>100</v>
      </c>
      <c r="I60" s="469">
        <v>99</v>
      </c>
      <c r="J60" s="469">
        <v>99</v>
      </c>
      <c r="K60" s="469">
        <v>99</v>
      </c>
      <c r="L60" s="469">
        <v>99</v>
      </c>
      <c r="M60" s="470">
        <v>99</v>
      </c>
      <c r="N60" s="469">
        <v>99</v>
      </c>
      <c r="O60" s="470"/>
      <c r="P60" s="2987"/>
      <c r="Q60" s="2886"/>
      <c r="R60" s="2886"/>
      <c r="S60" s="2886"/>
      <c r="T60" s="2886"/>
      <c r="U60" s="2886"/>
      <c r="V60" s="2886"/>
      <c r="W60" s="2886"/>
      <c r="X60" s="2886"/>
      <c r="Y60" s="2886"/>
      <c r="Z60" s="2886"/>
      <c r="AA60" s="2886"/>
      <c r="AB60" s="2886"/>
      <c r="AC60" s="2886"/>
    </row>
    <row r="61" spans="1:29" s="113" customFormat="1" ht="15.75" thickBot="1">
      <c r="A61" s="472" t="s">
        <v>2406</v>
      </c>
      <c r="B61" s="473"/>
      <c r="C61" s="474"/>
      <c r="D61" s="475"/>
      <c r="E61" s="475"/>
      <c r="F61" s="475"/>
      <c r="G61" s="475"/>
      <c r="H61" s="475"/>
      <c r="I61" s="475"/>
      <c r="J61" s="475"/>
      <c r="K61" s="475"/>
      <c r="L61" s="475"/>
      <c r="M61" s="476"/>
      <c r="N61" s="475"/>
      <c r="O61" s="476"/>
      <c r="P61" s="2987"/>
      <c r="Q61" s="2966"/>
      <c r="R61" s="2886"/>
      <c r="S61" s="2886"/>
      <c r="T61" s="2886"/>
      <c r="U61" s="2886"/>
      <c r="V61" s="2886"/>
      <c r="W61" s="2886"/>
      <c r="X61" s="2886"/>
      <c r="Y61" s="2886"/>
      <c r="Z61" s="2886"/>
      <c r="AA61" s="2886"/>
      <c r="AB61" s="2886"/>
      <c r="AC61" s="2886"/>
    </row>
    <row r="62" spans="1:29" s="113" customFormat="1" ht="15">
      <c r="A62" s="478" t="s">
        <v>2371</v>
      </c>
      <c r="B62" s="467"/>
      <c r="C62" s="479" t="s">
        <v>2473</v>
      </c>
      <c r="D62" s="480"/>
      <c r="E62" s="480"/>
      <c r="F62" s="480"/>
      <c r="G62" s="480"/>
      <c r="H62" s="480"/>
      <c r="I62" s="480"/>
      <c r="J62" s="480"/>
      <c r="K62" s="480"/>
      <c r="L62" s="481"/>
      <c r="M62" s="482"/>
      <c r="N62" s="2979"/>
      <c r="O62" s="2979"/>
      <c r="P62" s="2988"/>
      <c r="Q62" s="2966"/>
      <c r="R62" s="2886"/>
      <c r="S62" s="2886"/>
      <c r="T62" s="2886"/>
      <c r="U62" s="2886"/>
      <c r="V62" s="2886"/>
      <c r="W62" s="2886"/>
      <c r="X62" s="2886"/>
      <c r="Y62" s="2886"/>
      <c r="Z62" s="2886"/>
      <c r="AA62" s="2886"/>
      <c r="AB62" s="2886"/>
      <c r="AC62" s="2886"/>
    </row>
    <row r="63" spans="1:29" s="113" customFormat="1" ht="15.75" thickBot="1">
      <c r="A63" s="478"/>
      <c r="B63" s="467"/>
      <c r="C63" s="468">
        <v>100</v>
      </c>
      <c r="D63" s="469"/>
      <c r="E63" s="469"/>
      <c r="F63" s="469"/>
      <c r="G63" s="469"/>
      <c r="H63" s="469"/>
      <c r="I63" s="469"/>
      <c r="J63" s="469"/>
      <c r="K63" s="469"/>
      <c r="L63" s="469"/>
      <c r="M63" s="471"/>
      <c r="N63" s="2979"/>
      <c r="O63" s="2979"/>
      <c r="P63" s="2987"/>
      <c r="Q63" s="2966"/>
      <c r="R63" s="2886"/>
      <c r="S63" s="2886"/>
      <c r="T63" s="2886"/>
      <c r="U63" s="2886"/>
      <c r="V63" s="2886"/>
      <c r="W63" s="2886"/>
      <c r="X63" s="2886"/>
      <c r="Y63" s="2886"/>
      <c r="Z63" s="2886"/>
      <c r="AA63" s="2886"/>
      <c r="AB63" s="2886"/>
      <c r="AC63" s="2886"/>
    </row>
    <row r="64" spans="1:29">
      <c r="A64" s="484" t="s">
        <v>2409</v>
      </c>
      <c r="B64" s="485" t="s">
        <v>2375</v>
      </c>
      <c r="C64" s="486" t="str">
        <f>C9</f>
        <v>办公</v>
      </c>
      <c r="D64" s="487"/>
      <c r="E64" s="487"/>
      <c r="F64" s="487"/>
      <c r="G64" s="487"/>
      <c r="H64" s="487"/>
      <c r="I64" s="487"/>
      <c r="J64" s="487"/>
      <c r="K64" s="488"/>
      <c r="L64" s="489"/>
      <c r="M64" s="490"/>
      <c r="N64" s="2980"/>
      <c r="O64" s="2980"/>
      <c r="P64" s="2989"/>
      <c r="Q64" s="2966"/>
      <c r="R64" s="2952"/>
      <c r="S64" s="2952"/>
      <c r="T64" s="2952"/>
      <c r="U64" s="2952"/>
      <c r="V64" s="2952"/>
      <c r="W64" s="2952"/>
      <c r="X64" s="2952"/>
      <c r="Y64" s="2952"/>
      <c r="Z64" s="2952"/>
      <c r="AA64" s="2952"/>
      <c r="AB64" s="2952"/>
      <c r="AC64" s="2952"/>
    </row>
    <row r="65" spans="1:29" ht="15.75" thickBot="1">
      <c r="A65" s="491"/>
      <c r="B65" s="492"/>
      <c r="C65" s="493">
        <v>100</v>
      </c>
      <c r="D65" s="493"/>
      <c r="E65" s="493"/>
      <c r="F65" s="493"/>
      <c r="G65" s="493"/>
      <c r="H65" s="493"/>
      <c r="I65" s="493"/>
      <c r="J65" s="493"/>
      <c r="K65" s="493"/>
      <c r="L65" s="493"/>
      <c r="M65" s="494"/>
      <c r="N65" s="2981"/>
      <c r="O65" s="2981"/>
      <c r="P65" s="2989"/>
      <c r="Q65" s="2966"/>
      <c r="R65" s="2952"/>
      <c r="S65" s="2952"/>
      <c r="T65" s="2952"/>
      <c r="U65" s="2952"/>
      <c r="V65" s="2952"/>
      <c r="W65" s="2952"/>
      <c r="X65" s="2952"/>
      <c r="Y65" s="2952"/>
      <c r="Z65" s="2952"/>
      <c r="AA65" s="2952"/>
      <c r="AB65" s="2952"/>
      <c r="AC65" s="2952"/>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0"/>
      <c r="O66" s="2980"/>
      <c r="P66" s="2989"/>
      <c r="Q66" s="2966"/>
      <c r="R66" s="2952"/>
      <c r="S66" s="2952"/>
      <c r="T66" s="2952"/>
      <c r="U66" s="2952"/>
      <c r="V66" s="2952"/>
      <c r="W66" s="2952"/>
      <c r="X66" s="2952"/>
      <c r="Y66" s="2952"/>
      <c r="Z66" s="2952"/>
      <c r="AA66" s="2952"/>
      <c r="AB66" s="2952"/>
      <c r="AC66" s="295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1"/>
      <c r="O67" s="2981"/>
      <c r="P67" s="2989"/>
      <c r="Q67" s="2966"/>
      <c r="R67" s="2952"/>
      <c r="S67" s="2952"/>
      <c r="T67" s="2952"/>
      <c r="U67" s="2952"/>
      <c r="V67" s="2952"/>
      <c r="W67" s="2952"/>
      <c r="X67" s="2952"/>
      <c r="Y67" s="2952"/>
      <c r="Z67" s="2952"/>
      <c r="AA67" s="2952"/>
      <c r="AB67" s="2952"/>
      <c r="AC67" s="2952"/>
    </row>
    <row r="68" spans="1:29" ht="15.75" thickTop="1">
      <c r="A68" s="491"/>
      <c r="B68" s="503" t="s">
        <v>2379</v>
      </c>
      <c r="C68" s="504" t="str">
        <f>C69&amp;"（含）"&amp;"-"&amp;D69</f>
        <v>0（含）-1</v>
      </c>
      <c r="D68" s="504" t="str">
        <f t="shared" ref="D68:L68" si="14">D69&amp;"（含）"&amp;"-"&amp;E69</f>
        <v>1（含）-2</v>
      </c>
      <c r="E68" s="504" t="str">
        <f t="shared" si="14"/>
        <v>2（含）-3</v>
      </c>
      <c r="F68" s="504" t="str">
        <f t="shared" si="14"/>
        <v>3（含）-</v>
      </c>
      <c r="G68" s="504" t="str">
        <f t="shared" si="14"/>
        <v>（含）-</v>
      </c>
      <c r="H68" s="504" t="str">
        <f t="shared" si="14"/>
        <v>（含）-</v>
      </c>
      <c r="I68" s="504" t="str">
        <f t="shared" si="14"/>
        <v>（含）-</v>
      </c>
      <c r="J68" s="504" t="str">
        <f t="shared" si="14"/>
        <v>（含）-</v>
      </c>
      <c r="K68" s="504" t="str">
        <f t="shared" si="14"/>
        <v>（含）-</v>
      </c>
      <c r="L68" s="504" t="str">
        <f t="shared" si="14"/>
        <v>（含）-</v>
      </c>
      <c r="M68" s="407" t="str">
        <f>M69&amp;"（含）"&amp;"-"&amp;P69</f>
        <v>（含）-</v>
      </c>
      <c r="N68" s="2981"/>
      <c r="O68" s="2981"/>
      <c r="P68" s="2989"/>
      <c r="Q68" s="2966"/>
      <c r="R68" s="2952"/>
      <c r="S68" s="2952"/>
      <c r="T68" s="2952"/>
      <c r="U68" s="2952"/>
      <c r="V68" s="2952"/>
      <c r="W68" s="2952"/>
      <c r="X68" s="2952"/>
      <c r="Y68" s="2952"/>
      <c r="Z68" s="2952"/>
      <c r="AA68" s="2952"/>
      <c r="AB68" s="2952"/>
      <c r="AC68" s="2952"/>
    </row>
    <row r="69" spans="1:29" ht="15">
      <c r="A69" s="491"/>
      <c r="B69" s="505"/>
      <c r="C69" s="506">
        <v>0</v>
      </c>
      <c r="D69" s="506">
        <v>1</v>
      </c>
      <c r="E69" s="506">
        <v>2</v>
      </c>
      <c r="F69" s="506">
        <v>3</v>
      </c>
      <c r="G69" s="506"/>
      <c r="H69" s="506"/>
      <c r="I69" s="506"/>
      <c r="J69" s="506"/>
      <c r="K69" s="507"/>
      <c r="L69" s="508"/>
      <c r="M69" s="509"/>
      <c r="N69" s="2980"/>
      <c r="O69" s="2980"/>
      <c r="P69" s="2989"/>
      <c r="Q69" s="2966"/>
      <c r="R69" s="2952"/>
      <c r="S69" s="2952"/>
      <c r="T69" s="2952"/>
      <c r="U69" s="2952"/>
      <c r="V69" s="2952"/>
      <c r="W69" s="2952"/>
      <c r="X69" s="2952"/>
      <c r="Y69" s="2952"/>
      <c r="Z69" s="2952"/>
      <c r="AA69" s="2952"/>
      <c r="AB69" s="2952"/>
      <c r="AC69" s="2952"/>
    </row>
    <row r="70" spans="1:29" ht="15.75" thickBot="1">
      <c r="A70" s="491"/>
      <c r="B70" s="492"/>
      <c r="C70" s="501">
        <v>100</v>
      </c>
      <c r="D70" s="501">
        <f t="shared" ref="D70:M70" si="15">C70-$K11</f>
        <v>100</v>
      </c>
      <c r="E70" s="501">
        <f t="shared" si="15"/>
        <v>100</v>
      </c>
      <c r="F70" s="501">
        <f t="shared" si="15"/>
        <v>100</v>
      </c>
      <c r="G70" s="501">
        <f t="shared" si="15"/>
        <v>100</v>
      </c>
      <c r="H70" s="501">
        <f t="shared" si="15"/>
        <v>100</v>
      </c>
      <c r="I70" s="501">
        <f t="shared" si="15"/>
        <v>100</v>
      </c>
      <c r="J70" s="501">
        <f t="shared" si="15"/>
        <v>100</v>
      </c>
      <c r="K70" s="501">
        <f t="shared" si="15"/>
        <v>100</v>
      </c>
      <c r="L70" s="501">
        <f t="shared" si="15"/>
        <v>100</v>
      </c>
      <c r="M70" s="502">
        <f t="shared" si="15"/>
        <v>100</v>
      </c>
      <c r="N70" s="2981"/>
      <c r="O70" s="2981"/>
      <c r="P70" s="2989"/>
      <c r="Q70" s="2966"/>
      <c r="R70" s="2952"/>
      <c r="S70" s="2952"/>
      <c r="T70" s="2952"/>
      <c r="U70" s="2952"/>
      <c r="V70" s="2952"/>
      <c r="W70" s="2952"/>
      <c r="X70" s="2952"/>
      <c r="Y70" s="2952"/>
      <c r="Z70" s="2952"/>
      <c r="AA70" s="2952"/>
      <c r="AB70" s="2952"/>
      <c r="AC70" s="2952"/>
    </row>
    <row r="71" spans="1:29" s="430" customFormat="1" ht="15.75" thickTop="1">
      <c r="A71" s="510"/>
      <c r="B71" s="495" t="str">
        <f>B12</f>
        <v>租期</v>
      </c>
      <c r="C71" s="511">
        <v>3</v>
      </c>
      <c r="D71" s="511">
        <v>8</v>
      </c>
      <c r="E71" s="511">
        <v>10</v>
      </c>
      <c r="F71" s="511">
        <v>15</v>
      </c>
      <c r="G71" s="511"/>
      <c r="H71" s="512"/>
      <c r="I71" s="512"/>
      <c r="J71" s="512"/>
      <c r="K71" s="512"/>
      <c r="L71" s="513"/>
      <c r="M71" s="514"/>
      <c r="N71" s="2982"/>
      <c r="O71" s="2982"/>
      <c r="P71" s="2990"/>
      <c r="Q71" s="2973"/>
      <c r="R71" s="2974"/>
      <c r="S71" s="2974"/>
      <c r="T71" s="2974"/>
      <c r="U71" s="2974"/>
      <c r="V71" s="2974"/>
      <c r="W71" s="2974"/>
      <c r="X71" s="2974"/>
      <c r="Y71" s="2974"/>
      <c r="Z71" s="2974"/>
      <c r="AA71" s="2974"/>
      <c r="AB71" s="2974"/>
      <c r="AC71" s="2974"/>
    </row>
    <row r="72" spans="1:29" s="430" customFormat="1" ht="15.75" thickBot="1">
      <c r="A72" s="510"/>
      <c r="B72" s="500"/>
      <c r="C72" s="517">
        <v>100</v>
      </c>
      <c r="D72" s="493">
        <v>98</v>
      </c>
      <c r="E72" s="493">
        <v>98</v>
      </c>
      <c r="F72" s="493">
        <v>96</v>
      </c>
      <c r="G72" s="493"/>
      <c r="H72" s="493"/>
      <c r="I72" s="493"/>
      <c r="J72" s="493"/>
      <c r="K72" s="493"/>
      <c r="L72" s="493"/>
      <c r="M72" s="494"/>
      <c r="N72" s="2981"/>
      <c r="O72" s="2981"/>
      <c r="P72" s="2990"/>
      <c r="Q72" s="2973"/>
      <c r="R72" s="2974"/>
      <c r="S72" s="2974"/>
      <c r="T72" s="2974"/>
      <c r="U72" s="2974"/>
      <c r="V72" s="2974"/>
      <c r="W72" s="2974"/>
      <c r="X72" s="2974"/>
      <c r="Y72" s="2974"/>
      <c r="Z72" s="2974"/>
      <c r="AA72" s="2974"/>
      <c r="AB72" s="2974"/>
      <c r="AC72" s="2974"/>
    </row>
    <row r="73" spans="1:29" s="430" customFormat="1" ht="15.75" thickTop="1">
      <c r="A73" s="510"/>
      <c r="B73" s="495" t="str">
        <f>B13</f>
        <v>产权</v>
      </c>
      <c r="C73" s="3313" t="s">
        <v>4185</v>
      </c>
      <c r="D73" s="3168" t="s">
        <v>4186</v>
      </c>
      <c r="E73" s="511"/>
      <c r="F73" s="511"/>
      <c r="G73" s="511"/>
      <c r="H73" s="512"/>
      <c r="I73" s="512"/>
      <c r="J73" s="512"/>
      <c r="K73" s="512"/>
      <c r="L73" s="513"/>
      <c r="M73" s="514"/>
      <c r="N73" s="2982"/>
      <c r="O73" s="2982"/>
      <c r="P73" s="2991"/>
      <c r="Q73" s="2976"/>
      <c r="R73" s="2974"/>
      <c r="S73" s="2974"/>
      <c r="T73" s="2974"/>
      <c r="U73" s="2974"/>
      <c r="V73" s="2974"/>
      <c r="W73" s="2974"/>
      <c r="X73" s="2974"/>
      <c r="Y73" s="2974"/>
      <c r="Z73" s="2974"/>
      <c r="AA73" s="2974"/>
      <c r="AB73" s="2974"/>
      <c r="AC73" s="2974"/>
    </row>
    <row r="74" spans="1:29" s="430" customFormat="1" ht="15.75" thickBot="1">
      <c r="A74" s="510"/>
      <c r="B74" s="500"/>
      <c r="C74" s="517">
        <v>100</v>
      </c>
      <c r="D74" s="517">
        <v>103</v>
      </c>
      <c r="E74" s="517"/>
      <c r="F74" s="517"/>
      <c r="G74" s="517"/>
      <c r="H74" s="519"/>
      <c r="I74" s="519"/>
      <c r="J74" s="519"/>
      <c r="K74" s="519"/>
      <c r="L74" s="519"/>
      <c r="M74" s="520"/>
      <c r="N74" s="2982"/>
      <c r="O74" s="2982"/>
      <c r="P74" s="2990"/>
      <c r="Q74" s="2973"/>
      <c r="R74" s="2974"/>
      <c r="S74" s="2974"/>
      <c r="T74" s="2974"/>
      <c r="U74" s="2974"/>
      <c r="V74" s="2974"/>
      <c r="W74" s="2974"/>
      <c r="X74" s="2974"/>
      <c r="Y74" s="2974"/>
      <c r="Z74" s="2974"/>
      <c r="AA74" s="2974"/>
      <c r="AB74" s="2974"/>
      <c r="AC74" s="2974"/>
    </row>
    <row r="75" spans="1:29" s="430" customFormat="1" ht="15.75" thickTop="1">
      <c r="A75" s="510"/>
      <c r="B75" s="503">
        <f>B14</f>
        <v>111</v>
      </c>
      <c r="C75" s="480"/>
      <c r="D75" s="480"/>
      <c r="E75" s="480"/>
      <c r="F75" s="480"/>
      <c r="G75" s="480"/>
      <c r="H75" s="521"/>
      <c r="I75" s="521"/>
      <c r="J75" s="521"/>
      <c r="K75" s="521"/>
      <c r="L75" s="522"/>
      <c r="M75" s="523"/>
      <c r="N75" s="2982"/>
      <c r="O75" s="2982"/>
      <c r="P75" s="2992"/>
      <c r="Q75" s="2973"/>
      <c r="R75" s="2974"/>
      <c r="S75" s="2974"/>
      <c r="T75" s="2974"/>
      <c r="U75" s="2974"/>
      <c r="V75" s="2974"/>
      <c r="W75" s="2974"/>
      <c r="X75" s="2974"/>
      <c r="Y75" s="2974"/>
      <c r="Z75" s="2974"/>
      <c r="AA75" s="2974"/>
      <c r="AB75" s="2974"/>
      <c r="AC75" s="2974"/>
    </row>
    <row r="76" spans="1:29" s="430" customFormat="1" ht="15.75" thickBot="1">
      <c r="A76" s="525"/>
      <c r="B76" s="526"/>
      <c r="C76" s="527"/>
      <c r="D76" s="527"/>
      <c r="E76" s="527"/>
      <c r="F76" s="527"/>
      <c r="G76" s="527"/>
      <c r="H76" s="528"/>
      <c r="I76" s="528"/>
      <c r="J76" s="528"/>
      <c r="K76" s="528"/>
      <c r="L76" s="528"/>
      <c r="M76" s="529"/>
      <c r="N76" s="2982"/>
      <c r="O76" s="2982"/>
      <c r="P76" s="2990"/>
      <c r="Q76" s="2973"/>
      <c r="R76" s="2974"/>
      <c r="S76" s="2974"/>
      <c r="T76" s="2974"/>
      <c r="U76" s="2974"/>
      <c r="V76" s="2974"/>
      <c r="W76" s="2974"/>
      <c r="X76" s="2974"/>
      <c r="Y76" s="2974"/>
      <c r="Z76" s="2974"/>
      <c r="AA76" s="2974"/>
      <c r="AB76" s="2974"/>
      <c r="AC76" s="2974"/>
    </row>
    <row r="77" spans="1:29">
      <c r="A77" s="484" t="s">
        <v>2380</v>
      </c>
      <c r="B77" s="485" t="s">
        <v>2517</v>
      </c>
      <c r="C77" s="530" t="s">
        <v>2418</v>
      </c>
      <c r="D77" s="530" t="s">
        <v>2419</v>
      </c>
      <c r="E77" s="530" t="s">
        <v>2420</v>
      </c>
      <c r="F77" s="530" t="s">
        <v>2421</v>
      </c>
      <c r="G77" s="530" t="s">
        <v>2422</v>
      </c>
      <c r="H77" s="486"/>
      <c r="I77" s="486"/>
      <c r="J77" s="486"/>
      <c r="K77" s="531"/>
      <c r="L77" s="532"/>
      <c r="M77" s="533"/>
      <c r="N77" s="2980"/>
      <c r="O77" s="2980"/>
      <c r="P77" s="2993"/>
      <c r="Q77" s="2966"/>
      <c r="R77" s="2952"/>
      <c r="S77" s="2952"/>
      <c r="T77" s="2952"/>
      <c r="U77" s="2952"/>
      <c r="V77" s="2952"/>
      <c r="W77" s="2952"/>
      <c r="X77" s="2952"/>
      <c r="Y77" s="2952"/>
      <c r="Z77" s="2952"/>
      <c r="AA77" s="2952"/>
      <c r="AB77" s="2952"/>
      <c r="AC77" s="2952"/>
    </row>
    <row r="78" spans="1:29" ht="15.75" thickBot="1">
      <c r="A78" s="491"/>
      <c r="B78" s="500"/>
      <c r="C78" s="501">
        <v>100</v>
      </c>
      <c r="D78" s="501">
        <f>C78-$K15</f>
        <v>95</v>
      </c>
      <c r="E78" s="501">
        <f>D78-$K15</f>
        <v>90</v>
      </c>
      <c r="F78" s="501">
        <f>E78-$K15</f>
        <v>85</v>
      </c>
      <c r="G78" s="501">
        <f>F78-$K15</f>
        <v>80</v>
      </c>
      <c r="H78" s="501"/>
      <c r="I78" s="501"/>
      <c r="J78" s="501"/>
      <c r="K78" s="501"/>
      <c r="L78" s="501"/>
      <c r="M78" s="502"/>
      <c r="N78" s="2981"/>
      <c r="O78" s="2981"/>
      <c r="P78" s="2989"/>
      <c r="Q78" s="2966"/>
      <c r="R78" s="2952"/>
      <c r="S78" s="2952"/>
      <c r="T78" s="2952"/>
      <c r="U78" s="2952"/>
      <c r="V78" s="2952"/>
      <c r="W78" s="2952"/>
      <c r="X78" s="2952"/>
      <c r="Y78" s="2952"/>
      <c r="Z78" s="2952"/>
      <c r="AA78" s="2952"/>
      <c r="AB78" s="2952"/>
      <c r="AC78" s="2952"/>
    </row>
    <row r="79" spans="1:29" ht="15.75" thickTop="1">
      <c r="A79" s="491"/>
      <c r="B79" s="495" t="s">
        <v>2423</v>
      </c>
      <c r="C79" s="535" t="s">
        <v>2418</v>
      </c>
      <c r="D79" s="535" t="s">
        <v>2419</v>
      </c>
      <c r="E79" s="535" t="s">
        <v>2420</v>
      </c>
      <c r="F79" s="535" t="s">
        <v>2421</v>
      </c>
      <c r="G79" s="535" t="s">
        <v>2422</v>
      </c>
      <c r="H79" s="496"/>
      <c r="I79" s="496"/>
      <c r="J79" s="496"/>
      <c r="K79" s="497"/>
      <c r="L79" s="498"/>
      <c r="M79" s="499"/>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C80-$K17</f>
        <v>98</v>
      </c>
      <c r="E80" s="501">
        <f>D80-$K17</f>
        <v>96</v>
      </c>
      <c r="F80" s="501">
        <f>E80-$K17</f>
        <v>94</v>
      </c>
      <c r="G80" s="501">
        <f>F80-$K17</f>
        <v>92</v>
      </c>
      <c r="H80" s="501"/>
      <c r="I80" s="501"/>
      <c r="J80" s="501"/>
      <c r="K80" s="501"/>
      <c r="L80" s="501"/>
      <c r="M80" s="502"/>
      <c r="N80" s="2981"/>
      <c r="O80" s="2981"/>
      <c r="P80" s="2989"/>
      <c r="Q80" s="2966"/>
      <c r="R80" s="2952"/>
      <c r="S80" s="2952"/>
      <c r="T80" s="2952"/>
      <c r="U80" s="2952"/>
      <c r="V80" s="2952"/>
      <c r="W80" s="2952"/>
      <c r="X80" s="2952"/>
      <c r="Y80" s="2952"/>
      <c r="Z80" s="2952"/>
      <c r="AA80" s="2952"/>
      <c r="AB80" s="2952"/>
      <c r="AC80" s="2952"/>
    </row>
    <row r="81" spans="1:29" ht="15.75" thickTop="1">
      <c r="A81" s="491"/>
      <c r="B81" s="495" t="s">
        <v>2424</v>
      </c>
      <c r="C81" s="535" t="s">
        <v>2418</v>
      </c>
      <c r="D81" s="535" t="s">
        <v>2419</v>
      </c>
      <c r="E81" s="535" t="s">
        <v>2420</v>
      </c>
      <c r="F81" s="535" t="s">
        <v>2421</v>
      </c>
      <c r="G81" s="535" t="s">
        <v>2422</v>
      </c>
      <c r="H81" s="496"/>
      <c r="I81" s="496"/>
      <c r="J81" s="496"/>
      <c r="K81" s="497"/>
      <c r="L81" s="498"/>
      <c r="M81" s="499"/>
      <c r="N81" s="2980"/>
      <c r="O81" s="2980"/>
      <c r="P81" s="2989"/>
      <c r="Q81" s="2966"/>
      <c r="R81" s="2952"/>
      <c r="S81" s="2952"/>
      <c r="T81" s="2952"/>
      <c r="U81" s="2952"/>
      <c r="V81" s="2952"/>
      <c r="W81" s="2952"/>
      <c r="X81" s="2952"/>
      <c r="Y81" s="2952"/>
      <c r="Z81" s="2952"/>
      <c r="AA81" s="2952"/>
      <c r="AB81" s="2952"/>
      <c r="AC81" s="2952"/>
    </row>
    <row r="82" spans="1:29" ht="15.75" thickBot="1">
      <c r="A82" s="491"/>
      <c r="B82" s="500"/>
      <c r="C82" s="501">
        <v>100</v>
      </c>
      <c r="D82" s="501">
        <f>C82-$K19</f>
        <v>98</v>
      </c>
      <c r="E82" s="501">
        <f>D82-$K19</f>
        <v>96</v>
      </c>
      <c r="F82" s="501">
        <f>E82-$K19</f>
        <v>94</v>
      </c>
      <c r="G82" s="501">
        <f>F82-$K19</f>
        <v>92</v>
      </c>
      <c r="H82" s="501"/>
      <c r="I82" s="501"/>
      <c r="J82" s="501"/>
      <c r="K82" s="501"/>
      <c r="L82" s="501"/>
      <c r="M82" s="502"/>
      <c r="N82" s="2981"/>
      <c r="O82" s="2981"/>
      <c r="P82" s="2989"/>
      <c r="Q82" s="2966"/>
      <c r="R82" s="2952"/>
      <c r="S82" s="2952"/>
      <c r="T82" s="2952"/>
      <c r="U82" s="2952"/>
      <c r="V82" s="2952"/>
      <c r="W82" s="2952"/>
      <c r="X82" s="2952"/>
      <c r="Y82" s="2952"/>
      <c r="Z82" s="2952"/>
      <c r="AA82" s="2952"/>
      <c r="AB82" s="2952"/>
      <c r="AC82" s="2952"/>
    </row>
    <row r="83" spans="1:29" ht="15.75" thickTop="1">
      <c r="A83" s="491"/>
      <c r="B83" s="503" t="s">
        <v>2510</v>
      </c>
      <c r="C83" s="616" t="s">
        <v>2496</v>
      </c>
      <c r="D83" s="616" t="s">
        <v>2497</v>
      </c>
      <c r="E83" s="616" t="s">
        <v>2498</v>
      </c>
      <c r="F83" s="616" t="s">
        <v>2499</v>
      </c>
      <c r="G83" s="616" t="s">
        <v>2500</v>
      </c>
      <c r="H83" s="496"/>
      <c r="I83" s="496"/>
      <c r="J83" s="496"/>
      <c r="K83" s="496"/>
      <c r="L83" s="496"/>
      <c r="M83" s="1291"/>
      <c r="N83" s="2981"/>
      <c r="O83" s="2981"/>
      <c r="P83" s="2989"/>
      <c r="Q83" s="2966"/>
      <c r="R83" s="2952"/>
      <c r="S83" s="2952"/>
      <c r="T83" s="2952"/>
      <c r="U83" s="2952"/>
      <c r="V83" s="2952"/>
      <c r="W83" s="2952"/>
      <c r="X83" s="2952"/>
      <c r="Y83" s="2952"/>
      <c r="Z83" s="2952"/>
      <c r="AA83" s="2952"/>
      <c r="AB83" s="2952"/>
      <c r="AC83" s="2952"/>
    </row>
    <row r="84" spans="1:29" ht="15.75" thickBot="1">
      <c r="A84" s="491"/>
      <c r="B84" s="503"/>
      <c r="C84" s="501">
        <v>100</v>
      </c>
      <c r="D84" s="501">
        <f>C84-$K21</f>
        <v>98</v>
      </c>
      <c r="E84" s="501">
        <f>D84-$K21</f>
        <v>96</v>
      </c>
      <c r="F84" s="501">
        <f>E84-$K21</f>
        <v>94</v>
      </c>
      <c r="G84" s="501">
        <f>F84-$K21</f>
        <v>92</v>
      </c>
      <c r="H84" s="616"/>
      <c r="I84" s="616"/>
      <c r="J84" s="616"/>
      <c r="K84" s="616"/>
      <c r="L84" s="616"/>
      <c r="M84" s="409"/>
      <c r="N84" s="2981"/>
      <c r="O84" s="2981"/>
      <c r="P84" s="2989"/>
      <c r="Q84" s="2966"/>
      <c r="R84" s="2952"/>
      <c r="S84" s="2952"/>
      <c r="T84" s="2952"/>
      <c r="U84" s="2952"/>
      <c r="V84" s="2952"/>
      <c r="W84" s="2952"/>
      <c r="X84" s="2952"/>
      <c r="Y84" s="2952"/>
      <c r="Z84" s="2952"/>
      <c r="AA84" s="2952"/>
      <c r="AB84" s="2952"/>
      <c r="AC84" s="2952"/>
    </row>
    <row r="85" spans="1:29" ht="15.75" thickTop="1">
      <c r="A85" s="491"/>
      <c r="B85" s="495" t="s">
        <v>2518</v>
      </c>
      <c r="C85" s="535" t="s">
        <v>2418</v>
      </c>
      <c r="D85" s="535" t="s">
        <v>2419</v>
      </c>
      <c r="E85" s="535" t="s">
        <v>2420</v>
      </c>
      <c r="F85" s="535" t="s">
        <v>2421</v>
      </c>
      <c r="G85" s="535" t="s">
        <v>2422</v>
      </c>
      <c r="H85" s="496"/>
      <c r="I85" s="496"/>
      <c r="J85" s="496"/>
      <c r="K85" s="497"/>
      <c r="L85" s="498"/>
      <c r="M85" s="499"/>
      <c r="N85" s="2980"/>
      <c r="O85" s="2980"/>
      <c r="P85" s="2989"/>
      <c r="Q85" s="2966"/>
      <c r="R85" s="2952"/>
      <c r="S85" s="2952"/>
      <c r="T85" s="2952"/>
      <c r="U85" s="2952"/>
      <c r="V85" s="2952"/>
      <c r="W85" s="2952"/>
      <c r="X85" s="2952"/>
      <c r="Y85" s="2952"/>
      <c r="Z85" s="2952"/>
      <c r="AA85" s="2952"/>
      <c r="AB85" s="2952"/>
      <c r="AC85" s="2952"/>
    </row>
    <row r="86" spans="1:29" ht="15.75" thickBot="1">
      <c r="A86" s="491"/>
      <c r="B86" s="500"/>
      <c r="C86" s="501">
        <v>100</v>
      </c>
      <c r="D86" s="501">
        <f>C86-$K23</f>
        <v>98</v>
      </c>
      <c r="E86" s="501">
        <f>D86-$K23</f>
        <v>96</v>
      </c>
      <c r="F86" s="501">
        <f>E86-$K23</f>
        <v>94</v>
      </c>
      <c r="G86" s="501">
        <f>F86-$K23</f>
        <v>92</v>
      </c>
      <c r="H86" s="501"/>
      <c r="I86" s="501"/>
      <c r="J86" s="501"/>
      <c r="K86" s="501"/>
      <c r="L86" s="501"/>
      <c r="M86" s="502"/>
      <c r="N86" s="2981"/>
      <c r="O86" s="2981"/>
      <c r="P86" s="2989"/>
      <c r="Q86" s="2966"/>
      <c r="R86" s="2952"/>
      <c r="S86" s="2952"/>
      <c r="T86" s="2952"/>
      <c r="U86" s="2952"/>
      <c r="V86" s="2952"/>
      <c r="W86" s="2952"/>
      <c r="X86" s="2952"/>
      <c r="Y86" s="2952"/>
      <c r="Z86" s="2952"/>
      <c r="AA86" s="2952"/>
      <c r="AB86" s="2952"/>
      <c r="AC86" s="2952"/>
    </row>
    <row r="87" spans="1:29" s="113" customFormat="1" ht="27.75" thickTop="1">
      <c r="A87" s="536"/>
      <c r="B87" s="495" t="s">
        <v>2519</v>
      </c>
      <c r="C87" s="3168" t="s">
        <v>3481</v>
      </c>
      <c r="D87" s="3168" t="s">
        <v>3477</v>
      </c>
      <c r="E87" s="3168" t="s">
        <v>3478</v>
      </c>
      <c r="F87" s="511"/>
      <c r="G87" s="511"/>
      <c r="H87" s="511"/>
      <c r="I87" s="511"/>
      <c r="J87" s="511"/>
      <c r="K87" s="511"/>
      <c r="L87" s="537"/>
      <c r="M87" s="538"/>
      <c r="N87" s="2979"/>
      <c r="O87" s="2979"/>
      <c r="P87" s="2989"/>
      <c r="Q87" s="2966"/>
      <c r="R87" s="2886"/>
      <c r="S87" s="2886"/>
      <c r="T87" s="2886"/>
      <c r="U87" s="2886"/>
      <c r="V87" s="2886"/>
      <c r="W87" s="2886"/>
      <c r="X87" s="2886"/>
      <c r="Y87" s="2886"/>
      <c r="Z87" s="2886"/>
      <c r="AA87" s="2886"/>
      <c r="AB87" s="2886"/>
      <c r="AC87" s="2886"/>
    </row>
    <row r="88" spans="1:29" s="113" customFormat="1" ht="15.75" thickBot="1">
      <c r="A88" s="536"/>
      <c r="B88" s="500"/>
      <c r="C88" s="539">
        <v>100</v>
      </c>
      <c r="D88" s="501">
        <f t="shared" ref="D88:M88" si="16">C88-$K25</f>
        <v>99</v>
      </c>
      <c r="E88" s="501">
        <f t="shared" si="16"/>
        <v>98</v>
      </c>
      <c r="F88" s="501">
        <f t="shared" si="16"/>
        <v>97</v>
      </c>
      <c r="G88" s="501">
        <f t="shared" si="16"/>
        <v>96</v>
      </c>
      <c r="H88" s="501">
        <f t="shared" si="16"/>
        <v>95</v>
      </c>
      <c r="I88" s="501">
        <f t="shared" si="16"/>
        <v>94</v>
      </c>
      <c r="J88" s="501">
        <f t="shared" si="16"/>
        <v>93</v>
      </c>
      <c r="K88" s="501">
        <f t="shared" si="16"/>
        <v>92</v>
      </c>
      <c r="L88" s="501">
        <f t="shared" si="16"/>
        <v>91</v>
      </c>
      <c r="M88" s="501">
        <f t="shared" si="16"/>
        <v>90</v>
      </c>
      <c r="N88" s="2981"/>
      <c r="O88" s="2981"/>
      <c r="P88" s="2989"/>
      <c r="Q88" s="2966"/>
      <c r="R88" s="2886"/>
      <c r="S88" s="2886"/>
      <c r="T88" s="2886"/>
      <c r="U88" s="2886"/>
      <c r="V88" s="2886"/>
      <c r="W88" s="2886"/>
      <c r="X88" s="2886"/>
      <c r="Y88" s="2886"/>
      <c r="Z88" s="2886"/>
      <c r="AA88" s="2886"/>
      <c r="AB88" s="2886"/>
      <c r="AC88" s="2886"/>
    </row>
    <row r="89" spans="1:29" s="113" customFormat="1" ht="15.75" thickTop="1">
      <c r="A89" s="536"/>
      <c r="B89" s="495" t="str">
        <f>B27</f>
        <v>楼层</v>
      </c>
      <c r="C89" s="3168" t="s">
        <v>4246</v>
      </c>
      <c r="D89" s="3168" t="s">
        <v>4248</v>
      </c>
      <c r="E89" s="3168" t="s">
        <v>4250</v>
      </c>
      <c r="F89" s="2113"/>
      <c r="G89" s="511"/>
      <c r="H89" s="511"/>
      <c r="I89" s="511"/>
      <c r="J89" s="511"/>
      <c r="K89" s="511"/>
      <c r="L89" s="511"/>
      <c r="M89" s="538"/>
      <c r="N89" s="2979"/>
      <c r="O89" s="2979"/>
      <c r="P89" s="2989"/>
      <c r="Q89" s="2966"/>
      <c r="R89" s="2886"/>
      <c r="S89" s="2886"/>
      <c r="T89" s="2886"/>
      <c r="U89" s="2886"/>
      <c r="V89" s="2886"/>
      <c r="W89" s="2886"/>
      <c r="X89" s="2886"/>
      <c r="Y89" s="2886"/>
      <c r="Z89" s="2886"/>
      <c r="AA89" s="2886"/>
      <c r="AB89" s="2886"/>
      <c r="AC89" s="2886"/>
    </row>
    <row r="90" spans="1:29" s="113" customFormat="1" ht="15.75" thickBot="1">
      <c r="A90" s="536"/>
      <c r="B90" s="500"/>
      <c r="C90" s="539">
        <v>100</v>
      </c>
      <c r="D90" s="501">
        <f>C90-$K27</f>
        <v>98</v>
      </c>
      <c r="E90" s="501">
        <f t="shared" ref="E90:M90" si="17">D90-$K27</f>
        <v>96</v>
      </c>
      <c r="F90" s="501">
        <f t="shared" si="17"/>
        <v>94</v>
      </c>
      <c r="G90" s="501">
        <f t="shared" si="17"/>
        <v>92</v>
      </c>
      <c r="H90" s="501">
        <f t="shared" si="17"/>
        <v>90</v>
      </c>
      <c r="I90" s="501">
        <f t="shared" si="17"/>
        <v>88</v>
      </c>
      <c r="J90" s="501">
        <f t="shared" si="17"/>
        <v>86</v>
      </c>
      <c r="K90" s="501">
        <f t="shared" si="17"/>
        <v>84</v>
      </c>
      <c r="L90" s="501">
        <f t="shared" si="17"/>
        <v>82</v>
      </c>
      <c r="M90" s="501">
        <f t="shared" si="17"/>
        <v>80</v>
      </c>
      <c r="N90" s="2981"/>
      <c r="O90" s="2981"/>
      <c r="P90" s="2989"/>
      <c r="Q90" s="2966"/>
      <c r="R90" s="2886"/>
      <c r="S90" s="2886"/>
      <c r="T90" s="2886"/>
      <c r="U90" s="2886"/>
      <c r="V90" s="2886"/>
      <c r="W90" s="2886"/>
      <c r="X90" s="2886"/>
      <c r="Y90" s="2886"/>
      <c r="Z90" s="2886"/>
      <c r="AA90" s="2886"/>
      <c r="AB90" s="2886"/>
      <c r="AC90" s="2886"/>
    </row>
    <row r="91" spans="1:29" s="430" customFormat="1" ht="15.75" thickTop="1">
      <c r="A91" s="510"/>
      <c r="B91" s="495" t="str">
        <f>B28</f>
        <v>朝向</v>
      </c>
      <c r="C91" s="511"/>
      <c r="D91" s="511"/>
      <c r="E91" s="511"/>
      <c r="F91" s="511"/>
      <c r="G91" s="511"/>
      <c r="H91" s="512"/>
      <c r="I91" s="512"/>
      <c r="J91" s="512"/>
      <c r="K91" s="512"/>
      <c r="L91" s="513"/>
      <c r="M91" s="514"/>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39">
        <v>100</v>
      </c>
      <c r="D92" s="501">
        <f t="shared" ref="D92:M92" si="18">C92-$K28</f>
        <v>100</v>
      </c>
      <c r="E92" s="501">
        <f t="shared" si="18"/>
        <v>100</v>
      </c>
      <c r="F92" s="501">
        <f t="shared" si="18"/>
        <v>100</v>
      </c>
      <c r="G92" s="501">
        <f t="shared" si="18"/>
        <v>100</v>
      </c>
      <c r="H92" s="501">
        <f t="shared" si="18"/>
        <v>100</v>
      </c>
      <c r="I92" s="501">
        <f t="shared" si="18"/>
        <v>100</v>
      </c>
      <c r="J92" s="501">
        <f t="shared" si="18"/>
        <v>100</v>
      </c>
      <c r="K92" s="501">
        <f t="shared" si="18"/>
        <v>100</v>
      </c>
      <c r="L92" s="501">
        <f t="shared" si="18"/>
        <v>100</v>
      </c>
      <c r="M92" s="501">
        <f t="shared" si="18"/>
        <v>100</v>
      </c>
      <c r="N92" s="2982"/>
      <c r="O92" s="2982"/>
      <c r="P92" s="2990"/>
      <c r="Q92" s="2973"/>
      <c r="R92" s="2974"/>
      <c r="S92" s="2974"/>
      <c r="T92" s="2974"/>
      <c r="U92" s="2974"/>
      <c r="V92" s="2974"/>
      <c r="W92" s="2974"/>
      <c r="X92" s="2974"/>
      <c r="Y92" s="2974"/>
      <c r="Z92" s="2974"/>
      <c r="AA92" s="2974"/>
      <c r="AB92" s="2974"/>
      <c r="AC92" s="2974"/>
    </row>
    <row r="93" spans="1:29" ht="15.75" thickTop="1">
      <c r="A93" s="491"/>
      <c r="B93" s="495">
        <f>B29</f>
        <v>0</v>
      </c>
      <c r="C93" s="3168" t="s">
        <v>4022</v>
      </c>
      <c r="D93" s="3168" t="s">
        <v>4023</v>
      </c>
      <c r="E93" s="3168" t="s">
        <v>4024</v>
      </c>
      <c r="F93" s="511"/>
      <c r="G93" s="511"/>
      <c r="H93" s="511"/>
      <c r="I93" s="511"/>
      <c r="J93" s="511"/>
      <c r="K93" s="511"/>
      <c r="L93" s="537"/>
      <c r="M93" s="538"/>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17">
        <v>100</v>
      </c>
      <c r="D94" s="493">
        <v>95</v>
      </c>
      <c r="E94" s="493">
        <v>90</v>
      </c>
      <c r="F94" s="493"/>
      <c r="G94" s="493"/>
      <c r="H94" s="493"/>
      <c r="I94" s="493"/>
      <c r="J94" s="493"/>
      <c r="K94" s="493"/>
      <c r="L94" s="493"/>
      <c r="M94" s="494"/>
      <c r="N94" s="2981"/>
      <c r="O94" s="2981"/>
      <c r="P94" s="2989"/>
      <c r="Q94" s="2966"/>
      <c r="R94" s="2952"/>
      <c r="S94" s="2952"/>
      <c r="T94" s="2952"/>
      <c r="U94" s="2952"/>
      <c r="V94" s="2952"/>
      <c r="W94" s="2952"/>
      <c r="X94" s="2952"/>
      <c r="Y94" s="2952"/>
      <c r="Z94" s="2952"/>
      <c r="AA94" s="2952"/>
      <c r="AB94" s="2952"/>
      <c r="AC94" s="2952"/>
    </row>
    <row r="95" spans="1:29" ht="15.75" thickTop="1">
      <c r="A95" s="491"/>
      <c r="B95" s="495">
        <f>B30</f>
        <v>111</v>
      </c>
      <c r="C95" s="511"/>
      <c r="D95" s="511"/>
      <c r="E95" s="511"/>
      <c r="F95" s="511"/>
      <c r="G95" s="540"/>
      <c r="H95" s="540"/>
      <c r="I95" s="540"/>
      <c r="J95" s="540"/>
      <c r="K95" s="541"/>
      <c r="L95" s="542"/>
      <c r="M95" s="543"/>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17"/>
      <c r="D96" s="517"/>
      <c r="E96" s="517"/>
      <c r="F96" s="517"/>
      <c r="G96" s="493"/>
      <c r="H96" s="493"/>
      <c r="I96" s="493"/>
      <c r="J96" s="493"/>
      <c r="K96" s="493"/>
      <c r="L96" s="493"/>
      <c r="M96" s="494"/>
      <c r="N96" s="2981"/>
      <c r="O96" s="2981"/>
      <c r="P96" s="2989"/>
      <c r="Q96" s="2966"/>
      <c r="R96" s="2952"/>
      <c r="S96" s="2952"/>
      <c r="T96" s="2952"/>
      <c r="U96" s="2952"/>
      <c r="V96" s="2952"/>
      <c r="W96" s="2952"/>
      <c r="X96" s="2952"/>
      <c r="Y96" s="2952"/>
      <c r="Z96" s="2952"/>
      <c r="AA96" s="2952"/>
      <c r="AB96" s="2952"/>
      <c r="AC96" s="2952"/>
    </row>
    <row r="97" spans="1:29" ht="15.75" thickTop="1">
      <c r="A97" s="491"/>
      <c r="B97" s="495">
        <f>B31</f>
        <v>111</v>
      </c>
      <c r="C97" s="511"/>
      <c r="D97" s="511"/>
      <c r="E97" s="511"/>
      <c r="F97" s="511"/>
      <c r="G97" s="540"/>
      <c r="H97" s="540"/>
      <c r="I97" s="540"/>
      <c r="J97" s="540"/>
      <c r="K97" s="541"/>
      <c r="L97" s="542"/>
      <c r="M97" s="543"/>
      <c r="N97" s="2980"/>
      <c r="O97" s="2980"/>
      <c r="P97" s="2989"/>
      <c r="Q97" s="2966"/>
      <c r="R97" s="2952"/>
      <c r="S97" s="2952"/>
      <c r="T97" s="2952"/>
      <c r="U97" s="2952"/>
      <c r="V97" s="2952"/>
      <c r="W97" s="2952"/>
      <c r="X97" s="2952"/>
      <c r="Y97" s="2952"/>
      <c r="Z97" s="2952"/>
      <c r="AA97" s="2952"/>
      <c r="AB97" s="2952"/>
      <c r="AC97" s="2952"/>
    </row>
    <row r="98" spans="1:29" ht="15.75" thickBot="1">
      <c r="A98" s="491"/>
      <c r="B98" s="500"/>
      <c r="C98" s="517"/>
      <c r="D98" s="493"/>
      <c r="E98" s="493"/>
      <c r="F98" s="493"/>
      <c r="G98" s="493"/>
      <c r="H98" s="493"/>
      <c r="I98" s="493"/>
      <c r="J98" s="493"/>
      <c r="K98" s="493"/>
      <c r="L98" s="493"/>
      <c r="M98" s="494"/>
      <c r="N98" s="2981"/>
      <c r="O98" s="2981"/>
      <c r="P98" s="2989"/>
      <c r="Q98" s="2966"/>
      <c r="R98" s="2952"/>
      <c r="S98" s="2952"/>
      <c r="T98" s="2952"/>
      <c r="U98" s="2952"/>
      <c r="V98" s="2952"/>
      <c r="W98" s="2952"/>
      <c r="X98" s="2952"/>
      <c r="Y98" s="2952"/>
      <c r="Z98" s="2952"/>
      <c r="AA98" s="2952"/>
      <c r="AB98" s="2952"/>
      <c r="AC98" s="2952"/>
    </row>
    <row r="99" spans="1:29" ht="15.75" thickTop="1">
      <c r="A99" s="491"/>
      <c r="B99" s="503">
        <f>B32</f>
        <v>111</v>
      </c>
      <c r="C99" s="480"/>
      <c r="D99" s="480"/>
      <c r="E99" s="480"/>
      <c r="F99" s="480"/>
      <c r="G99" s="544"/>
      <c r="H99" s="544"/>
      <c r="I99" s="544"/>
      <c r="J99" s="544"/>
      <c r="K99" s="545"/>
      <c r="L99" s="546"/>
      <c r="M99" s="547"/>
      <c r="N99" s="2980"/>
      <c r="O99" s="2980"/>
      <c r="P99" s="2989"/>
      <c r="Q99" s="2966"/>
      <c r="R99" s="2952"/>
      <c r="S99" s="2952"/>
      <c r="T99" s="2952"/>
      <c r="U99" s="2952"/>
      <c r="V99" s="2952"/>
      <c r="W99" s="2952"/>
      <c r="X99" s="2952"/>
      <c r="Y99" s="2952"/>
      <c r="Z99" s="2952"/>
      <c r="AA99" s="2952"/>
      <c r="AB99" s="2952"/>
      <c r="AC99" s="2952"/>
    </row>
    <row r="100" spans="1:29" ht="15.75" thickBot="1">
      <c r="A100" s="2114"/>
      <c r="B100" s="526"/>
      <c r="C100" s="527"/>
      <c r="D100" s="527"/>
      <c r="E100" s="527"/>
      <c r="F100" s="527"/>
      <c r="G100" s="548"/>
      <c r="H100" s="548"/>
      <c r="I100" s="548"/>
      <c r="J100" s="548"/>
      <c r="K100" s="548"/>
      <c r="L100" s="548"/>
      <c r="M100" s="549"/>
      <c r="N100" s="2981"/>
      <c r="O100" s="2981"/>
      <c r="P100" s="2989"/>
      <c r="Q100" s="2966"/>
      <c r="R100" s="2952"/>
      <c r="S100" s="2952"/>
      <c r="T100" s="2952"/>
      <c r="U100" s="2952"/>
      <c r="V100" s="2952"/>
      <c r="W100" s="2952"/>
      <c r="X100" s="2952"/>
      <c r="Y100" s="2952"/>
      <c r="Z100" s="2952"/>
      <c r="AA100" s="2952"/>
      <c r="AB100" s="2952"/>
      <c r="AC100" s="2952"/>
    </row>
    <row r="101" spans="1:29">
      <c r="A101" s="484" t="s">
        <v>2384</v>
      </c>
      <c r="B101" s="485" t="s">
        <v>2433</v>
      </c>
      <c r="C101" s="3183" t="s">
        <v>4174</v>
      </c>
      <c r="D101" s="3183" t="s">
        <v>4173</v>
      </c>
      <c r="E101" s="487"/>
      <c r="F101" s="487"/>
      <c r="G101" s="487"/>
      <c r="H101" s="487"/>
      <c r="I101" s="487"/>
      <c r="J101" s="487"/>
      <c r="K101" s="488"/>
      <c r="L101" s="489"/>
      <c r="M101" s="490"/>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01">
        <v>100</v>
      </c>
      <c r="D102" s="501">
        <f t="shared" ref="D102:M102" si="19">C102-$K33</f>
        <v>95</v>
      </c>
      <c r="E102" s="501">
        <f t="shared" si="19"/>
        <v>90</v>
      </c>
      <c r="F102" s="501">
        <f t="shared" si="19"/>
        <v>85</v>
      </c>
      <c r="G102" s="501">
        <f t="shared" si="19"/>
        <v>80</v>
      </c>
      <c r="H102" s="501">
        <f t="shared" si="19"/>
        <v>75</v>
      </c>
      <c r="I102" s="501">
        <f t="shared" si="19"/>
        <v>70</v>
      </c>
      <c r="J102" s="501">
        <f t="shared" si="19"/>
        <v>65</v>
      </c>
      <c r="K102" s="501">
        <f t="shared" si="19"/>
        <v>60</v>
      </c>
      <c r="L102" s="501">
        <f t="shared" si="19"/>
        <v>55</v>
      </c>
      <c r="M102" s="502">
        <f t="shared" si="19"/>
        <v>50</v>
      </c>
      <c r="N102" s="2981"/>
      <c r="O102" s="2981"/>
      <c r="P102" s="2989"/>
      <c r="Q102" s="2966"/>
      <c r="R102" s="2952"/>
      <c r="S102" s="2952"/>
      <c r="T102" s="2952"/>
      <c r="U102" s="2952"/>
      <c r="V102" s="2952"/>
      <c r="W102" s="2952"/>
      <c r="X102" s="2952"/>
      <c r="Y102" s="2952"/>
      <c r="Z102" s="2952"/>
      <c r="AA102" s="2952"/>
      <c r="AB102" s="2952"/>
      <c r="AC102" s="2952"/>
    </row>
    <row r="103" spans="1:29" ht="29.25" thickTop="1">
      <c r="A103" s="491"/>
      <c r="B103" s="495" t="s">
        <v>2434</v>
      </c>
      <c r="C103" s="535" t="str">
        <f>C104&amp;"(含)"&amp;"-"&amp;D104</f>
        <v>0(含)-20000</v>
      </c>
      <c r="D103" s="535" t="str">
        <f t="shared" ref="D103:L103" si="20">D104&amp;"(含)"&amp;"-"&amp;E104</f>
        <v>20000(含)-50000</v>
      </c>
      <c r="E103" s="535" t="str">
        <f t="shared" si="20"/>
        <v>50000(含)-100000</v>
      </c>
      <c r="F103" s="535" t="str">
        <f t="shared" si="20"/>
        <v>100000(含)-150000</v>
      </c>
      <c r="G103" s="535" t="str">
        <f t="shared" si="20"/>
        <v>150000(含)-</v>
      </c>
      <c r="H103" s="535" t="str">
        <f t="shared" si="20"/>
        <v>(含)-</v>
      </c>
      <c r="I103" s="535" t="str">
        <f t="shared" si="20"/>
        <v>(含)-</v>
      </c>
      <c r="J103" s="535" t="str">
        <f t="shared" si="20"/>
        <v>(含)-</v>
      </c>
      <c r="K103" s="535" t="str">
        <f t="shared" si="20"/>
        <v>(含)-</v>
      </c>
      <c r="L103" s="535" t="str">
        <f t="shared" si="20"/>
        <v>(含)-</v>
      </c>
      <c r="M103" s="578" t="str">
        <f>M104&amp;"(含)"&amp;"-"&amp;P104</f>
        <v>(含)-</v>
      </c>
      <c r="N103" s="2979"/>
      <c r="O103" s="2979"/>
      <c r="P103" s="2989"/>
      <c r="Q103" s="2966"/>
      <c r="R103" s="2952"/>
      <c r="S103" s="2952"/>
      <c r="T103" s="2952"/>
      <c r="U103" s="2952"/>
      <c r="V103" s="2952"/>
      <c r="W103" s="2952"/>
      <c r="X103" s="2952"/>
      <c r="Y103" s="2952"/>
      <c r="Z103" s="2952"/>
      <c r="AA103" s="2952"/>
      <c r="AB103" s="2952"/>
      <c r="AC103" s="2952"/>
    </row>
    <row r="104" spans="1:29" s="430" customFormat="1">
      <c r="A104" s="550"/>
      <c r="B104" s="551"/>
      <c r="C104" s="552">
        <v>0</v>
      </c>
      <c r="D104" s="552">
        <v>20000</v>
      </c>
      <c r="E104" s="552">
        <v>50000</v>
      </c>
      <c r="F104" s="552">
        <v>100000</v>
      </c>
      <c r="G104" s="552">
        <v>150000</v>
      </c>
      <c r="H104" s="552"/>
      <c r="I104" s="552"/>
      <c r="J104" s="553"/>
      <c r="K104" s="553"/>
      <c r="L104" s="554"/>
      <c r="M104" s="555"/>
      <c r="N104" s="2982"/>
      <c r="O104" s="2982"/>
      <c r="P104" s="2990"/>
      <c r="Q104" s="2973"/>
      <c r="R104" s="2974"/>
      <c r="S104" s="2974"/>
      <c r="T104" s="2974"/>
      <c r="U104" s="2974"/>
      <c r="V104" s="2974"/>
      <c r="W104" s="2974"/>
      <c r="X104" s="2974"/>
      <c r="Y104" s="2974"/>
      <c r="Z104" s="2974"/>
      <c r="AA104" s="2974"/>
      <c r="AB104" s="2974"/>
      <c r="AC104" s="2974"/>
    </row>
    <row r="105" spans="1:29" s="430" customFormat="1" ht="15.75" thickBot="1">
      <c r="A105" s="510"/>
      <c r="B105" s="500"/>
      <c r="C105" s="517">
        <v>100</v>
      </c>
      <c r="D105" s="493">
        <v>101</v>
      </c>
      <c r="E105" s="493">
        <v>102</v>
      </c>
      <c r="F105" s="493">
        <v>103</v>
      </c>
      <c r="G105" s="493">
        <v>104</v>
      </c>
      <c r="H105" s="493"/>
      <c r="I105" s="493"/>
      <c r="J105" s="493"/>
      <c r="K105" s="493"/>
      <c r="L105" s="493"/>
      <c r="M105" s="494"/>
      <c r="N105" s="2981"/>
      <c r="O105" s="2981"/>
      <c r="P105" s="2990"/>
      <c r="Q105" s="2973"/>
      <c r="R105" s="2974"/>
      <c r="S105" s="2974"/>
      <c r="T105" s="2974"/>
      <c r="U105" s="2974"/>
      <c r="V105" s="2974"/>
      <c r="W105" s="2974"/>
      <c r="X105" s="2974"/>
      <c r="Y105" s="2974"/>
      <c r="Z105" s="2974"/>
      <c r="AA105" s="2974"/>
      <c r="AB105" s="2974"/>
      <c r="AC105" s="2974"/>
    </row>
    <row r="106" spans="1:29" ht="15" thickTop="1">
      <c r="A106" s="556"/>
      <c r="B106" s="495" t="s">
        <v>2435</v>
      </c>
      <c r="C106" s="3168" t="s">
        <v>3495</v>
      </c>
      <c r="D106" s="511"/>
      <c r="E106" s="540"/>
      <c r="F106" s="540"/>
      <c r="G106" s="540"/>
      <c r="H106" s="540"/>
      <c r="I106" s="540"/>
      <c r="J106" s="540"/>
      <c r="K106" s="541"/>
      <c r="L106" s="542"/>
      <c r="M106" s="543"/>
      <c r="N106" s="2980"/>
      <c r="O106" s="2980"/>
      <c r="P106" s="2989"/>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 t="shared" ref="D107:M107" si="21">C107-$K35</f>
        <v>98</v>
      </c>
      <c r="E107" s="501">
        <f t="shared" si="21"/>
        <v>96</v>
      </c>
      <c r="F107" s="501">
        <f t="shared" si="21"/>
        <v>94</v>
      </c>
      <c r="G107" s="501">
        <f t="shared" si="21"/>
        <v>92</v>
      </c>
      <c r="H107" s="501">
        <f t="shared" si="21"/>
        <v>90</v>
      </c>
      <c r="I107" s="501">
        <f t="shared" si="21"/>
        <v>88</v>
      </c>
      <c r="J107" s="501">
        <f t="shared" si="21"/>
        <v>86</v>
      </c>
      <c r="K107" s="501">
        <f t="shared" si="21"/>
        <v>84</v>
      </c>
      <c r="L107" s="501">
        <f t="shared" si="21"/>
        <v>82</v>
      </c>
      <c r="M107" s="502">
        <f t="shared" si="21"/>
        <v>80</v>
      </c>
      <c r="N107" s="2981"/>
      <c r="O107" s="2981"/>
      <c r="P107" s="2989"/>
      <c r="Q107" s="2966"/>
      <c r="R107" s="2952"/>
      <c r="S107" s="2952"/>
      <c r="T107" s="2952"/>
      <c r="U107" s="2952"/>
      <c r="V107" s="2952"/>
      <c r="W107" s="2952"/>
      <c r="X107" s="2952"/>
      <c r="Y107" s="2952"/>
      <c r="Z107" s="2952"/>
      <c r="AA107" s="2952"/>
      <c r="AB107" s="2952"/>
      <c r="AC107" s="2952"/>
    </row>
    <row r="108" spans="1:29" ht="15" thickTop="1">
      <c r="A108" s="556"/>
      <c r="B108" s="495" t="s">
        <v>2437</v>
      </c>
      <c r="C108" s="3168" t="s">
        <v>3483</v>
      </c>
      <c r="D108" s="3168" t="s">
        <v>3484</v>
      </c>
      <c r="E108" s="3168" t="s">
        <v>3485</v>
      </c>
      <c r="F108" s="540"/>
      <c r="G108" s="540"/>
      <c r="H108" s="540"/>
      <c r="I108" s="540"/>
      <c r="J108" s="540"/>
      <c r="K108" s="541"/>
      <c r="L108" s="542"/>
      <c r="M108" s="543"/>
      <c r="N108" s="2980"/>
      <c r="O108" s="2980"/>
      <c r="P108" s="2989"/>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 t="shared" ref="D109:M109" si="22">C109-$K36</f>
        <v>97</v>
      </c>
      <c r="E109" s="501">
        <f t="shared" si="22"/>
        <v>94</v>
      </c>
      <c r="F109" s="501">
        <f t="shared" si="22"/>
        <v>91</v>
      </c>
      <c r="G109" s="501">
        <f t="shared" si="22"/>
        <v>88</v>
      </c>
      <c r="H109" s="501">
        <f t="shared" si="22"/>
        <v>85</v>
      </c>
      <c r="I109" s="501">
        <f t="shared" si="22"/>
        <v>82</v>
      </c>
      <c r="J109" s="501">
        <f t="shared" si="22"/>
        <v>79</v>
      </c>
      <c r="K109" s="501">
        <f t="shared" si="22"/>
        <v>76</v>
      </c>
      <c r="L109" s="501">
        <f t="shared" si="22"/>
        <v>73</v>
      </c>
      <c r="M109" s="502">
        <f t="shared" si="22"/>
        <v>70</v>
      </c>
      <c r="N109" s="2981"/>
      <c r="O109" s="2981"/>
      <c r="P109" s="2989"/>
      <c r="Q109" s="2966"/>
      <c r="R109" s="2952"/>
      <c r="S109" s="2952"/>
      <c r="T109" s="2952"/>
      <c r="U109" s="2952"/>
      <c r="V109" s="2952"/>
      <c r="W109" s="2952"/>
      <c r="X109" s="2952"/>
      <c r="Y109" s="2952"/>
      <c r="Z109" s="2952"/>
      <c r="AA109" s="2952"/>
      <c r="AB109" s="2952"/>
      <c r="AC109" s="2952"/>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0"/>
      <c r="O110" s="2980"/>
      <c r="P110" s="2989"/>
      <c r="Q110" s="2966"/>
      <c r="R110" s="2952"/>
      <c r="S110" s="2952"/>
      <c r="T110" s="2952"/>
      <c r="U110" s="2952"/>
      <c r="V110" s="2952"/>
      <c r="W110" s="2952"/>
      <c r="X110" s="2952"/>
      <c r="Y110" s="2952"/>
      <c r="Z110" s="2952"/>
      <c r="AA110" s="2952"/>
      <c r="AB110" s="2952"/>
      <c r="AC110" s="2952"/>
    </row>
    <row r="111" spans="1:29">
      <c r="A111" s="556"/>
      <c r="B111" s="503"/>
      <c r="C111" s="560">
        <v>0.5</v>
      </c>
      <c r="D111" s="560">
        <v>0.6</v>
      </c>
      <c r="E111" s="560">
        <v>0.7</v>
      </c>
      <c r="F111" s="560">
        <v>0.8</v>
      </c>
      <c r="G111" s="560">
        <v>0.9</v>
      </c>
      <c r="H111" s="560">
        <v>1.0001</v>
      </c>
      <c r="I111" s="579"/>
      <c r="J111" s="579"/>
      <c r="K111" s="580"/>
      <c r="L111" s="581"/>
      <c r="M111" s="582"/>
      <c r="N111" s="2980"/>
      <c r="O111" s="2980"/>
      <c r="P111" s="2989"/>
      <c r="Q111" s="2966"/>
      <c r="R111" s="2952"/>
      <c r="S111" s="2952"/>
      <c r="T111" s="2952"/>
      <c r="U111" s="2952"/>
      <c r="V111" s="2952"/>
      <c r="W111" s="2952"/>
      <c r="X111" s="2952"/>
      <c r="Y111" s="2952"/>
      <c r="Z111" s="2952"/>
      <c r="AA111" s="2952"/>
      <c r="AB111" s="2952"/>
      <c r="AC111" s="2952"/>
    </row>
    <row r="112" spans="1:29" ht="15.75" thickBot="1">
      <c r="A112" s="491"/>
      <c r="B112" s="500"/>
      <c r="C112" s="539">
        <v>100</v>
      </c>
      <c r="D112" s="501">
        <f>C112+$K37</f>
        <v>102</v>
      </c>
      <c r="E112" s="501">
        <f t="shared" ref="E112:M112" si="23">D112+$K37</f>
        <v>104</v>
      </c>
      <c r="F112" s="501">
        <f t="shared" si="23"/>
        <v>106</v>
      </c>
      <c r="G112" s="501">
        <f t="shared" si="23"/>
        <v>108</v>
      </c>
      <c r="H112" s="501">
        <f t="shared" si="23"/>
        <v>110</v>
      </c>
      <c r="I112" s="501">
        <f t="shared" si="23"/>
        <v>112</v>
      </c>
      <c r="J112" s="501">
        <f t="shared" si="23"/>
        <v>114</v>
      </c>
      <c r="K112" s="501">
        <f t="shared" si="23"/>
        <v>116</v>
      </c>
      <c r="L112" s="501">
        <f t="shared" si="23"/>
        <v>118</v>
      </c>
      <c r="M112" s="501">
        <f t="shared" si="23"/>
        <v>120</v>
      </c>
      <c r="N112" s="2981"/>
      <c r="O112" s="2981"/>
      <c r="P112" s="2989"/>
      <c r="Q112" s="2966"/>
      <c r="R112" s="2952"/>
      <c r="S112" s="2952"/>
      <c r="T112" s="2952"/>
      <c r="U112" s="2952"/>
      <c r="V112" s="2952"/>
      <c r="W112" s="2952"/>
      <c r="X112" s="2952"/>
      <c r="Y112" s="2952"/>
      <c r="Z112" s="2952"/>
      <c r="AA112" s="2952"/>
      <c r="AB112" s="2952"/>
      <c r="AC112" s="2952"/>
    </row>
    <row r="113" spans="1:29" s="430" customFormat="1" ht="15" thickTop="1">
      <c r="A113" s="550"/>
      <c r="B113" s="495" t="s">
        <v>2520</v>
      </c>
      <c r="C113" s="3168" t="s">
        <v>3486</v>
      </c>
      <c r="D113" s="3168" t="s">
        <v>3487</v>
      </c>
      <c r="E113" s="511"/>
      <c r="F113" s="511"/>
      <c r="G113" s="511"/>
      <c r="H113" s="540"/>
      <c r="I113" s="540"/>
      <c r="J113" s="540"/>
      <c r="K113" s="541"/>
      <c r="L113" s="542"/>
      <c r="M113" s="543"/>
      <c r="N113" s="2982"/>
      <c r="O113" s="2982"/>
      <c r="P113" s="2990"/>
      <c r="Q113" s="2973"/>
      <c r="R113" s="2974"/>
      <c r="S113" s="2974"/>
      <c r="T113" s="2974"/>
      <c r="U113" s="2974"/>
      <c r="V113" s="2974"/>
      <c r="W113" s="2974"/>
      <c r="X113" s="2974"/>
      <c r="Y113" s="2974"/>
      <c r="Z113" s="2974"/>
      <c r="AA113" s="2974"/>
      <c r="AB113" s="2974"/>
      <c r="AC113" s="2974"/>
    </row>
    <row r="114" spans="1:29" s="430" customFormat="1" ht="15.75" thickBot="1">
      <c r="A114" s="510"/>
      <c r="B114" s="500"/>
      <c r="C114" s="501">
        <v>100</v>
      </c>
      <c r="D114" s="501">
        <f>C114-$K38</f>
        <v>98</v>
      </c>
      <c r="E114" s="501">
        <f t="shared" ref="E114:M114" si="24">D114-$K38</f>
        <v>96</v>
      </c>
      <c r="F114" s="501">
        <f t="shared" si="24"/>
        <v>94</v>
      </c>
      <c r="G114" s="501">
        <f t="shared" si="24"/>
        <v>92</v>
      </c>
      <c r="H114" s="501">
        <f t="shared" si="24"/>
        <v>90</v>
      </c>
      <c r="I114" s="501">
        <f t="shared" si="24"/>
        <v>88</v>
      </c>
      <c r="J114" s="501">
        <f t="shared" si="24"/>
        <v>86</v>
      </c>
      <c r="K114" s="501">
        <f t="shared" si="24"/>
        <v>84</v>
      </c>
      <c r="L114" s="501">
        <f t="shared" si="24"/>
        <v>82</v>
      </c>
      <c r="M114" s="501">
        <f t="shared" si="24"/>
        <v>80</v>
      </c>
      <c r="N114" s="2982"/>
      <c r="O114" s="2982"/>
      <c r="P114" s="2990"/>
      <c r="Q114" s="2973"/>
      <c r="R114" s="2974"/>
      <c r="S114" s="2974"/>
      <c r="T114" s="2974"/>
      <c r="U114" s="2974"/>
      <c r="V114" s="2974"/>
      <c r="W114" s="2974"/>
      <c r="X114" s="2974"/>
      <c r="Y114" s="2974"/>
      <c r="Z114" s="2974"/>
      <c r="AA114" s="2974"/>
      <c r="AB114" s="2974"/>
      <c r="AC114" s="2974"/>
    </row>
    <row r="115" spans="1:29" ht="15" thickTop="1">
      <c r="A115" s="556"/>
      <c r="B115" s="495" t="s">
        <v>2438</v>
      </c>
      <c r="C115" s="3168" t="s">
        <v>3488</v>
      </c>
      <c r="D115" s="3168" t="s">
        <v>3489</v>
      </c>
      <c r="E115" s="540"/>
      <c r="F115" s="540"/>
      <c r="G115" s="540"/>
      <c r="H115" s="540"/>
      <c r="I115" s="540"/>
      <c r="J115" s="540"/>
      <c r="K115" s="541"/>
      <c r="L115" s="542"/>
      <c r="M115" s="543"/>
      <c r="N115" s="2980"/>
      <c r="O115" s="2980"/>
      <c r="P115" s="2989"/>
      <c r="Q115" s="2966"/>
      <c r="R115" s="2952"/>
      <c r="S115" s="2952"/>
      <c r="T115" s="2952"/>
      <c r="U115" s="2952"/>
      <c r="V115" s="2952"/>
      <c r="W115" s="2952"/>
      <c r="X115" s="2952"/>
      <c r="Y115" s="2952"/>
      <c r="Z115" s="2952"/>
      <c r="AA115" s="2952"/>
      <c r="AB115" s="2952"/>
      <c r="AC115" s="2952"/>
    </row>
    <row r="116" spans="1:29" ht="15.75" thickBot="1">
      <c r="A116" s="491"/>
      <c r="B116" s="500"/>
      <c r="C116" s="501">
        <v>100</v>
      </c>
      <c r="D116" s="501">
        <f t="shared" ref="D116:M116" si="25">C116-$K39</f>
        <v>100</v>
      </c>
      <c r="E116" s="501">
        <f t="shared" si="25"/>
        <v>100</v>
      </c>
      <c r="F116" s="501">
        <f t="shared" si="25"/>
        <v>100</v>
      </c>
      <c r="G116" s="501">
        <f t="shared" si="25"/>
        <v>100</v>
      </c>
      <c r="H116" s="501">
        <f t="shared" si="25"/>
        <v>100</v>
      </c>
      <c r="I116" s="501">
        <f t="shared" si="25"/>
        <v>100</v>
      </c>
      <c r="J116" s="501">
        <f t="shared" si="25"/>
        <v>100</v>
      </c>
      <c r="K116" s="501">
        <f t="shared" si="25"/>
        <v>100</v>
      </c>
      <c r="L116" s="501">
        <f t="shared" si="25"/>
        <v>100</v>
      </c>
      <c r="M116" s="502">
        <f t="shared" si="25"/>
        <v>100</v>
      </c>
      <c r="N116" s="2981"/>
      <c r="O116" s="2981"/>
      <c r="P116" s="2989"/>
      <c r="Q116" s="2966"/>
      <c r="R116" s="2952"/>
      <c r="S116" s="2952"/>
      <c r="T116" s="2952"/>
      <c r="U116" s="2952"/>
      <c r="V116" s="2952"/>
      <c r="W116" s="2952"/>
      <c r="X116" s="2952"/>
      <c r="Y116" s="2952"/>
      <c r="Z116" s="2952"/>
      <c r="AA116" s="2952"/>
      <c r="AB116" s="2952"/>
      <c r="AC116" s="2952"/>
    </row>
    <row r="117" spans="1:29" ht="15" thickTop="1">
      <c r="A117" s="556"/>
      <c r="B117" s="495" t="s">
        <v>2439</v>
      </c>
      <c r="C117" s="3168" t="s">
        <v>3490</v>
      </c>
      <c r="D117" s="3168" t="s">
        <v>3491</v>
      </c>
      <c r="E117" s="3168" t="s">
        <v>3492</v>
      </c>
      <c r="F117" s="3168" t="s">
        <v>3493</v>
      </c>
      <c r="G117" s="3168" t="s">
        <v>3494</v>
      </c>
      <c r="H117" s="540"/>
      <c r="I117" s="540"/>
      <c r="J117" s="540"/>
      <c r="K117" s="541"/>
      <c r="L117" s="542"/>
      <c r="M117" s="543"/>
      <c r="N117" s="2980"/>
      <c r="O117" s="2980"/>
      <c r="P117" s="2989"/>
      <c r="Q117" s="2966"/>
      <c r="R117" s="2952"/>
      <c r="S117" s="2952"/>
      <c r="T117" s="2952"/>
      <c r="U117" s="2952"/>
      <c r="V117" s="2952"/>
      <c r="W117" s="2952"/>
      <c r="X117" s="2952"/>
      <c r="Y117" s="2952"/>
      <c r="Z117" s="2952"/>
      <c r="AA117" s="2952"/>
      <c r="AB117" s="2952"/>
      <c r="AC117" s="2952"/>
    </row>
    <row r="118" spans="1:29" ht="15.75" thickBot="1">
      <c r="A118" s="491"/>
      <c r="B118" s="500"/>
      <c r="C118" s="501">
        <v>100</v>
      </c>
      <c r="D118" s="501">
        <f>C118-$K40</f>
        <v>98</v>
      </c>
      <c r="E118" s="501">
        <f>D118-$K40</f>
        <v>96</v>
      </c>
      <c r="F118" s="501">
        <f>E118-$K40</f>
        <v>94</v>
      </c>
      <c r="G118" s="501">
        <f>F118-$K40</f>
        <v>92</v>
      </c>
      <c r="H118" s="501"/>
      <c r="I118" s="501"/>
      <c r="J118" s="501"/>
      <c r="K118" s="501"/>
      <c r="L118" s="501"/>
      <c r="M118" s="502"/>
      <c r="N118" s="2981"/>
      <c r="O118" s="2981"/>
      <c r="P118" s="2989"/>
      <c r="Q118" s="2966"/>
      <c r="R118" s="2952"/>
      <c r="S118" s="2952"/>
      <c r="T118" s="2952"/>
      <c r="U118" s="2952"/>
      <c r="V118" s="2952"/>
      <c r="W118" s="2952"/>
      <c r="X118" s="2952"/>
      <c r="Y118" s="2952"/>
      <c r="Z118" s="2952"/>
      <c r="AA118" s="2952"/>
      <c r="AB118" s="2952"/>
      <c r="AC118" s="2952"/>
    </row>
    <row r="119" spans="1:29" ht="15" thickTop="1">
      <c r="A119" s="556"/>
      <c r="B119" s="592" t="s">
        <v>2521</v>
      </c>
      <c r="C119" s="540" t="s">
        <v>3777</v>
      </c>
      <c r="D119" s="540" t="s">
        <v>3779</v>
      </c>
      <c r="E119" s="540" t="s">
        <v>3775</v>
      </c>
      <c r="F119" s="540"/>
      <c r="G119" s="540">
        <v>2.6</v>
      </c>
      <c r="H119" s="540"/>
      <c r="I119" s="540"/>
      <c r="J119" s="540"/>
      <c r="K119" s="540"/>
      <c r="L119" s="2154"/>
      <c r="M119" s="2155"/>
      <c r="N119" s="2981"/>
      <c r="O119" s="2981"/>
      <c r="P119" s="2994"/>
      <c r="Q119" s="2995"/>
      <c r="R119" s="2952"/>
      <c r="S119" s="2952"/>
      <c r="T119" s="2952"/>
      <c r="U119" s="2952"/>
      <c r="V119" s="2952"/>
      <c r="W119" s="2952"/>
      <c r="X119" s="2952"/>
      <c r="Y119" s="2952"/>
      <c r="Z119" s="2952"/>
      <c r="AA119" s="2952"/>
      <c r="AB119" s="2952"/>
      <c r="AC119" s="2952"/>
    </row>
    <row r="120" spans="1:29" ht="15.75" thickBot="1">
      <c r="A120" s="491"/>
      <c r="B120" s="500"/>
      <c r="C120" s="539">
        <v>100</v>
      </c>
      <c r="D120" s="501">
        <f>C120-$K41</f>
        <v>97</v>
      </c>
      <c r="E120" s="501">
        <f t="shared" ref="E120:M120" si="26">D120-$K41</f>
        <v>94</v>
      </c>
      <c r="F120" s="501">
        <f t="shared" si="26"/>
        <v>91</v>
      </c>
      <c r="G120" s="501">
        <f t="shared" si="26"/>
        <v>88</v>
      </c>
      <c r="H120" s="501">
        <f t="shared" si="26"/>
        <v>85</v>
      </c>
      <c r="I120" s="501">
        <f t="shared" si="26"/>
        <v>82</v>
      </c>
      <c r="J120" s="501">
        <f t="shared" si="26"/>
        <v>79</v>
      </c>
      <c r="K120" s="501">
        <f t="shared" si="26"/>
        <v>76</v>
      </c>
      <c r="L120" s="501">
        <f t="shared" si="26"/>
        <v>73</v>
      </c>
      <c r="M120" s="501">
        <f t="shared" si="26"/>
        <v>70</v>
      </c>
      <c r="N120" s="2981"/>
      <c r="O120" s="2981"/>
      <c r="P120" s="2989"/>
      <c r="Q120" s="2966"/>
      <c r="R120" s="2952"/>
      <c r="S120" s="2952"/>
      <c r="T120" s="2952"/>
      <c r="U120" s="2952"/>
      <c r="V120" s="2952"/>
      <c r="W120" s="2952"/>
      <c r="X120" s="2952"/>
      <c r="Y120" s="2952"/>
      <c r="Z120" s="2952"/>
      <c r="AA120" s="2952"/>
      <c r="AB120" s="2952"/>
      <c r="AC120" s="2952"/>
    </row>
    <row r="121" spans="1:29" s="430" customFormat="1" ht="15" thickTop="1">
      <c r="A121" s="550"/>
      <c r="B121" s="495" t="s">
        <v>2505</v>
      </c>
      <c r="C121" s="511"/>
      <c r="D121" s="511"/>
      <c r="E121" s="511"/>
      <c r="F121" s="540"/>
      <c r="G121" s="512"/>
      <c r="H121" s="512"/>
      <c r="I121" s="512"/>
      <c r="J121" s="512"/>
      <c r="K121" s="512"/>
      <c r="L121" s="513"/>
      <c r="M121" s="514"/>
      <c r="N121" s="2982"/>
      <c r="O121" s="2982"/>
      <c r="P121" s="2990"/>
      <c r="Q121" s="2973"/>
      <c r="R121" s="2974"/>
      <c r="S121" s="2974"/>
      <c r="T121" s="2974"/>
      <c r="U121" s="2974"/>
      <c r="V121" s="2974"/>
      <c r="W121" s="2974"/>
      <c r="X121" s="2974"/>
      <c r="Y121" s="2974"/>
      <c r="Z121" s="2974"/>
      <c r="AA121" s="2974"/>
      <c r="AB121" s="2974"/>
      <c r="AC121" s="2974"/>
    </row>
    <row r="122" spans="1:29" s="430" customFormat="1" ht="15.75" thickBot="1">
      <c r="A122" s="510"/>
      <c r="B122" s="492"/>
      <c r="C122" s="517"/>
      <c r="D122" s="517"/>
      <c r="E122" s="517"/>
      <c r="F122" s="517"/>
      <c r="G122" s="517"/>
      <c r="H122" s="517"/>
      <c r="I122" s="517"/>
      <c r="J122" s="517"/>
      <c r="K122" s="517"/>
      <c r="L122" s="517"/>
      <c r="M122" s="517"/>
      <c r="N122" s="2982"/>
      <c r="O122" s="2982"/>
      <c r="P122" s="2990"/>
      <c r="Q122" s="2973"/>
      <c r="R122" s="2974"/>
      <c r="S122" s="2974"/>
      <c r="T122" s="2974"/>
      <c r="U122" s="2974"/>
      <c r="V122" s="2974"/>
      <c r="W122" s="2974"/>
      <c r="X122" s="2974"/>
      <c r="Y122" s="2974"/>
      <c r="Z122" s="2974"/>
      <c r="AA122" s="2974"/>
      <c r="AB122" s="2974"/>
      <c r="AC122" s="2974"/>
    </row>
    <row r="123" spans="1:29" ht="15" thickTop="1">
      <c r="A123" s="556"/>
      <c r="B123" s="495" t="s">
        <v>2441</v>
      </c>
      <c r="C123" s="3168" t="s">
        <v>3483</v>
      </c>
      <c r="D123" s="3168" t="s">
        <v>3484</v>
      </c>
      <c r="E123" s="3168" t="s">
        <v>3485</v>
      </c>
      <c r="F123" s="540"/>
      <c r="G123" s="540"/>
      <c r="H123" s="540"/>
      <c r="I123" s="540"/>
      <c r="J123" s="540"/>
      <c r="K123" s="541"/>
      <c r="L123" s="542"/>
      <c r="M123" s="543"/>
      <c r="N123" s="2980"/>
      <c r="O123" s="2980"/>
      <c r="P123" s="2989"/>
      <c r="Q123" s="2966"/>
      <c r="R123" s="2952"/>
      <c r="S123" s="2952"/>
      <c r="T123" s="2952"/>
      <c r="U123" s="2952"/>
      <c r="V123" s="2952"/>
      <c r="W123" s="2952"/>
      <c r="X123" s="2952"/>
      <c r="Y123" s="2952"/>
      <c r="Z123" s="2952"/>
      <c r="AA123" s="2952"/>
      <c r="AB123" s="2952"/>
      <c r="AC123" s="2952"/>
    </row>
    <row r="124" spans="1:29" ht="15.75" thickBot="1">
      <c r="A124" s="491"/>
      <c r="B124" s="500"/>
      <c r="C124" s="501">
        <v>100</v>
      </c>
      <c r="D124" s="501">
        <f t="shared" ref="D124:M124" si="27">C124-$K43</f>
        <v>100</v>
      </c>
      <c r="E124" s="501">
        <f t="shared" si="27"/>
        <v>100</v>
      </c>
      <c r="F124" s="501">
        <f t="shared" si="27"/>
        <v>100</v>
      </c>
      <c r="G124" s="501">
        <f t="shared" si="27"/>
        <v>100</v>
      </c>
      <c r="H124" s="501">
        <f t="shared" si="27"/>
        <v>100</v>
      </c>
      <c r="I124" s="501">
        <f t="shared" si="27"/>
        <v>100</v>
      </c>
      <c r="J124" s="501">
        <f t="shared" si="27"/>
        <v>100</v>
      </c>
      <c r="K124" s="501">
        <f t="shared" si="27"/>
        <v>100</v>
      </c>
      <c r="L124" s="501">
        <f t="shared" si="27"/>
        <v>100</v>
      </c>
      <c r="M124" s="502">
        <f t="shared" si="27"/>
        <v>100</v>
      </c>
      <c r="N124" s="2981"/>
      <c r="O124" s="2981"/>
      <c r="P124" s="2989"/>
      <c r="Q124" s="2966"/>
      <c r="R124" s="2952"/>
      <c r="S124" s="2952"/>
      <c r="T124" s="2952"/>
      <c r="U124" s="2952"/>
      <c r="V124" s="2952"/>
      <c r="W124" s="2952"/>
      <c r="X124" s="2952"/>
      <c r="Y124" s="2952"/>
      <c r="Z124" s="2952"/>
      <c r="AA124" s="2952"/>
      <c r="AB124" s="2952"/>
      <c r="AC124" s="2952"/>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0"/>
      <c r="O125" s="2980"/>
      <c r="P125" s="2990"/>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C126-$K44</f>
        <v>98</v>
      </c>
      <c r="E126" s="501">
        <f>D126-$K44</f>
        <v>96</v>
      </c>
      <c r="F126" s="501">
        <f>E126-$K44</f>
        <v>94</v>
      </c>
      <c r="G126" s="501">
        <f>F126-$K44</f>
        <v>92</v>
      </c>
      <c r="H126" s="501"/>
      <c r="I126" s="501"/>
      <c r="J126" s="501"/>
      <c r="K126" s="501"/>
      <c r="L126" s="501"/>
      <c r="M126" s="502"/>
      <c r="N126" s="2981"/>
      <c r="O126" s="2981"/>
      <c r="P126" s="2989"/>
      <c r="Q126" s="2966"/>
      <c r="R126" s="2952"/>
      <c r="S126" s="2952"/>
      <c r="T126" s="2952"/>
      <c r="U126" s="2952"/>
      <c r="V126" s="2952"/>
      <c r="W126" s="2952"/>
      <c r="X126" s="2952"/>
      <c r="Y126" s="2952"/>
      <c r="Z126" s="2952"/>
      <c r="AA126" s="2952"/>
      <c r="AB126" s="2952"/>
      <c r="AC126" s="2952"/>
    </row>
    <row r="127" spans="1:29" s="430" customFormat="1" ht="15" thickTop="1">
      <c r="A127" s="550"/>
      <c r="B127" s="495" t="str">
        <f>B45</f>
        <v>设施设备</v>
      </c>
      <c r="C127" s="3168" t="s">
        <v>4027</v>
      </c>
      <c r="D127" s="3168" t="s">
        <v>4028</v>
      </c>
      <c r="E127" s="3168" t="s">
        <v>4029</v>
      </c>
      <c r="F127" s="511"/>
      <c r="G127" s="511"/>
      <c r="H127" s="512"/>
      <c r="I127" s="512"/>
      <c r="J127" s="512"/>
      <c r="K127" s="512"/>
      <c r="L127" s="513"/>
      <c r="M127" s="514"/>
      <c r="N127" s="2982"/>
      <c r="O127" s="2982"/>
      <c r="P127" s="2990"/>
      <c r="Q127" s="2973"/>
      <c r="R127" s="2974"/>
      <c r="S127" s="2974"/>
      <c r="T127" s="2974"/>
      <c r="U127" s="2974"/>
      <c r="V127" s="2974"/>
      <c r="W127" s="2974"/>
      <c r="X127" s="2974"/>
      <c r="Y127" s="2974"/>
      <c r="Z127" s="2974"/>
      <c r="AA127" s="2974"/>
      <c r="AB127" s="2974"/>
      <c r="AC127" s="2974"/>
    </row>
    <row r="128" spans="1:29" s="430" customFormat="1" ht="15.75" thickBot="1">
      <c r="A128" s="510"/>
      <c r="B128" s="500"/>
      <c r="C128" s="517">
        <v>100</v>
      </c>
      <c r="D128" s="493">
        <v>105</v>
      </c>
      <c r="E128" s="493">
        <v>110</v>
      </c>
      <c r="F128" s="493"/>
      <c r="G128" s="517"/>
      <c r="H128" s="519"/>
      <c r="I128" s="519"/>
      <c r="J128" s="519"/>
      <c r="K128" s="519"/>
      <c r="L128" s="519"/>
      <c r="M128" s="520"/>
      <c r="N128" s="2982"/>
      <c r="O128" s="2982"/>
      <c r="P128" s="2990"/>
      <c r="Q128" s="2973"/>
      <c r="R128" s="2974"/>
      <c r="S128" s="2974"/>
      <c r="T128" s="2974"/>
      <c r="U128" s="2974"/>
      <c r="V128" s="2974"/>
      <c r="W128" s="2974"/>
      <c r="X128" s="2974"/>
      <c r="Y128" s="2974"/>
      <c r="Z128" s="2974"/>
      <c r="AA128" s="2974"/>
      <c r="AB128" s="2974"/>
      <c r="AC128" s="2974"/>
    </row>
    <row r="129" spans="1:29" ht="15" thickTop="1">
      <c r="A129" s="556"/>
      <c r="B129" s="495" t="str">
        <f>B46</f>
        <v>外装</v>
      </c>
      <c r="C129" s="3168" t="s">
        <v>4181</v>
      </c>
      <c r="D129" s="3168" t="s">
        <v>4177</v>
      </c>
      <c r="E129" s="511"/>
      <c r="F129" s="511"/>
      <c r="G129" s="540"/>
      <c r="H129" s="540"/>
      <c r="I129" s="540"/>
      <c r="J129" s="540"/>
      <c r="K129" s="541"/>
      <c r="L129" s="542"/>
      <c r="M129" s="543"/>
      <c r="N129" s="2980"/>
      <c r="O129" s="2980"/>
      <c r="P129" s="2989"/>
      <c r="Q129" s="2966"/>
      <c r="R129" s="2952"/>
      <c r="S129" s="2952"/>
      <c r="T129" s="2952"/>
      <c r="U129" s="2952"/>
      <c r="V129" s="2952"/>
      <c r="W129" s="2952"/>
      <c r="X129" s="2952"/>
      <c r="Y129" s="2952"/>
      <c r="Z129" s="2952"/>
      <c r="AA129" s="2952"/>
      <c r="AB129" s="2952"/>
      <c r="AC129" s="2952"/>
    </row>
    <row r="130" spans="1:29" ht="15.75" thickBot="1">
      <c r="A130" s="491"/>
      <c r="B130" s="500"/>
      <c r="C130" s="517">
        <v>100</v>
      </c>
      <c r="D130" s="517">
        <v>105</v>
      </c>
      <c r="E130" s="517"/>
      <c r="F130" s="517"/>
      <c r="G130" s="493"/>
      <c r="H130" s="493"/>
      <c r="I130" s="493"/>
      <c r="J130" s="493"/>
      <c r="K130" s="493"/>
      <c r="L130" s="493"/>
      <c r="M130" s="494"/>
      <c r="N130" s="2981"/>
      <c r="O130" s="2981"/>
      <c r="P130" s="2989"/>
      <c r="Q130" s="2966"/>
      <c r="R130" s="2952"/>
      <c r="S130" s="2952"/>
      <c r="T130" s="2952"/>
      <c r="U130" s="2952"/>
      <c r="V130" s="2952"/>
      <c r="W130" s="2952"/>
      <c r="X130" s="2952"/>
      <c r="Y130" s="2952"/>
      <c r="Z130" s="2952"/>
      <c r="AA130" s="2952"/>
      <c r="AB130" s="2952"/>
      <c r="AC130" s="2952"/>
    </row>
    <row r="131" spans="1:29" ht="15" thickTop="1">
      <c r="A131" s="556"/>
      <c r="B131" s="503" t="str">
        <f>B47</f>
        <v>利用率</v>
      </c>
      <c r="C131" s="480"/>
      <c r="D131" s="480"/>
      <c r="E131" s="480"/>
      <c r="F131" s="480"/>
      <c r="G131" s="544"/>
      <c r="H131" s="544"/>
      <c r="I131" s="544"/>
      <c r="J131" s="544"/>
      <c r="K131" s="480"/>
      <c r="L131" s="481"/>
      <c r="M131" s="547"/>
      <c r="N131" s="2980"/>
      <c r="O131" s="2980"/>
      <c r="P131" s="2989"/>
      <c r="Q131" s="2966"/>
      <c r="R131" s="2952"/>
      <c r="S131" s="2952"/>
      <c r="T131" s="2952"/>
      <c r="U131" s="2952"/>
      <c r="V131" s="2952"/>
      <c r="W131" s="2952"/>
      <c r="X131" s="2952"/>
      <c r="Y131" s="2952"/>
      <c r="Z131" s="2952"/>
      <c r="AA131" s="2952"/>
      <c r="AB131" s="2952"/>
      <c r="AC131" s="2952"/>
    </row>
    <row r="132" spans="1:29" ht="15.75" thickBot="1">
      <c r="A132" s="2114"/>
      <c r="B132" s="526"/>
      <c r="C132" s="527"/>
      <c r="D132" s="527"/>
      <c r="E132" s="527"/>
      <c r="F132" s="527"/>
      <c r="G132" s="548"/>
      <c r="H132" s="548"/>
      <c r="I132" s="548"/>
      <c r="J132" s="548"/>
      <c r="K132" s="548"/>
      <c r="L132" s="548"/>
      <c r="M132" s="549"/>
      <c r="N132" s="2981"/>
      <c r="O132" s="2981"/>
      <c r="P132" s="2989"/>
      <c r="Q132" s="2966"/>
      <c r="R132" s="2952"/>
      <c r="S132" s="2952"/>
      <c r="T132" s="2952"/>
      <c r="U132" s="2952"/>
      <c r="V132" s="2952"/>
      <c r="W132" s="2952"/>
      <c r="X132" s="2952"/>
      <c r="Y132" s="2952"/>
      <c r="Z132" s="2952"/>
      <c r="AA132" s="2952"/>
      <c r="AB132" s="2952"/>
      <c r="AC132" s="2952"/>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38" priority="20" stopIfTrue="1" operator="containsText" text="超过">
      <formula>NOT(ISERROR(SEARCH("超过",F53)))</formula>
    </cfRule>
  </conditionalFormatting>
  <conditionalFormatting sqref="H55">
    <cfRule type="containsText" dxfId="37" priority="19" stopIfTrue="1" operator="containsText" text="超过">
      <formula>NOT(ISERROR(SEARCH("超过",H55)))</formula>
    </cfRule>
  </conditionalFormatting>
  <conditionalFormatting sqref="F55">
    <cfRule type="containsText" dxfId="36" priority="18" stopIfTrue="1" operator="containsText" text="超过">
      <formula>NOT(ISERROR(SEARCH("超过",F55)))</formula>
    </cfRule>
  </conditionalFormatting>
  <conditionalFormatting sqref="F54 H54">
    <cfRule type="containsText" dxfId="35" priority="17" stopIfTrue="1" operator="containsText" text="超过">
      <formula>NOT(ISERROR(SEARCH("超过",F54)))</formula>
    </cfRule>
  </conditionalFormatting>
  <conditionalFormatting sqref="E53">
    <cfRule type="expression" dxfId="34" priority="16" stopIfTrue="1">
      <formula>$F$53="超过30%"</formula>
    </cfRule>
  </conditionalFormatting>
  <conditionalFormatting sqref="E54">
    <cfRule type="expression" dxfId="33" priority="15" stopIfTrue="1">
      <formula>$F$54="超过20%"</formula>
    </cfRule>
  </conditionalFormatting>
  <conditionalFormatting sqref="E55">
    <cfRule type="expression" dxfId="32" priority="14" stopIfTrue="1">
      <formula>$F$55="超过30%"</formula>
    </cfRule>
  </conditionalFormatting>
  <conditionalFormatting sqref="G55">
    <cfRule type="expression" dxfId="31" priority="13" stopIfTrue="1">
      <formula>$H$55="超过30%"</formula>
    </cfRule>
  </conditionalFormatting>
  <conditionalFormatting sqref="G53">
    <cfRule type="expression" dxfId="30" priority="12" stopIfTrue="1">
      <formula>$H$53="超过30%"</formula>
    </cfRule>
  </conditionalFormatting>
  <conditionalFormatting sqref="G54">
    <cfRule type="expression" dxfId="29" priority="11" stopIfTrue="1">
      <formula>$H$54="超过20%"</formula>
    </cfRule>
  </conditionalFormatting>
  <conditionalFormatting sqref="J53">
    <cfRule type="containsText" dxfId="28" priority="10" stopIfTrue="1" operator="containsText" text="超过">
      <formula>NOT(ISERROR(SEARCH("超过",J53)))</formula>
    </cfRule>
  </conditionalFormatting>
  <conditionalFormatting sqref="J55">
    <cfRule type="containsText" dxfId="27" priority="9" stopIfTrue="1" operator="containsText" text="超过">
      <formula>NOT(ISERROR(SEARCH("超过",J55)))</formula>
    </cfRule>
  </conditionalFormatting>
  <conditionalFormatting sqref="J54">
    <cfRule type="containsText" dxfId="26" priority="8" stopIfTrue="1" operator="containsText" text="超过">
      <formula>NOT(ISERROR(SEARCH("超过",J54)))</formula>
    </cfRule>
  </conditionalFormatting>
  <conditionalFormatting sqref="I53">
    <cfRule type="expression" dxfId="25" priority="7" stopIfTrue="1">
      <formula>$J$53="超过30%"</formula>
    </cfRule>
  </conditionalFormatting>
  <conditionalFormatting sqref="I54">
    <cfRule type="expression" dxfId="24" priority="6" stopIfTrue="1">
      <formula>$J$53+$J$54="超过20%"</formula>
    </cfRule>
  </conditionalFormatting>
  <conditionalFormatting sqref="I55">
    <cfRule type="expression" dxfId="23" priority="5" stopIfTrue="1">
      <formula>$J$55="超过30%"</formula>
    </cfRule>
  </conditionalFormatting>
  <conditionalFormatting sqref="F49">
    <cfRule type="expression" dxfId="22" priority="4">
      <formula>$D$49="简单平均"</formula>
    </cfRule>
  </conditionalFormatting>
  <conditionalFormatting sqref="H49">
    <cfRule type="expression" dxfId="21" priority="3">
      <formula>$D$49="简单平均"</formula>
    </cfRule>
  </conditionalFormatting>
  <conditionalFormatting sqref="J49">
    <cfRule type="expression" dxfId="20" priority="2">
      <formula>$D$49="简单平均"</formula>
    </cfRule>
  </conditionalFormatting>
  <conditionalFormatting sqref="F7:F47 H7:H47 J7:J47">
    <cfRule type="cellIs" dxfId="19" priority="1" operator="notEqual">
      <formula>100</formula>
    </cfRule>
  </conditionalFormatting>
  <dataValidations count="25">
    <dataValidation type="list" allowBlank="1" showInputMessage="1" showErrorMessage="1" sqref="C35 E35 G35 I35" xr:uid="{00000000-0002-0000-2800-000000000000}">
      <formula1>办公建筑结构</formula1>
    </dataValidation>
    <dataValidation type="list" allowBlank="1" showInputMessage="1" showErrorMessage="1" sqref="E24 G24 I24 C24" xr:uid="{00000000-0002-0000-2800-000001000000}">
      <formula1>环境</formula1>
    </dataValidation>
    <dataValidation type="list" allowBlank="1" showInputMessage="1" showErrorMessage="1" sqref="E18 G18 I18 C18" xr:uid="{00000000-0002-0000-2800-000002000000}">
      <formula1>交通便捷度</formula1>
    </dataValidation>
    <dataValidation type="list" allowBlank="1" showInputMessage="1" showErrorMessage="1" sqref="E20 I20 G20 C20" xr:uid="{00000000-0002-0000-2800-000003000000}">
      <formula1>公共配套设施</formula1>
    </dataValidation>
    <dataValidation type="list" allowBlank="1" showInputMessage="1" showErrorMessage="1" sqref="C44 E44 G44 I44" xr:uid="{00000000-0002-0000-2800-000004000000}">
      <formula1>内部装修维护情况</formula1>
    </dataValidation>
    <dataValidation type="list" allowBlank="1" showInputMessage="1" showErrorMessage="1" sqref="D1" xr:uid="{00000000-0002-0000-2800-000005000000}">
      <formula1>项目类型</formula1>
    </dataValidation>
    <dataValidation type="list" allowBlank="1" showInputMessage="1" showErrorMessage="1" sqref="C10 E10 G10 I10" xr:uid="{00000000-0002-0000-2800-000006000000}">
      <formula1>土地年限区间</formula1>
    </dataValidation>
    <dataValidation type="list" allowBlank="1" showInputMessage="1" showErrorMessage="1" sqref="E9 G9 I9" xr:uid="{00000000-0002-0000-2800-000007000000}">
      <formula1>办公用途</formula1>
    </dataValidation>
    <dataValidation type="list" allowBlank="1" showInputMessage="1" showErrorMessage="1" sqref="C16 E16 G16 I16" xr:uid="{00000000-0002-0000-2800-000008000000}">
      <formula1>办公集聚程度</formula1>
    </dataValidation>
    <dataValidation type="list" allowBlank="1" showInputMessage="1" showErrorMessage="1" sqref="G26 C26 E26 I26" xr:uid="{00000000-0002-0000-2800-000009000000}">
      <formula1>办公道路级别</formula1>
    </dataValidation>
    <dataValidation type="list" allowBlank="1" showInputMessage="1" showErrorMessage="1" sqref="C28 E28 G28 I28" xr:uid="{00000000-0002-0000-2800-00000A000000}">
      <formula1>办公朝向</formula1>
    </dataValidation>
    <dataValidation type="list" allowBlank="1" showInputMessage="1" showErrorMessage="1" sqref="C27 E27 G27 I27" xr:uid="{00000000-0002-0000-2800-00000B000000}">
      <formula1>办公楼层</formula1>
    </dataValidation>
    <dataValidation type="list" allowBlank="1" showInputMessage="1" showErrorMessage="1" sqref="C33 E33 G33 I33" xr:uid="{00000000-0002-0000-2800-00000C000000}">
      <formula1>办公建筑类型</formula1>
    </dataValidation>
    <dataValidation type="list" allowBlank="1" showInputMessage="1" showErrorMessage="1" sqref="C36 E36 G36 I36" xr:uid="{00000000-0002-0000-2800-00000D000000}">
      <formula1>办公公共部分装修</formula1>
    </dataValidation>
    <dataValidation type="list" allowBlank="1" showInputMessage="1" showErrorMessage="1" sqref="C38 E38 G38 I38" xr:uid="{00000000-0002-0000-2800-00000E000000}">
      <formula1>写字楼等级</formula1>
    </dataValidation>
    <dataValidation type="list" allowBlank="1" showInputMessage="1" showErrorMessage="1" sqref="C39 E39 G39 I39" xr:uid="{00000000-0002-0000-2800-00000F000000}">
      <formula1>办公物业管理</formula1>
    </dataValidation>
    <dataValidation type="list" allowBlank="1" showInputMessage="1" showErrorMessage="1" sqref="C40 E40 G40 I40" xr:uid="{00000000-0002-0000-2800-000010000000}">
      <formula1>办公基础设施水平</formula1>
    </dataValidation>
    <dataValidation type="list" allowBlank="1" showInputMessage="1" showErrorMessage="1" sqref="C41 E41 G41 I41" xr:uid="{00000000-0002-0000-2800-000011000000}">
      <formula1>办公层高</formula1>
    </dataValidation>
    <dataValidation type="list" allowBlank="1" showInputMessage="1" showErrorMessage="1" sqref="C43 E43 G43 I43" xr:uid="{00000000-0002-0000-2800-000012000000}">
      <formula1>办公内部装修</formula1>
    </dataValidation>
    <dataValidation type="list" allowBlank="1" showInputMessage="1" showErrorMessage="1" sqref="C8 E8 G8 I8" xr:uid="{00000000-0002-0000-2800-000013000000}">
      <formula1>办公交易情况</formula1>
    </dataValidation>
    <dataValidation type="list" allowBlank="1" showInputMessage="1" showErrorMessage="1" sqref="C22 E22 G22 I22" xr:uid="{00000000-0002-0000-2800-000014000000}">
      <formula1>基础设施水平</formula1>
    </dataValidation>
    <dataValidation type="list" allowBlank="1" showInputMessage="1" showErrorMessage="1" sqref="F1" xr:uid="{00000000-0002-0000-2800-000015000000}">
      <formula1>"售价,租金"</formula1>
    </dataValidation>
    <dataValidation type="list" allowBlank="1" showInputMessage="1" showErrorMessage="1" sqref="C2" xr:uid="{00000000-0002-0000-2800-000016000000}">
      <formula1>"需扣减承租人权益,——"</formula1>
    </dataValidation>
    <dataValidation type="list" allowBlank="1" showInputMessage="1" showErrorMessage="1" sqref="F2" xr:uid="{00000000-0002-0000-2800-000017000000}">
      <formula1>估价方法</formula1>
    </dataValidation>
    <dataValidation type="list" allowBlank="1" showInputMessage="1" showErrorMessage="1" sqref="D49" xr:uid="{00000000-0002-0000-2800-000018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5">
    <tabColor rgb="FF92D050"/>
    <pageSetUpPr fitToPage="1"/>
  </sheetPr>
  <dimension ref="A1:AC103"/>
  <sheetViews>
    <sheetView view="pageBreakPreview" topLeftCell="A22" zoomScaleNormal="60" zoomScaleSheetLayoutView="100" workbookViewId="0">
      <selection activeCell="C38" sqref="C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5.62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2527</v>
      </c>
      <c r="B1" s="1391" t="s">
        <v>27</v>
      </c>
      <c r="C1" s="1392" t="s">
        <v>2351</v>
      </c>
      <c r="D1" s="1393" t="s">
        <v>48</v>
      </c>
      <c r="E1" s="1394"/>
      <c r="F1" s="2065" t="s">
        <v>3755</v>
      </c>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f>IF(C2="——",IF(B37="元/平方米",ROUND(C39*D3/10000,0),ROUND(F3*C39/10000,0)),IF(B37="元/平方米",ROUND(C39*D3/10000,0),ROUND(F3*C39/10000,0))-D2)</f>
        <v>0</v>
      </c>
      <c r="C2" s="2067" t="s">
        <v>70</v>
      </c>
      <c r="D2" s="1038" t="e">
        <f ca="1">SUMIF(INDIRECT("'"&amp;F2&amp;"'"&amp;"!A:A"),"承租人权益价值",INDIRECT("'"&amp;F2&amp;"'"&amp;"!c:c"))</f>
        <v>#REF!</v>
      </c>
      <c r="E2" s="2068" t="s">
        <v>2149</v>
      </c>
      <c r="F2" s="2069"/>
      <c r="G2" s="1039"/>
      <c r="H2" s="1039"/>
      <c r="I2" s="1039"/>
      <c r="J2" s="1039"/>
      <c r="K2" s="1041"/>
      <c r="L2" s="2961"/>
      <c r="M2" s="2962"/>
      <c r="N2" s="2962"/>
      <c r="O2" s="2962"/>
      <c r="P2" s="1327"/>
      <c r="Q2" s="708"/>
      <c r="R2" s="708"/>
      <c r="S2" s="708"/>
      <c r="T2" s="708"/>
      <c r="U2" s="708"/>
      <c r="V2" s="708"/>
      <c r="W2" s="708"/>
      <c r="X2" s="708"/>
      <c r="Y2" s="708"/>
      <c r="Z2" s="708"/>
      <c r="AA2" s="708"/>
      <c r="AB2" s="708"/>
      <c r="AC2" s="709"/>
    </row>
    <row r="3" spans="1:29" s="358" customFormat="1" ht="28.5" customHeight="1" thickBot="1">
      <c r="A3" s="209" t="s">
        <v>2150</v>
      </c>
      <c r="B3" s="566">
        <f>IF(AND(C2="——",B37="元/平方米"),C39,ROUND(B2*10000/D3,0))</f>
        <v>0</v>
      </c>
      <c r="C3" s="360" t="s">
        <v>2465</v>
      </c>
      <c r="D3" s="359">
        <f>SUMIF('数据-汇总表'!$C19:$C33,D1,'数据-汇总表'!$E19:$E33)</f>
        <v>5444.8200000000006</v>
      </c>
      <c r="E3" s="360" t="s">
        <v>2528</v>
      </c>
      <c r="F3" s="359">
        <f>SUMIF('数据-取费表'!A5:A15,D1,'数据-取费表'!AH5:AH15)</f>
        <v>0</v>
      </c>
      <c r="G3" s="1039"/>
      <c r="H3" s="1039"/>
      <c r="I3" s="1039"/>
      <c r="J3" s="1039"/>
      <c r="K3" s="1041"/>
      <c r="L3" s="2961"/>
      <c r="M3" s="2962"/>
      <c r="N3" s="2962"/>
      <c r="O3" s="2962"/>
      <c r="P3" s="1327"/>
      <c r="Q3" s="708"/>
      <c r="R3" s="708"/>
      <c r="S3" s="708"/>
      <c r="T3" s="708"/>
      <c r="U3" s="708"/>
      <c r="V3" s="708"/>
      <c r="W3" s="708"/>
      <c r="X3" s="708"/>
      <c r="Y3" s="708"/>
      <c r="Z3" s="708"/>
      <c r="AA3" s="708"/>
      <c r="AB3" s="725"/>
      <c r="AC3" s="722"/>
    </row>
    <row r="4" spans="1:29" ht="15">
      <c r="A4" s="361" t="s">
        <v>2466</v>
      </c>
      <c r="B4" s="362"/>
      <c r="C4" s="3781" t="s">
        <v>2467</v>
      </c>
      <c r="D4" s="3782"/>
      <c r="E4" s="3783" t="s">
        <v>2468</v>
      </c>
      <c r="F4" s="3784"/>
      <c r="G4" s="3781" t="s">
        <v>2469</v>
      </c>
      <c r="H4" s="3782"/>
      <c r="I4" s="3781" t="s">
        <v>2470</v>
      </c>
      <c r="J4" s="3782"/>
      <c r="K4" s="567" t="s">
        <v>2471</v>
      </c>
      <c r="L4" s="2942"/>
      <c r="M4" s="2943"/>
      <c r="N4" s="2943"/>
      <c r="O4" s="2943"/>
      <c r="P4" s="3785" t="s">
        <v>2472</v>
      </c>
      <c r="Q4" s="3786"/>
      <c r="R4" s="3768" t="s">
        <v>2468</v>
      </c>
      <c r="S4" s="3769"/>
      <c r="T4" s="3768" t="s">
        <v>2469</v>
      </c>
      <c r="U4" s="3769"/>
      <c r="V4" s="3793" t="s">
        <v>2470</v>
      </c>
      <c r="W4" s="3793"/>
      <c r="X4" s="1539"/>
      <c r="Y4" s="3768" t="s">
        <v>2472</v>
      </c>
      <c r="Z4" s="3769"/>
      <c r="AA4" s="3763" t="s">
        <v>2468</v>
      </c>
      <c r="AB4" s="3764" t="s">
        <v>2469</v>
      </c>
      <c r="AC4" s="3763" t="s">
        <v>2470</v>
      </c>
    </row>
    <row r="5" spans="1:29" ht="15">
      <c r="A5" s="364"/>
      <c r="B5" s="365"/>
      <c r="C5" s="3774" t="s">
        <v>2363</v>
      </c>
      <c r="D5" s="3775"/>
      <c r="E5" s="3772" t="str">
        <f>'案例-租金'!L32</f>
        <v>民生金融</v>
      </c>
      <c r="F5" s="3773"/>
      <c r="G5" s="3774" t="str">
        <f>'案例-租金'!L33</f>
        <v>东方广场</v>
      </c>
      <c r="H5" s="3775"/>
      <c r="I5" s="3774" t="str">
        <f>'案例-租金'!L34</f>
        <v>德信京汇</v>
      </c>
      <c r="J5" s="3775"/>
      <c r="K5" s="567"/>
      <c r="L5" s="2942"/>
      <c r="M5" s="2943"/>
      <c r="N5" s="2943"/>
      <c r="O5" s="2943"/>
      <c r="P5" s="3787"/>
      <c r="Q5" s="3788"/>
      <c r="R5" s="3770"/>
      <c r="S5" s="3771"/>
      <c r="T5" s="3770"/>
      <c r="U5" s="3771"/>
      <c r="V5" s="3793"/>
      <c r="W5" s="3793"/>
      <c r="X5" s="1539"/>
      <c r="Y5" s="3770"/>
      <c r="Z5" s="3771"/>
      <c r="AA5" s="3764"/>
      <c r="AB5" s="3764"/>
      <c r="AC5" s="3764"/>
    </row>
    <row r="6" spans="1:29" ht="15.75" thickBot="1">
      <c r="A6" s="366"/>
      <c r="B6" s="367"/>
      <c r="C6" s="3776" t="s">
        <v>2367</v>
      </c>
      <c r="D6" s="3777"/>
      <c r="E6" s="3778" t="s">
        <v>2367</v>
      </c>
      <c r="F6" s="3779"/>
      <c r="G6" s="3847" t="s">
        <v>4294</v>
      </c>
      <c r="H6" s="3777"/>
      <c r="I6" s="3847" t="s">
        <v>4295</v>
      </c>
      <c r="J6" s="3777"/>
      <c r="K6" s="567" t="s">
        <v>2368</v>
      </c>
      <c r="L6" s="2942"/>
      <c r="M6" s="2943"/>
      <c r="N6" s="2943"/>
      <c r="O6" s="2943"/>
      <c r="P6" s="3789"/>
      <c r="Q6" s="3790"/>
      <c r="R6" s="3770"/>
      <c r="S6" s="3771"/>
      <c r="T6" s="3791"/>
      <c r="U6" s="3792"/>
      <c r="V6" s="3793"/>
      <c r="W6" s="3793"/>
      <c r="X6" s="1539"/>
      <c r="Y6" s="3791"/>
      <c r="Z6" s="3792"/>
      <c r="AA6" s="3765"/>
      <c r="AB6" s="3765"/>
      <c r="AC6" s="3765"/>
    </row>
    <row r="7" spans="1:29" s="113" customFormat="1" ht="15.75" thickBot="1">
      <c r="A7" s="368" t="s">
        <v>2369</v>
      </c>
      <c r="B7" s="369"/>
      <c r="C7" s="370">
        <f>'数据-取费表'!B2</f>
        <v>42914</v>
      </c>
      <c r="D7" s="371">
        <v>100</v>
      </c>
      <c r="E7" s="372">
        <v>42856</v>
      </c>
      <c r="F7" s="373">
        <f>SUMIF(48:48,YEAR(E7)&amp;"-"&amp;MONTH(E7),49:49)</f>
        <v>100</v>
      </c>
      <c r="G7" s="372">
        <v>42705</v>
      </c>
      <c r="H7" s="371">
        <f>SUMIF(48:48,YEAR(G7)&amp;"-"&amp;MONTH(G7),49:49)</f>
        <v>100</v>
      </c>
      <c r="I7" s="372">
        <v>42856</v>
      </c>
      <c r="J7" s="371">
        <f>SUMIF(48:48,YEAR(I7)&amp;"-"&amp;MONTH(I7),49:49)</f>
        <v>100</v>
      </c>
      <c r="K7" s="568"/>
      <c r="L7" s="2944"/>
      <c r="M7" s="2945"/>
      <c r="N7" s="2945"/>
      <c r="O7" s="2945"/>
      <c r="P7" s="3766" t="s">
        <v>2370</v>
      </c>
      <c r="Q7" s="3794"/>
      <c r="R7" s="710" t="s">
        <v>17</v>
      </c>
      <c r="S7" s="711">
        <f t="shared" ref="S7:S14" si="0">F7</f>
        <v>100</v>
      </c>
      <c r="T7" s="710" t="s">
        <v>17</v>
      </c>
      <c r="U7" s="711">
        <f t="shared" ref="U7:U14" si="1">H7</f>
        <v>100</v>
      </c>
      <c r="V7" s="710" t="s">
        <v>17</v>
      </c>
      <c r="W7" s="711">
        <f t="shared" ref="W7:W14" si="2">J7</f>
        <v>100</v>
      </c>
      <c r="X7" s="712"/>
      <c r="Y7" s="3766" t="s">
        <v>2370</v>
      </c>
      <c r="Z7" s="3767"/>
      <c r="AA7" s="713">
        <f>D7/F7</f>
        <v>1</v>
      </c>
      <c r="AB7" s="713">
        <f>D7/H7</f>
        <v>1</v>
      </c>
      <c r="AC7" s="713">
        <f>D7/J7</f>
        <v>1</v>
      </c>
    </row>
    <row r="8" spans="1:29" s="113" customFormat="1" ht="15.75" thickBot="1">
      <c r="A8" s="368" t="s">
        <v>2371</v>
      </c>
      <c r="B8" s="369"/>
      <c r="C8" s="374" t="s">
        <v>2473</v>
      </c>
      <c r="D8" s="371">
        <v>100</v>
      </c>
      <c r="E8" s="374" t="s">
        <v>3461</v>
      </c>
      <c r="F8" s="373">
        <f>SUMIF(51:51,E8,52:52)-SUMIF(51:51,C8,52:52)+100</f>
        <v>100</v>
      </c>
      <c r="G8" s="374" t="s">
        <v>3461</v>
      </c>
      <c r="H8" s="371">
        <f>SUMIF(51:51,G8,52:52)-SUMIF(51:51,C8,52:52)+100</f>
        <v>100</v>
      </c>
      <c r="I8" s="374" t="s">
        <v>3461</v>
      </c>
      <c r="J8" s="371">
        <f>SUMIF(51:51,I8,52:52)-SUMIF(51:51,C8,52:52)+100</f>
        <v>100</v>
      </c>
      <c r="K8" s="568"/>
      <c r="L8" s="2944"/>
      <c r="M8" s="2945"/>
      <c r="N8" s="2945"/>
      <c r="O8" s="2945"/>
      <c r="P8" s="3766" t="s">
        <v>2373</v>
      </c>
      <c r="Q8" s="3767"/>
      <c r="R8" s="710" t="s">
        <v>17</v>
      </c>
      <c r="S8" s="711">
        <f t="shared" si="0"/>
        <v>100</v>
      </c>
      <c r="T8" s="710" t="s">
        <v>17</v>
      </c>
      <c r="U8" s="711">
        <f t="shared" si="1"/>
        <v>100</v>
      </c>
      <c r="V8" s="710" t="s">
        <v>17</v>
      </c>
      <c r="W8" s="711">
        <f t="shared" si="2"/>
        <v>100</v>
      </c>
      <c r="X8" s="712"/>
      <c r="Y8" s="3766" t="s">
        <v>2373</v>
      </c>
      <c r="Z8" s="3767"/>
      <c r="AA8" s="713">
        <f t="shared" ref="AA8:AA36" si="3">D8/F8</f>
        <v>1</v>
      </c>
      <c r="AB8" s="713">
        <f t="shared" ref="AB8:AB36" si="4">D8/H8</f>
        <v>1</v>
      </c>
      <c r="AC8" s="713">
        <f t="shared" ref="AC8:AC36" si="5">D8/J8</f>
        <v>1</v>
      </c>
    </row>
    <row r="9" spans="1:29" s="113" customFormat="1">
      <c r="A9" s="64" t="s">
        <v>2374</v>
      </c>
      <c r="B9" s="596" t="s">
        <v>2375</v>
      </c>
      <c r="C9" s="3167" t="s">
        <v>4052</v>
      </c>
      <c r="D9" s="131">
        <v>100</v>
      </c>
      <c r="E9" s="379" t="s">
        <v>3065</v>
      </c>
      <c r="F9" s="131">
        <f>SUMIF(53:53,E9,54:54)-SUMIF(53:53,C9,54:54)+100</f>
        <v>100</v>
      </c>
      <c r="G9" s="379" t="s">
        <v>3065</v>
      </c>
      <c r="H9" s="131">
        <f>SUMIF(53:53,G9,54:54)-SUMIF(53:53,C9,54:54)+100</f>
        <v>100</v>
      </c>
      <c r="I9" s="379" t="s">
        <v>3065</v>
      </c>
      <c r="J9" s="131">
        <f>SUMIF(53:53,I9,54:54)-SUMIF(53:53,C9,54:54)+100</f>
        <v>100</v>
      </c>
      <c r="K9" s="568"/>
      <c r="L9" s="2944"/>
      <c r="M9" s="2945"/>
      <c r="N9" s="2945"/>
      <c r="O9" s="2945"/>
      <c r="P9" s="3798" t="s">
        <v>2376</v>
      </c>
      <c r="Q9" s="1527" t="str">
        <f t="shared" ref="Q9:Q14" si="6">B9</f>
        <v>用途</v>
      </c>
      <c r="R9" s="710" t="s">
        <v>17</v>
      </c>
      <c r="S9" s="711">
        <f t="shared" si="0"/>
        <v>100</v>
      </c>
      <c r="T9" s="710" t="s">
        <v>17</v>
      </c>
      <c r="U9" s="711">
        <f t="shared" si="1"/>
        <v>100</v>
      </c>
      <c r="V9" s="710" t="s">
        <v>17</v>
      </c>
      <c r="W9" s="711">
        <f t="shared" si="2"/>
        <v>100</v>
      </c>
      <c r="X9" s="712"/>
      <c r="Y9" s="3708"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6"/>
      <c r="M10" s="2947"/>
      <c r="N10" s="2947"/>
      <c r="O10" s="2947"/>
      <c r="P10" s="3798"/>
      <c r="Q10" s="1527" t="str">
        <f t="shared" si="6"/>
        <v>土地使用年限（年）</v>
      </c>
      <c r="R10" s="710" t="s">
        <v>17</v>
      </c>
      <c r="S10" s="711">
        <f t="shared" si="0"/>
        <v>100</v>
      </c>
      <c r="T10" s="710" t="s">
        <v>17</v>
      </c>
      <c r="U10" s="711">
        <f t="shared" si="1"/>
        <v>100</v>
      </c>
      <c r="V10" s="710" t="s">
        <v>17</v>
      </c>
      <c r="W10" s="711">
        <f t="shared" si="2"/>
        <v>100</v>
      </c>
      <c r="X10" s="712"/>
      <c r="Y10" s="3708"/>
      <c r="Z10" s="55" t="str">
        <f t="shared" si="7"/>
        <v>土地使用年限（年）</v>
      </c>
      <c r="AA10" s="713">
        <f t="shared" si="3"/>
        <v>1</v>
      </c>
      <c r="AB10" s="713">
        <f t="shared" si="4"/>
        <v>1</v>
      </c>
      <c r="AC10" s="713">
        <f t="shared" si="5"/>
        <v>1</v>
      </c>
    </row>
    <row r="11" spans="1:29" ht="15">
      <c r="A11" s="599"/>
      <c r="B11" s="3473" t="s">
        <v>4296</v>
      </c>
      <c r="C11" s="391"/>
      <c r="D11" s="132">
        <v>100</v>
      </c>
      <c r="E11" s="391"/>
      <c r="F11" s="132">
        <f>SUMIF(57:57,E11,58:58)-SUMIF(57:57,C11,58:58)+100</f>
        <v>100</v>
      </c>
      <c r="G11" s="391"/>
      <c r="H11" s="132">
        <f>SUMIF(57:57,G11,58:58)-SUMIF(57:57,C11,58:58)+100</f>
        <v>100</v>
      </c>
      <c r="I11" s="391"/>
      <c r="J11" s="132">
        <f>SUMIF(57:57,I11,58:58)-SUMIF(57:57,C11,58:58)+100</f>
        <v>100</v>
      </c>
      <c r="K11" s="570"/>
      <c r="L11" s="2948"/>
      <c r="M11" s="2943"/>
      <c r="N11" s="2943"/>
      <c r="O11" s="2943"/>
      <c r="P11" s="3798"/>
      <c r="Q11" s="1527" t="str">
        <f t="shared" si="6"/>
        <v>租期</v>
      </c>
      <c r="R11" s="710" t="s">
        <v>17</v>
      </c>
      <c r="S11" s="711">
        <f t="shared" si="0"/>
        <v>100</v>
      </c>
      <c r="T11" s="710" t="s">
        <v>17</v>
      </c>
      <c r="U11" s="711">
        <f t="shared" si="1"/>
        <v>100</v>
      </c>
      <c r="V11" s="710" t="s">
        <v>17</v>
      </c>
      <c r="W11" s="711">
        <f t="shared" si="2"/>
        <v>100</v>
      </c>
      <c r="X11" s="712"/>
      <c r="Y11" s="3708"/>
      <c r="Z11" s="55" t="str">
        <f t="shared" si="7"/>
        <v>租期</v>
      </c>
      <c r="AA11" s="713">
        <f t="shared" si="3"/>
        <v>1</v>
      </c>
      <c r="AB11" s="713">
        <f t="shared" si="4"/>
        <v>1</v>
      </c>
      <c r="AC11" s="713">
        <f t="shared" si="5"/>
        <v>1</v>
      </c>
    </row>
    <row r="12" spans="1:29" s="113" customFormat="1" ht="15">
      <c r="A12" s="601"/>
      <c r="B12" s="3473" t="s">
        <v>4297</v>
      </c>
      <c r="C12" s="391"/>
      <c r="D12" s="392">
        <v>100</v>
      </c>
      <c r="E12" s="391"/>
      <c r="F12" s="132">
        <f>SUMIF(59:59,E12,60:60)-SUMIF(59:59,C12,60:60)+100</f>
        <v>100</v>
      </c>
      <c r="G12" s="391"/>
      <c r="H12" s="132">
        <f>SUMIF(59:59,G12,60:60)-SUMIF(59:59,C12,60:60)+100</f>
        <v>100</v>
      </c>
      <c r="I12" s="391"/>
      <c r="J12" s="132">
        <f>SUMIF(59:59,I12,60:60)-SUMIF(59:59,C12,60:60)+100</f>
        <v>100</v>
      </c>
      <c r="K12" s="570"/>
      <c r="L12" s="2944"/>
      <c r="M12" s="2945"/>
      <c r="N12" s="2945"/>
      <c r="O12" s="2945"/>
      <c r="P12" s="3798"/>
      <c r="Q12" s="1527" t="str">
        <f t="shared" si="6"/>
        <v>产别</v>
      </c>
      <c r="R12" s="710" t="s">
        <v>17</v>
      </c>
      <c r="S12" s="711">
        <f t="shared" si="0"/>
        <v>100</v>
      </c>
      <c r="T12" s="710" t="s">
        <v>17</v>
      </c>
      <c r="U12" s="711">
        <f t="shared" si="1"/>
        <v>100</v>
      </c>
      <c r="V12" s="710" t="s">
        <v>17</v>
      </c>
      <c r="W12" s="711">
        <f t="shared" si="2"/>
        <v>100</v>
      </c>
      <c r="X12" s="712"/>
      <c r="Y12" s="3708"/>
      <c r="Z12" s="55" t="str">
        <f t="shared" si="7"/>
        <v>产别</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9"/>
      <c r="M13" s="2943"/>
      <c r="N13" s="2943"/>
      <c r="O13" s="2943"/>
      <c r="P13" s="3798"/>
      <c r="Q13" s="1527">
        <f t="shared" si="6"/>
        <v>111</v>
      </c>
      <c r="R13" s="710" t="s">
        <v>17</v>
      </c>
      <c r="S13" s="711">
        <f t="shared" si="0"/>
        <v>100</v>
      </c>
      <c r="T13" s="710" t="s">
        <v>17</v>
      </c>
      <c r="U13" s="711">
        <f t="shared" si="1"/>
        <v>100</v>
      </c>
      <c r="V13" s="710" t="s">
        <v>17</v>
      </c>
      <c r="W13" s="711">
        <f t="shared" si="2"/>
        <v>100</v>
      </c>
      <c r="X13" s="712"/>
      <c r="Y13" s="3708"/>
      <c r="Z13" s="55">
        <f t="shared" si="7"/>
        <v>111</v>
      </c>
      <c r="AA13" s="713">
        <f t="shared" si="3"/>
        <v>1</v>
      </c>
      <c r="AB13" s="713">
        <f t="shared" si="4"/>
        <v>1</v>
      </c>
      <c r="AC13" s="713">
        <f t="shared" si="5"/>
        <v>1</v>
      </c>
    </row>
    <row r="14" spans="1:29" ht="125.25" customHeight="1">
      <c r="A14" s="361" t="s">
        <v>2380</v>
      </c>
      <c r="B14" s="3478" t="s">
        <v>4317</v>
      </c>
      <c r="C14" s="3479" t="str">
        <f>IF(B1="工业",估价对象房地状况!G4,估价对象房地状况!C6)</f>
        <v>估价对象位于东四路口的东南角，紧临城市主干道-朝阳门内大街，西距东四南大街100米，距离地铁5号线（2007年通车）与6号线（2012年通车）东四站75米，多条公交线路通达，公共交通便利，停车便捷度好，综合评价交通便捷度较好。</v>
      </c>
      <c r="D14" s="400">
        <v>100</v>
      </c>
      <c r="E14" s="401"/>
      <c r="F14" s="402">
        <f>SUMIF(63:63,E15,64:64)-SUMIF(63:63,C15,64:64)+100</f>
        <v>106</v>
      </c>
      <c r="G14" s="403"/>
      <c r="H14" s="400">
        <f>SUMIF(63:63,G15,64:64)-SUMIF(63:63,C15,64:64)+100</f>
        <v>106</v>
      </c>
      <c r="I14" s="401"/>
      <c r="J14" s="400">
        <f>SUMIF(63:63,I15,64:64)-SUMIF(63:63,C15,64:64)+100</f>
        <v>100</v>
      </c>
      <c r="K14" s="571">
        <v>6</v>
      </c>
      <c r="L14" s="2949"/>
      <c r="M14" s="2943"/>
      <c r="N14" s="2943"/>
      <c r="O14" s="2943"/>
      <c r="P14" s="3800" t="s">
        <v>2381</v>
      </c>
      <c r="Q14" s="1536" t="str">
        <f t="shared" si="6"/>
        <v>停车便捷度</v>
      </c>
      <c r="R14" s="714" t="s">
        <v>17</v>
      </c>
      <c r="S14" s="715">
        <f t="shared" si="0"/>
        <v>106</v>
      </c>
      <c r="T14" s="714" t="s">
        <v>17</v>
      </c>
      <c r="U14" s="715">
        <f t="shared" si="1"/>
        <v>106</v>
      </c>
      <c r="V14" s="714" t="s">
        <v>17</v>
      </c>
      <c r="W14" s="715">
        <f t="shared" si="2"/>
        <v>100</v>
      </c>
      <c r="X14" s="1539"/>
      <c r="Y14" s="3800" t="s">
        <v>2381</v>
      </c>
      <c r="Z14" s="1540" t="str">
        <f t="shared" si="7"/>
        <v>停车便捷度</v>
      </c>
      <c r="AA14" s="1537">
        <f t="shared" si="3"/>
        <v>0.94339622641509435</v>
      </c>
      <c r="AB14" s="1537">
        <f t="shared" si="4"/>
        <v>0.94339622641509435</v>
      </c>
      <c r="AC14" s="1537">
        <f t="shared" si="5"/>
        <v>1</v>
      </c>
    </row>
    <row r="15" spans="1:29" ht="15">
      <c r="A15" s="364"/>
      <c r="B15" s="603"/>
      <c r="C15" s="406" t="s">
        <v>3094</v>
      </c>
      <c r="D15" s="407"/>
      <c r="E15" s="406" t="str">
        <f>'比较法租金-办公'!I18</f>
        <v>好</v>
      </c>
      <c r="F15" s="408"/>
      <c r="G15" s="406" t="s">
        <v>3095</v>
      </c>
      <c r="H15" s="409"/>
      <c r="I15" s="406" t="s">
        <v>3094</v>
      </c>
      <c r="J15" s="407"/>
      <c r="K15" s="572"/>
      <c r="L15" s="2949"/>
      <c r="M15" s="2943"/>
      <c r="N15" s="2943"/>
      <c r="O15" s="2943"/>
      <c r="P15" s="3801"/>
      <c r="Q15" s="1536"/>
      <c r="R15" s="714"/>
      <c r="S15" s="715"/>
      <c r="T15" s="714"/>
      <c r="U15" s="715"/>
      <c r="V15" s="714"/>
      <c r="W15" s="715"/>
      <c r="X15" s="1539"/>
      <c r="Y15" s="3801"/>
      <c r="Z15" s="1540"/>
      <c r="AA15" s="1537">
        <v>1</v>
      </c>
      <c r="AB15" s="1537">
        <v>1</v>
      </c>
      <c r="AC15" s="1537">
        <v>1</v>
      </c>
    </row>
    <row r="16" spans="1:29" ht="105" customHeight="1">
      <c r="A16" s="364"/>
      <c r="B16" s="587" t="s">
        <v>2509</v>
      </c>
      <c r="C16" s="2086" t="str">
        <f>IF(B1="工业",估价对象房地状况!G5,估价对象房地状况!C7)</f>
        <v>估价对象所在区域有购物场所（隆福广场、物美超市等），教育机构（灯市口小学、北京市第一六六中学），医疗网点（北京市东城区口腔医院、北京市东城区朝阳门社区卫生服务中心），金融网点（中国邮政储蓄银行、中国工商银行、北京农商银行、广发银行），综合分析，公共配套设施齐备程度较好。</v>
      </c>
      <c r="D16" s="414">
        <v>100</v>
      </c>
      <c r="E16" s="416"/>
      <c r="F16" s="417">
        <f>SUMIF(65:65,E17,66:66)-SUMIF(65:65,C17,66:66)+100</f>
        <v>100</v>
      </c>
      <c r="G16" s="418"/>
      <c r="H16" s="414">
        <f>SUMIF(65:65,G17,66:66)-SUMIF(65:65,C17,66:66)+100</f>
        <v>100</v>
      </c>
      <c r="I16" s="416"/>
      <c r="J16" s="414">
        <f>SUMIF(65:65,I17,66:66)-SUMIF(65:65,C17,66:66)+100</f>
        <v>100</v>
      </c>
      <c r="K16" s="571">
        <v>2</v>
      </c>
      <c r="L16" s="2949"/>
      <c r="M16" s="2943"/>
      <c r="N16" s="2943"/>
      <c r="O16" s="2943"/>
      <c r="P16" s="3801"/>
      <c r="Q16" s="1536" t="str">
        <f>B16</f>
        <v>公共配套设施</v>
      </c>
      <c r="R16" s="714" t="s">
        <v>17</v>
      </c>
      <c r="S16" s="715">
        <f>F16</f>
        <v>100</v>
      </c>
      <c r="T16" s="714" t="s">
        <v>17</v>
      </c>
      <c r="U16" s="715">
        <f>H16</f>
        <v>100</v>
      </c>
      <c r="V16" s="714" t="s">
        <v>17</v>
      </c>
      <c r="W16" s="715">
        <f>J16</f>
        <v>100</v>
      </c>
      <c r="X16" s="1539"/>
      <c r="Y16" s="3801"/>
      <c r="Z16" s="1540" t="str">
        <f>Q16</f>
        <v>公共配套设施</v>
      </c>
      <c r="AA16" s="1537">
        <f t="shared" si="3"/>
        <v>1</v>
      </c>
      <c r="AB16" s="1537">
        <f t="shared" si="4"/>
        <v>1</v>
      </c>
      <c r="AC16" s="1537">
        <f t="shared" si="5"/>
        <v>1</v>
      </c>
    </row>
    <row r="17" spans="1:29" ht="15">
      <c r="A17" s="364"/>
      <c r="B17" s="588"/>
      <c r="C17" s="2087" t="s">
        <v>3094</v>
      </c>
      <c r="D17" s="407"/>
      <c r="E17" s="406" t="str">
        <f>'比较法租金-办公'!I20</f>
        <v>较好</v>
      </c>
      <c r="F17" s="408"/>
      <c r="G17" s="406" t="s">
        <v>3094</v>
      </c>
      <c r="H17" s="407"/>
      <c r="I17" s="406" t="s">
        <v>3094</v>
      </c>
      <c r="J17" s="407"/>
      <c r="K17" s="572"/>
      <c r="L17" s="2949"/>
      <c r="M17" s="2943"/>
      <c r="N17" s="2943"/>
      <c r="O17" s="2943"/>
      <c r="P17" s="3801"/>
      <c r="Q17" s="1536"/>
      <c r="R17" s="714"/>
      <c r="S17" s="715"/>
      <c r="T17" s="714"/>
      <c r="U17" s="715"/>
      <c r="V17" s="714"/>
      <c r="W17" s="715"/>
      <c r="X17" s="1539"/>
      <c r="Y17" s="3801"/>
      <c r="Z17" s="1540"/>
      <c r="AA17" s="1537">
        <v>1</v>
      </c>
      <c r="AB17" s="1537">
        <v>1</v>
      </c>
      <c r="AC17" s="1537">
        <v>1</v>
      </c>
    </row>
    <row r="18" spans="1:29" ht="42.75">
      <c r="A18" s="364"/>
      <c r="B18" s="589" t="s">
        <v>2510</v>
      </c>
      <c r="C18" s="2086" t="str">
        <f>IF(B1="工业",估价对象房地状况!G6,估价对象房地状况!C8)</f>
        <v>估价对象所在区域基础设施水平-七通</v>
      </c>
      <c r="D18" s="409">
        <v>100</v>
      </c>
      <c r="E18" s="411"/>
      <c r="F18" s="417">
        <f>SUMIF(67:67,E19,68:68)-SUMIF(67:67,C19,68:68)+100</f>
        <v>100</v>
      </c>
      <c r="G18" s="413"/>
      <c r="H18" s="414">
        <f>SUMIF(67:67,G19,68:68)-SUMIF(67:67,C19,68:68)+100</f>
        <v>100</v>
      </c>
      <c r="I18" s="411"/>
      <c r="J18" s="414">
        <f>SUMIF(67:67,I19,68:68)-SUMIF(67:67,C19,68:68)+100</f>
        <v>100</v>
      </c>
      <c r="K18" s="571">
        <v>2</v>
      </c>
      <c r="L18" s="2949"/>
      <c r="M18" s="2943"/>
      <c r="N18" s="2943"/>
      <c r="O18" s="2943"/>
      <c r="P18" s="3801"/>
      <c r="Q18" s="1536" t="str">
        <f>B18</f>
        <v>基础设施水平</v>
      </c>
      <c r="R18" s="714" t="s">
        <v>17</v>
      </c>
      <c r="S18" s="715">
        <f>F18</f>
        <v>100</v>
      </c>
      <c r="T18" s="714" t="s">
        <v>17</v>
      </c>
      <c r="U18" s="715">
        <f>H18</f>
        <v>100</v>
      </c>
      <c r="V18" s="714" t="s">
        <v>17</v>
      </c>
      <c r="W18" s="715">
        <f>J18</f>
        <v>100</v>
      </c>
      <c r="X18" s="1539"/>
      <c r="Y18" s="3801"/>
      <c r="Z18" s="1540" t="str">
        <f>Q18</f>
        <v>基础设施水平</v>
      </c>
      <c r="AA18" s="1537">
        <f>D18/F18</f>
        <v>1</v>
      </c>
      <c r="AB18" s="1537">
        <f>D18/H18</f>
        <v>1</v>
      </c>
      <c r="AC18" s="1537">
        <f>D18/J18</f>
        <v>1</v>
      </c>
    </row>
    <row r="19" spans="1:29" ht="15">
      <c r="A19" s="364"/>
      <c r="B19" s="589"/>
      <c r="C19" s="2087" t="s">
        <v>3475</v>
      </c>
      <c r="D19" s="409"/>
      <c r="E19" s="2087" t="s">
        <v>3475</v>
      </c>
      <c r="F19" s="412"/>
      <c r="G19" s="2087" t="s">
        <v>3475</v>
      </c>
      <c r="H19" s="407"/>
      <c r="I19" s="2087" t="s">
        <v>3475</v>
      </c>
      <c r="J19" s="407"/>
      <c r="K19" s="1292"/>
      <c r="L19" s="2949"/>
      <c r="M19" s="2943"/>
      <c r="N19" s="2943"/>
      <c r="O19" s="2943"/>
      <c r="P19" s="3801"/>
      <c r="Q19" s="1536"/>
      <c r="R19" s="714"/>
      <c r="S19" s="715"/>
      <c r="T19" s="714"/>
      <c r="U19" s="715"/>
      <c r="V19" s="714"/>
      <c r="W19" s="715"/>
      <c r="X19" s="1539"/>
      <c r="Y19" s="3801"/>
      <c r="Z19" s="1540"/>
      <c r="AA19" s="1537">
        <v>1</v>
      </c>
      <c r="AB19" s="1537">
        <v>1</v>
      </c>
      <c r="AC19" s="1537">
        <v>1</v>
      </c>
    </row>
    <row r="20" spans="1:29" ht="57">
      <c r="A20" s="364"/>
      <c r="B20" s="587" t="s">
        <v>2530</v>
      </c>
      <c r="C20" s="2086" t="str">
        <f>IF(B1="工业",估价对象房地状况!G7,估价对象房地状况!C9)</f>
        <v>周边有隆福寺广场、东四清真寺等，自然及人文环境较好</v>
      </c>
      <c r="D20" s="414">
        <v>100</v>
      </c>
      <c r="E20" s="416"/>
      <c r="F20" s="417">
        <f>SUMIF(69:69,E21,70:70)-SUMIF(69:69,C21,70:70)+100</f>
        <v>100</v>
      </c>
      <c r="G20" s="418"/>
      <c r="H20" s="409">
        <f>SUMIF(69:69,G21,70:70)-SUMIF(69:69,C21,70:70)+100</f>
        <v>100</v>
      </c>
      <c r="I20" s="411"/>
      <c r="J20" s="409">
        <f>SUMIF(69:69,I21,70:70)-SUMIF(69:69,C21,70:70)+100</f>
        <v>100</v>
      </c>
      <c r="K20" s="571">
        <v>2</v>
      </c>
      <c r="L20" s="2949"/>
      <c r="M20" s="2943"/>
      <c r="N20" s="2943"/>
      <c r="O20" s="2943"/>
      <c r="P20" s="3801"/>
      <c r="Q20" s="1536" t="str">
        <f>B20</f>
        <v>自然及人文环境</v>
      </c>
      <c r="R20" s="714" t="s">
        <v>17</v>
      </c>
      <c r="S20" s="715">
        <f>F20</f>
        <v>100</v>
      </c>
      <c r="T20" s="714" t="s">
        <v>17</v>
      </c>
      <c r="U20" s="715">
        <f>H20</f>
        <v>100</v>
      </c>
      <c r="V20" s="714" t="s">
        <v>17</v>
      </c>
      <c r="W20" s="715">
        <f>J20</f>
        <v>100</v>
      </c>
      <c r="X20" s="1539"/>
      <c r="Y20" s="3801"/>
      <c r="Z20" s="1540" t="str">
        <f>Q20</f>
        <v>自然及人文环境</v>
      </c>
      <c r="AA20" s="1537">
        <f t="shared" si="3"/>
        <v>1</v>
      </c>
      <c r="AB20" s="1537">
        <f t="shared" si="4"/>
        <v>1</v>
      </c>
      <c r="AC20" s="1537">
        <f t="shared" si="5"/>
        <v>1</v>
      </c>
    </row>
    <row r="21" spans="1:29" ht="15">
      <c r="A21" s="364"/>
      <c r="B21" s="588"/>
      <c r="C21" s="406" t="s">
        <v>3094</v>
      </c>
      <c r="D21" s="407"/>
      <c r="E21" s="406" t="str">
        <f>'比较法租金-办公'!I24</f>
        <v>较好</v>
      </c>
      <c r="F21" s="408"/>
      <c r="G21" s="406" t="s">
        <v>3094</v>
      </c>
      <c r="H21" s="407"/>
      <c r="I21" s="406" t="s">
        <v>3094</v>
      </c>
      <c r="J21" s="407"/>
      <c r="K21" s="572"/>
      <c r="L21" s="2949"/>
      <c r="M21" s="2943"/>
      <c r="N21" s="2943"/>
      <c r="O21" s="2943"/>
      <c r="P21" s="3801"/>
      <c r="Q21" s="1536"/>
      <c r="R21" s="714"/>
      <c r="S21" s="715"/>
      <c r="T21" s="714"/>
      <c r="U21" s="715"/>
      <c r="V21" s="714"/>
      <c r="W21" s="715"/>
      <c r="X21" s="1539"/>
      <c r="Y21" s="3801"/>
      <c r="Z21" s="1540"/>
      <c r="AA21" s="1537">
        <v>1</v>
      </c>
      <c r="AB21" s="1537">
        <v>1</v>
      </c>
      <c r="AC21" s="1537">
        <v>1</v>
      </c>
    </row>
    <row r="22" spans="1:29" ht="15">
      <c r="A22" s="364"/>
      <c r="B22" s="587" t="s">
        <v>2531</v>
      </c>
      <c r="C22" s="573"/>
      <c r="D22" s="409">
        <v>100</v>
      </c>
      <c r="E22" s="573"/>
      <c r="F22" s="420">
        <f>SUMIF(71:71,E22,72:72)-SUMIF(71:71,C22,72:72)+100</f>
        <v>100</v>
      </c>
      <c r="G22" s="573"/>
      <c r="H22" s="394">
        <f>SUMIF(71:71,G22,72:72)-SUMIF(71:71,C22,72:72)+100</f>
        <v>100</v>
      </c>
      <c r="I22" s="573"/>
      <c r="J22" s="394">
        <f>SUMIF(71:71,I22,72:72)-SUMIF(71:71,C22,72:72)+100</f>
        <v>100</v>
      </c>
      <c r="K22" s="569"/>
      <c r="L22" s="2949"/>
      <c r="M22" s="2943"/>
      <c r="N22" s="2943"/>
      <c r="O22" s="2943"/>
      <c r="P22" s="3801"/>
      <c r="Q22" s="1536" t="str">
        <f>B22</f>
        <v>楼层</v>
      </c>
      <c r="R22" s="714" t="s">
        <v>17</v>
      </c>
      <c r="S22" s="715">
        <f>F22</f>
        <v>100</v>
      </c>
      <c r="T22" s="714" t="s">
        <v>17</v>
      </c>
      <c r="U22" s="715">
        <f>H22</f>
        <v>100</v>
      </c>
      <c r="V22" s="714" t="s">
        <v>17</v>
      </c>
      <c r="W22" s="715">
        <f>J22</f>
        <v>100</v>
      </c>
      <c r="X22" s="1539"/>
      <c r="Y22" s="3801"/>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9"/>
      <c r="M23" s="2943"/>
      <c r="N23" s="2943"/>
      <c r="O23" s="2943"/>
      <c r="P23" s="3801"/>
      <c r="Q23" s="1536">
        <f>B23</f>
        <v>111</v>
      </c>
      <c r="R23" s="714" t="s">
        <v>17</v>
      </c>
      <c r="S23" s="715">
        <f>F23</f>
        <v>100</v>
      </c>
      <c r="T23" s="714" t="s">
        <v>17</v>
      </c>
      <c r="U23" s="715">
        <f>H23</f>
        <v>100</v>
      </c>
      <c r="V23" s="714" t="s">
        <v>17</v>
      </c>
      <c r="W23" s="715">
        <f>J23</f>
        <v>100</v>
      </c>
      <c r="X23" s="1539"/>
      <c r="Y23" s="3801"/>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9"/>
      <c r="M24" s="2943"/>
      <c r="N24" s="2943"/>
      <c r="O24" s="2943"/>
      <c r="P24" s="3801"/>
      <c r="Q24" s="1536">
        <f t="shared" ref="Q24:Q36" si="8">B24</f>
        <v>111</v>
      </c>
      <c r="R24" s="714" t="s">
        <v>17</v>
      </c>
      <c r="S24" s="715">
        <f>F24</f>
        <v>100</v>
      </c>
      <c r="T24" s="714" t="s">
        <v>17</v>
      </c>
      <c r="U24" s="715">
        <f>H24</f>
        <v>100</v>
      </c>
      <c r="V24" s="714" t="s">
        <v>17</v>
      </c>
      <c r="W24" s="715">
        <f>J24</f>
        <v>100</v>
      </c>
      <c r="X24" s="1539"/>
      <c r="Y24" s="3801"/>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4"/>
      <c r="M25" s="2945"/>
      <c r="N25" s="2945"/>
      <c r="O25" s="2945"/>
      <c r="P25" s="3801"/>
      <c r="Q25" s="1527">
        <f t="shared" si="8"/>
        <v>111</v>
      </c>
      <c r="R25" s="710" t="s">
        <v>17</v>
      </c>
      <c r="S25" s="711">
        <f>F25</f>
        <v>100</v>
      </c>
      <c r="T25" s="710" t="s">
        <v>17</v>
      </c>
      <c r="U25" s="711">
        <f>H25</f>
        <v>100</v>
      </c>
      <c r="V25" s="710" t="s">
        <v>17</v>
      </c>
      <c r="W25" s="711">
        <f>J25</f>
        <v>100</v>
      </c>
      <c r="X25" s="712"/>
      <c r="Y25" s="3801"/>
      <c r="Z25" s="55">
        <f>Q25</f>
        <v>111</v>
      </c>
      <c r="AA25" s="1537">
        <f>D25/F25</f>
        <v>1</v>
      </c>
      <c r="AB25" s="1537">
        <f>D25/H25</f>
        <v>1</v>
      </c>
      <c r="AC25" s="1537">
        <f>D25/J25</f>
        <v>1</v>
      </c>
    </row>
    <row r="26" spans="1:29" ht="28.5">
      <c r="A26" s="608" t="s">
        <v>2384</v>
      </c>
      <c r="B26" s="66" t="s">
        <v>2532</v>
      </c>
      <c r="C26" s="2158" t="str">
        <f>B1</f>
        <v>办公</v>
      </c>
      <c r="D26" s="407">
        <v>100</v>
      </c>
      <c r="E26" s="406" t="s">
        <v>27</v>
      </c>
      <c r="F26" s="408">
        <f>SUMIF(79:79,E26,80:80)-SUMIF(79:79,C26,80:80)+100</f>
        <v>100</v>
      </c>
      <c r="G26" s="406" t="s">
        <v>27</v>
      </c>
      <c r="H26" s="407">
        <f>SUMIF(79:79,G26,80:80)-SUMIF(79:79,C26,80:80)+100</f>
        <v>100</v>
      </c>
      <c r="I26" s="406" t="s">
        <v>27</v>
      </c>
      <c r="J26" s="407">
        <f>SUMIF(79:79,I26,80:80)-SUMIF(79:79,C26,80:80)+100</f>
        <v>100</v>
      </c>
      <c r="K26" s="569">
        <v>3</v>
      </c>
      <c r="L26" s="2949"/>
      <c r="M26" s="2943"/>
      <c r="N26" s="2943"/>
      <c r="O26" s="2943"/>
      <c r="P26" s="3809" t="s">
        <v>2386</v>
      </c>
      <c r="Q26" s="1536" t="str">
        <f t="shared" si="8"/>
        <v>配套类型</v>
      </c>
      <c r="R26" s="714" t="s">
        <v>17</v>
      </c>
      <c r="S26" s="715">
        <f t="shared" ref="S26:S36" si="9">F26</f>
        <v>100</v>
      </c>
      <c r="T26" s="714" t="s">
        <v>17</v>
      </c>
      <c r="U26" s="715">
        <f t="shared" ref="U26:U36" si="10">H26</f>
        <v>100</v>
      </c>
      <c r="V26" s="714" t="s">
        <v>17</v>
      </c>
      <c r="W26" s="715">
        <f t="shared" ref="W26:W36" si="11">J26</f>
        <v>100</v>
      </c>
      <c r="X26" s="1539"/>
      <c r="Y26" s="3805" t="s">
        <v>2386</v>
      </c>
      <c r="Z26" s="1540" t="str">
        <f t="shared" ref="Z26:Z36" si="12">Q26</f>
        <v>配套类型</v>
      </c>
      <c r="AA26" s="1537">
        <f t="shared" si="3"/>
        <v>1</v>
      </c>
      <c r="AB26" s="1537">
        <f t="shared" si="4"/>
        <v>1</v>
      </c>
      <c r="AC26" s="1537">
        <f t="shared" si="5"/>
        <v>1</v>
      </c>
    </row>
    <row r="27" spans="1:29" s="430" customFormat="1" ht="15">
      <c r="A27" s="609"/>
      <c r="B27" s="3477" t="s">
        <v>4316</v>
      </c>
      <c r="C27" s="611" t="s">
        <v>4053</v>
      </c>
      <c r="D27" s="132">
        <v>100</v>
      </c>
      <c r="E27" s="611" t="s">
        <v>4053</v>
      </c>
      <c r="F27" s="420">
        <f>SUMIF(81:81,E27,82:82)-SUMIF(81:81,C27,82:82)+100</f>
        <v>100</v>
      </c>
      <c r="G27" s="611" t="s">
        <v>4054</v>
      </c>
      <c r="H27" s="394">
        <f>SUMIF(81:81,G27,82:82)-SUMIF(81:81,C27,82:82)+100</f>
        <v>100</v>
      </c>
      <c r="I27" s="611" t="s">
        <v>4055</v>
      </c>
      <c r="J27" s="394">
        <f>SUMIF(81:81,I27,82:82)-SUMIF(81:81,C27,82:82)+100</f>
        <v>100</v>
      </c>
      <c r="K27" s="570"/>
      <c r="L27" s="2948"/>
      <c r="M27" s="2950"/>
      <c r="N27" s="2950"/>
      <c r="O27" s="2950"/>
      <c r="P27" s="3805"/>
      <c r="Q27" s="716" t="str">
        <f t="shared" si="8"/>
        <v>项目停车位配比</v>
      </c>
      <c r="R27" s="717" t="s">
        <v>17</v>
      </c>
      <c r="S27" s="718">
        <f t="shared" si="9"/>
        <v>100</v>
      </c>
      <c r="T27" s="717" t="s">
        <v>17</v>
      </c>
      <c r="U27" s="718">
        <f t="shared" si="10"/>
        <v>100</v>
      </c>
      <c r="V27" s="717" t="s">
        <v>17</v>
      </c>
      <c r="W27" s="718">
        <f t="shared" si="11"/>
        <v>100</v>
      </c>
      <c r="X27" s="719"/>
      <c r="Y27" s="3805"/>
      <c r="Z27" s="720" t="str">
        <f t="shared" si="12"/>
        <v>项目停车位配比</v>
      </c>
      <c r="AA27" s="1537">
        <f t="shared" si="3"/>
        <v>1</v>
      </c>
      <c r="AB27" s="1537">
        <f t="shared" si="4"/>
        <v>1</v>
      </c>
      <c r="AC27" s="1537">
        <f t="shared" si="5"/>
        <v>1</v>
      </c>
    </row>
    <row r="28" spans="1:29" ht="15">
      <c r="A28" s="612"/>
      <c r="B28" s="610" t="s">
        <v>2533</v>
      </c>
      <c r="C28" s="419" t="s">
        <v>3503</v>
      </c>
      <c r="D28" s="394">
        <v>100</v>
      </c>
      <c r="E28" s="419" t="s">
        <v>3500</v>
      </c>
      <c r="F28" s="420">
        <f>SUMIF(83:83,E28,84:84)-SUMIF(83:83,C28,84:84)+100</f>
        <v>106</v>
      </c>
      <c r="G28" s="419" t="s">
        <v>3500</v>
      </c>
      <c r="H28" s="394">
        <f>SUMIF(83:83,G28,84:84)-SUMIF(83:83,C28,84:84)+100</f>
        <v>106</v>
      </c>
      <c r="I28" s="419" t="s">
        <v>3500</v>
      </c>
      <c r="J28" s="394">
        <f>SUMIF(83:83,I28,84:84)-SUMIF(83:83,C28,84:84)+100</f>
        <v>106</v>
      </c>
      <c r="K28" s="569">
        <v>6</v>
      </c>
      <c r="L28" s="2949"/>
      <c r="M28" s="2943"/>
      <c r="N28" s="2943"/>
      <c r="O28" s="2943"/>
      <c r="P28" s="3805"/>
      <c r="Q28" s="1536" t="str">
        <f t="shared" si="8"/>
        <v>公共部分装修</v>
      </c>
      <c r="R28" s="714" t="s">
        <v>17</v>
      </c>
      <c r="S28" s="715">
        <f t="shared" si="9"/>
        <v>106</v>
      </c>
      <c r="T28" s="714" t="s">
        <v>17</v>
      </c>
      <c r="U28" s="715">
        <f t="shared" si="10"/>
        <v>106</v>
      </c>
      <c r="V28" s="714" t="s">
        <v>17</v>
      </c>
      <c r="W28" s="715">
        <f t="shared" si="11"/>
        <v>106</v>
      </c>
      <c r="X28" s="1539"/>
      <c r="Y28" s="3805"/>
      <c r="Z28" s="1540" t="str">
        <f t="shared" si="12"/>
        <v>公共部分装修</v>
      </c>
      <c r="AA28" s="1537">
        <f t="shared" si="3"/>
        <v>0.94339622641509435</v>
      </c>
      <c r="AB28" s="1537">
        <f t="shared" si="4"/>
        <v>0.94339622641509435</v>
      </c>
      <c r="AC28" s="1537">
        <f t="shared" si="5"/>
        <v>0.94339622641509435</v>
      </c>
    </row>
    <row r="29" spans="1:29" ht="15" hidden="1">
      <c r="A29" s="612"/>
      <c r="B29" s="610" t="s">
        <v>2534</v>
      </c>
      <c r="C29" s="428">
        <v>100</v>
      </c>
      <c r="D29" s="394">
        <v>100</v>
      </c>
      <c r="E29" s="433">
        <v>1</v>
      </c>
      <c r="F29" s="420">
        <f>LOOKUP(E29,86:86,87:87)-LOOKUP(C29,86:86,87:87)+100</f>
        <v>100</v>
      </c>
      <c r="G29" s="433">
        <v>1</v>
      </c>
      <c r="H29" s="420">
        <f>LOOKUP(G29,86:86,87:87)-LOOKUP(C29,86:86,87:87)+100</f>
        <v>100</v>
      </c>
      <c r="I29" s="433">
        <v>1</v>
      </c>
      <c r="J29" s="394">
        <f>LOOKUP(I29,86:86,87:87)-LOOKUP(C29,86:86,87:87)+100</f>
        <v>100</v>
      </c>
      <c r="K29" s="569"/>
      <c r="L29" s="2949"/>
      <c r="M29" s="2943"/>
      <c r="N29" s="2943"/>
      <c r="O29" s="2943"/>
      <c r="P29" s="3805"/>
      <c r="Q29" s="1536" t="str">
        <f t="shared" si="8"/>
        <v>成新率</v>
      </c>
      <c r="R29" s="714" t="s">
        <v>17</v>
      </c>
      <c r="S29" s="715">
        <f t="shared" si="9"/>
        <v>100</v>
      </c>
      <c r="T29" s="714" t="s">
        <v>17</v>
      </c>
      <c r="U29" s="715">
        <f t="shared" si="10"/>
        <v>100</v>
      </c>
      <c r="V29" s="714" t="s">
        <v>17</v>
      </c>
      <c r="W29" s="715">
        <f t="shared" si="11"/>
        <v>100</v>
      </c>
      <c r="X29" s="1539"/>
      <c r="Y29" s="3805"/>
      <c r="Z29" s="1540" t="str">
        <f t="shared" si="12"/>
        <v>成新率</v>
      </c>
      <c r="AA29" s="1537">
        <f t="shared" si="3"/>
        <v>1</v>
      </c>
      <c r="AB29" s="1537">
        <f t="shared" si="4"/>
        <v>1</v>
      </c>
      <c r="AC29" s="1537">
        <f t="shared" si="5"/>
        <v>1</v>
      </c>
    </row>
    <row r="30" spans="1:29" ht="15">
      <c r="A30" s="612"/>
      <c r="B30" s="610" t="s">
        <v>2535</v>
      </c>
      <c r="C30" s="613"/>
      <c r="D30" s="394">
        <v>100</v>
      </c>
      <c r="E30" s="613"/>
      <c r="F30" s="420">
        <f>SUMIF(88:88,E30,89:89)-SUMIF(88:88,C30,89:89)+100</f>
        <v>100</v>
      </c>
      <c r="G30" s="613"/>
      <c r="H30" s="394">
        <f>SUMIF(88:88,E30,89:89)-SUMIF(88:88,C30,89:89)+100</f>
        <v>100</v>
      </c>
      <c r="I30" s="613"/>
      <c r="J30" s="394">
        <f>SUMIF(88:88,E30,89:89)-SUMIF(88:88,C30,89:89)+100</f>
        <v>100</v>
      </c>
      <c r="K30" s="569"/>
      <c r="L30" s="2949"/>
      <c r="M30" s="2943"/>
      <c r="N30" s="2943"/>
      <c r="O30" s="2943"/>
      <c r="P30" s="3805"/>
      <c r="Q30" s="1536" t="str">
        <f t="shared" si="8"/>
        <v>物业等级</v>
      </c>
      <c r="R30" s="714" t="s">
        <v>17</v>
      </c>
      <c r="S30" s="715">
        <f t="shared" si="9"/>
        <v>100</v>
      </c>
      <c r="T30" s="714" t="s">
        <v>17</v>
      </c>
      <c r="U30" s="715">
        <f t="shared" si="10"/>
        <v>100</v>
      </c>
      <c r="V30" s="714" t="s">
        <v>17</v>
      </c>
      <c r="W30" s="715">
        <f t="shared" si="11"/>
        <v>100</v>
      </c>
      <c r="X30" s="1539"/>
      <c r="Y30" s="3805"/>
      <c r="Z30" s="1540" t="str">
        <f t="shared" si="12"/>
        <v>物业等级</v>
      </c>
      <c r="AA30" s="1537">
        <f t="shared" si="3"/>
        <v>1</v>
      </c>
      <c r="AB30" s="1537">
        <f t="shared" si="4"/>
        <v>1</v>
      </c>
      <c r="AC30" s="1537">
        <f t="shared" si="5"/>
        <v>1</v>
      </c>
    </row>
    <row r="31" spans="1:29" s="113" customFormat="1" ht="15" hidden="1">
      <c r="A31" s="614"/>
      <c r="B31" s="610" t="s">
        <v>2536</v>
      </c>
      <c r="C31" s="428">
        <v>40</v>
      </c>
      <c r="D31" s="132">
        <v>100</v>
      </c>
      <c r="E31" s="428">
        <v>40</v>
      </c>
      <c r="F31" s="420">
        <f>LOOKUP(E31,91:91,92:92)-LOOKUP(C31,91:91,92:92)+100</f>
        <v>100</v>
      </c>
      <c r="G31" s="428">
        <v>40</v>
      </c>
      <c r="H31" s="394">
        <f>LOOKUP(G31,91:91,92:92)-LOOKUP(C31,91:91,92:92)+100</f>
        <v>100</v>
      </c>
      <c r="I31" s="428">
        <v>40</v>
      </c>
      <c r="J31" s="394">
        <f>LOOKUP(I31,91:91,92:92)-LOOKUP(C31,91:91,92:92)+100</f>
        <v>100</v>
      </c>
      <c r="K31" s="569">
        <v>0</v>
      </c>
      <c r="L31" s="2944"/>
      <c r="M31" s="2945"/>
      <c r="N31" s="2945"/>
      <c r="O31" s="2945"/>
      <c r="P31" s="3805"/>
      <c r="Q31" s="1527" t="str">
        <f t="shared" si="8"/>
        <v>停车位面积</v>
      </c>
      <c r="R31" s="710" t="s">
        <v>17</v>
      </c>
      <c r="S31" s="711">
        <f t="shared" si="9"/>
        <v>100</v>
      </c>
      <c r="T31" s="710" t="s">
        <v>17</v>
      </c>
      <c r="U31" s="711">
        <f t="shared" si="10"/>
        <v>100</v>
      </c>
      <c r="V31" s="710" t="s">
        <v>17</v>
      </c>
      <c r="W31" s="711">
        <f t="shared" si="11"/>
        <v>100</v>
      </c>
      <c r="X31" s="712"/>
      <c r="Y31" s="3805"/>
      <c r="Z31" s="55" t="str">
        <f t="shared" si="12"/>
        <v>停车位面积</v>
      </c>
      <c r="AA31" s="713">
        <f t="shared" si="3"/>
        <v>1</v>
      </c>
      <c r="AB31" s="713">
        <f t="shared" si="4"/>
        <v>1</v>
      </c>
      <c r="AC31" s="713">
        <f t="shared" si="5"/>
        <v>1</v>
      </c>
    </row>
    <row r="32" spans="1:29" ht="15">
      <c r="A32" s="612"/>
      <c r="B32" s="610" t="s">
        <v>2537</v>
      </c>
      <c r="C32" s="419" t="s">
        <v>4300</v>
      </c>
      <c r="D32" s="394">
        <v>100</v>
      </c>
      <c r="E32" s="419" t="s">
        <v>4300</v>
      </c>
      <c r="F32" s="420">
        <f>SUMIF(93:93,E32,94:94)-SUMIF(93:93,C32,94:94)+100</f>
        <v>100</v>
      </c>
      <c r="G32" s="419" t="s">
        <v>4300</v>
      </c>
      <c r="H32" s="394">
        <f>SUMIF(93:93,G32,94:94)-SUMIF(93:93,C32,94:94)+100</f>
        <v>100</v>
      </c>
      <c r="I32" s="419" t="s">
        <v>4300</v>
      </c>
      <c r="J32" s="394">
        <f>SUMIF(93:93,I32,94:94)-SUMIF(93:93,C32,94:94)+100</f>
        <v>100</v>
      </c>
      <c r="K32" s="569"/>
      <c r="L32" s="2949"/>
      <c r="M32" s="2943"/>
      <c r="N32" s="2943"/>
      <c r="O32" s="2943"/>
      <c r="P32" s="3805" t="s">
        <v>2386</v>
      </c>
      <c r="Q32" s="1536" t="str">
        <f t="shared" si="8"/>
        <v>车位类型</v>
      </c>
      <c r="R32" s="714" t="s">
        <v>17</v>
      </c>
      <c r="S32" s="715">
        <f t="shared" si="9"/>
        <v>100</v>
      </c>
      <c r="T32" s="714" t="s">
        <v>17</v>
      </c>
      <c r="U32" s="715">
        <f t="shared" si="10"/>
        <v>100</v>
      </c>
      <c r="V32" s="714" t="s">
        <v>17</v>
      </c>
      <c r="W32" s="715">
        <f t="shared" si="11"/>
        <v>100</v>
      </c>
      <c r="X32" s="1539"/>
      <c r="Y32" s="3805" t="s">
        <v>2386</v>
      </c>
      <c r="Z32" s="1540" t="str">
        <f t="shared" si="12"/>
        <v>车位类型</v>
      </c>
      <c r="AA32" s="1537">
        <f t="shared" si="3"/>
        <v>1</v>
      </c>
      <c r="AB32" s="1537">
        <f t="shared" si="4"/>
        <v>1</v>
      </c>
      <c r="AC32" s="1537">
        <f t="shared" si="5"/>
        <v>1</v>
      </c>
    </row>
    <row r="33" spans="1:29" ht="15">
      <c r="A33" s="612"/>
      <c r="B33" s="610" t="s">
        <v>2538</v>
      </c>
      <c r="C33" s="419" t="s">
        <v>3061</v>
      </c>
      <c r="D33" s="394">
        <v>100</v>
      </c>
      <c r="E33" s="419" t="s">
        <v>3061</v>
      </c>
      <c r="F33" s="420">
        <f>SUMIF(95:95,E33,96:96)-SUMIF(95:95,C33,96:96)+100</f>
        <v>100</v>
      </c>
      <c r="G33" s="419" t="s">
        <v>3061</v>
      </c>
      <c r="H33" s="394">
        <f>SUMIF(95:95,G33,96:96)-SUMIF(95:95,C33,96:96)+100</f>
        <v>100</v>
      </c>
      <c r="I33" s="419" t="s">
        <v>3061</v>
      </c>
      <c r="J33" s="394">
        <f>SUMIF(95:95,I33,96:96)-SUMIF(95:95,C33,96:96)+100</f>
        <v>100</v>
      </c>
      <c r="K33" s="569"/>
      <c r="L33" s="2949"/>
      <c r="M33" s="2943"/>
      <c r="N33" s="2943"/>
      <c r="O33" s="2943"/>
      <c r="P33" s="3805"/>
      <c r="Q33" s="1536" t="str">
        <f t="shared" si="8"/>
        <v>是否直接入户</v>
      </c>
      <c r="R33" s="714" t="s">
        <v>17</v>
      </c>
      <c r="S33" s="715">
        <f t="shared" si="9"/>
        <v>100</v>
      </c>
      <c r="T33" s="714" t="s">
        <v>17</v>
      </c>
      <c r="U33" s="715">
        <f t="shared" si="10"/>
        <v>100</v>
      </c>
      <c r="V33" s="714" t="s">
        <v>17</v>
      </c>
      <c r="W33" s="715">
        <f t="shared" si="11"/>
        <v>100</v>
      </c>
      <c r="X33" s="1539"/>
      <c r="Y33" s="3805"/>
      <c r="Z33" s="1540" t="str">
        <f t="shared" si="12"/>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9"/>
      <c r="M34" s="2943"/>
      <c r="N34" s="2943"/>
      <c r="O34" s="2943"/>
      <c r="P34" s="3805"/>
      <c r="Q34" s="1536">
        <f t="shared" si="8"/>
        <v>111</v>
      </c>
      <c r="R34" s="714" t="s">
        <v>17</v>
      </c>
      <c r="S34" s="715">
        <f t="shared" si="9"/>
        <v>100</v>
      </c>
      <c r="T34" s="714" t="s">
        <v>17</v>
      </c>
      <c r="U34" s="715">
        <f t="shared" si="10"/>
        <v>100</v>
      </c>
      <c r="V34" s="714" t="s">
        <v>17</v>
      </c>
      <c r="W34" s="715">
        <f t="shared" si="11"/>
        <v>100</v>
      </c>
      <c r="X34" s="1539"/>
      <c r="Y34" s="3805"/>
      <c r="Z34" s="1540">
        <f t="shared" si="12"/>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8"/>
      <c r="M35" s="2950"/>
      <c r="N35" s="2950"/>
      <c r="O35" s="2950"/>
      <c r="P35" s="3805"/>
      <c r="Q35" s="716">
        <f t="shared" si="8"/>
        <v>111</v>
      </c>
      <c r="R35" s="717" t="s">
        <v>17</v>
      </c>
      <c r="S35" s="718">
        <f t="shared" si="9"/>
        <v>100</v>
      </c>
      <c r="T35" s="717" t="s">
        <v>17</v>
      </c>
      <c r="U35" s="718">
        <f t="shared" si="10"/>
        <v>100</v>
      </c>
      <c r="V35" s="717" t="s">
        <v>17</v>
      </c>
      <c r="W35" s="718">
        <f t="shared" si="11"/>
        <v>100</v>
      </c>
      <c r="X35" s="719"/>
      <c r="Y35" s="3805"/>
      <c r="Z35" s="720">
        <f t="shared" si="12"/>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9"/>
      <c r="M36" s="2943"/>
      <c r="N36" s="2943"/>
      <c r="O36" s="2943"/>
      <c r="P36" s="3805"/>
      <c r="Q36" s="1536">
        <f t="shared" si="8"/>
        <v>111</v>
      </c>
      <c r="R36" s="714" t="s">
        <v>17</v>
      </c>
      <c r="S36" s="715">
        <f t="shared" si="9"/>
        <v>100</v>
      </c>
      <c r="T36" s="714" t="s">
        <v>17</v>
      </c>
      <c r="U36" s="715">
        <f t="shared" si="10"/>
        <v>100</v>
      </c>
      <c r="V36" s="714" t="s">
        <v>17</v>
      </c>
      <c r="W36" s="715">
        <f t="shared" si="11"/>
        <v>100</v>
      </c>
      <c r="X36" s="1539"/>
      <c r="Y36" s="3805"/>
      <c r="Z36" s="1540">
        <f t="shared" si="12"/>
        <v>111</v>
      </c>
      <c r="AA36" s="1537">
        <f t="shared" si="3"/>
        <v>1</v>
      </c>
      <c r="AB36" s="1537">
        <f t="shared" si="4"/>
        <v>1</v>
      </c>
      <c r="AC36" s="1537">
        <f t="shared" si="5"/>
        <v>1</v>
      </c>
    </row>
    <row r="37" spans="1:29" ht="15">
      <c r="A37" s="438" t="s">
        <v>2539</v>
      </c>
      <c r="B37" s="2159" t="s">
        <v>2540</v>
      </c>
      <c r="C37" s="1316" t="s">
        <v>1</v>
      </c>
      <c r="D37" s="1317"/>
      <c r="E37" s="1318">
        <f>'案例-租金'!O32</f>
        <v>1200</v>
      </c>
      <c r="F37" s="1319"/>
      <c r="G37" s="1320">
        <v>1300</v>
      </c>
      <c r="H37" s="1321"/>
      <c r="I37" s="1318">
        <f>'案例-租金'!O34</f>
        <v>1200</v>
      </c>
      <c r="J37" s="1321"/>
      <c r="K37" s="576"/>
      <c r="L37" s="2951"/>
      <c r="M37" s="2952"/>
      <c r="N37" s="2943"/>
      <c r="O37" s="2952"/>
      <c r="P37" s="3798" t="str">
        <f>A37</f>
        <v>成交单价</v>
      </c>
      <c r="Q37" s="3798"/>
      <c r="R37" s="3799">
        <f>E37</f>
        <v>1200</v>
      </c>
      <c r="S37" s="3799"/>
      <c r="T37" s="3799">
        <f>G37</f>
        <v>1300</v>
      </c>
      <c r="U37" s="3799"/>
      <c r="V37" s="3799">
        <f>I37</f>
        <v>1200</v>
      </c>
      <c r="W37" s="3799"/>
      <c r="X37" s="699"/>
      <c r="Y37" s="721"/>
      <c r="Z37" s="699"/>
      <c r="AA37" s="699"/>
      <c r="AB37" s="699"/>
      <c r="AC37" s="699"/>
    </row>
    <row r="38" spans="1:29" ht="15.75" thickBot="1">
      <c r="A38" s="445" t="s">
        <v>2541</v>
      </c>
      <c r="B38" s="446" t="str">
        <f>B37</f>
        <v>元/车位</v>
      </c>
      <c r="C38" s="1322">
        <f>R39</f>
        <v>1119</v>
      </c>
      <c r="D38" s="2538" t="s">
        <v>2877</v>
      </c>
      <c r="E38" s="1323">
        <f>R38</f>
        <v>1068</v>
      </c>
      <c r="F38" s="2539"/>
      <c r="G38" s="1322">
        <f>T38</f>
        <v>1157</v>
      </c>
      <c r="H38" s="2539"/>
      <c r="I38" s="1323">
        <f>V38</f>
        <v>1132</v>
      </c>
      <c r="J38" s="2539"/>
      <c r="K38" s="2541">
        <f>F38+H38+J38</f>
        <v>0</v>
      </c>
      <c r="L38" s="2951"/>
      <c r="M38" s="2952"/>
      <c r="N38" s="2952"/>
      <c r="O38" s="2952"/>
      <c r="P38" s="3798" t="str">
        <f>A38</f>
        <v>比较价值（元/平方米）</v>
      </c>
      <c r="Q38" s="3798"/>
      <c r="R38" s="3799">
        <f>IF(F1="售价",ROUND(PRODUCT(R37,AA7:AA36),0),ROUND(PRODUCT(R37,AA7:AA36),1))</f>
        <v>1068</v>
      </c>
      <c r="S38" s="3799"/>
      <c r="T38" s="3799">
        <f>IF(F1="售价",ROUND(PRODUCT(T37,AB7:AB36),0),ROUND(PRODUCT(T37,AB7:AB36),1))</f>
        <v>1157</v>
      </c>
      <c r="U38" s="3799"/>
      <c r="V38" s="3799">
        <f>IF(F1="售价",ROUND(PRODUCT(V37,AC7:AC36),0),ROUND(PRODUCT(V37,AC7:AC36),1))</f>
        <v>1132</v>
      </c>
      <c r="W38" s="3799"/>
      <c r="X38" s="699"/>
      <c r="Y38" s="699"/>
      <c r="Z38" s="699"/>
      <c r="AA38" s="699"/>
      <c r="AB38" s="699"/>
      <c r="AC38" s="699"/>
    </row>
    <row r="39" spans="1:29" ht="15.75" thickBot="1">
      <c r="A39" s="449" t="s">
        <v>2542</v>
      </c>
      <c r="B39" s="450"/>
      <c r="C39" s="1325">
        <f>R39</f>
        <v>1119</v>
      </c>
      <c r="D39" s="1325"/>
      <c r="E39" s="1325"/>
      <c r="F39" s="1325"/>
      <c r="G39" s="1325"/>
      <c r="H39" s="1325"/>
      <c r="I39" s="1325"/>
      <c r="J39" s="1325"/>
      <c r="K39" s="577"/>
      <c r="L39" s="2951"/>
      <c r="M39" s="2952"/>
      <c r="N39" s="2952"/>
      <c r="O39" s="2952"/>
      <c r="P39" s="3795" t="str">
        <f>A39</f>
        <v>估价对象XX用房的比较价值（楼面单价，元/平方米）</v>
      </c>
      <c r="Q39" s="3796"/>
      <c r="R39" s="3810">
        <f>IF(F1="售价",ROUND(IF(D38="简单平均",AVERAGE(R38:W38),R38*F38+T38*H38+V38*J38),0),ROUND(IF(D38="简单平均",AVERAGE(R38:V38),R38*F38+T38*H38+V38*J38),1))</f>
        <v>1119</v>
      </c>
      <c r="S39" s="3810"/>
      <c r="T39" s="3810"/>
      <c r="U39" s="3810"/>
      <c r="V39" s="3810"/>
      <c r="W39" s="3810"/>
      <c r="X39" s="699"/>
      <c r="Y39" s="699"/>
      <c r="Z39" s="699"/>
      <c r="AA39" s="699"/>
      <c r="AB39" s="699"/>
      <c r="AC39" s="699"/>
    </row>
    <row r="40" spans="1:29">
      <c r="A40" s="2952"/>
      <c r="B40" s="2952"/>
      <c r="C40" s="2952"/>
      <c r="D40" s="2952"/>
      <c r="E40" s="2952">
        <f>186000/764</f>
        <v>243.45549738219896</v>
      </c>
      <c r="F40" s="2952"/>
      <c r="G40" s="3325">
        <f>300000/1900</f>
        <v>157.89473684210526</v>
      </c>
      <c r="H40" s="2952"/>
      <c r="I40" s="2952">
        <f>22000/200</f>
        <v>110</v>
      </c>
      <c r="J40" s="2952"/>
      <c r="K40" s="2957"/>
      <c r="L40" s="2953"/>
      <c r="M40" s="2952"/>
      <c r="N40" s="2952"/>
      <c r="O40" s="2952"/>
      <c r="P40" s="2983"/>
      <c r="Q40" s="2952"/>
      <c r="R40" s="2952"/>
      <c r="S40" s="2952"/>
      <c r="T40" s="2952"/>
      <c r="U40" s="2952"/>
      <c r="V40" s="2952"/>
      <c r="W40" s="2952"/>
      <c r="X40" s="2952"/>
      <c r="Y40" s="2952"/>
      <c r="Z40" s="2952"/>
      <c r="AA40" s="2952"/>
      <c r="AB40" s="2952"/>
      <c r="AC40" s="2952"/>
    </row>
    <row r="41" spans="1:29">
      <c r="A41" s="2952"/>
      <c r="B41" s="2952"/>
      <c r="C41" s="2952"/>
      <c r="D41" s="2952"/>
      <c r="E41" s="2952"/>
      <c r="F41" s="2952"/>
      <c r="G41" s="2952"/>
      <c r="H41" s="2952"/>
      <c r="I41" s="2952"/>
      <c r="J41" s="2952"/>
      <c r="K41" s="2957"/>
      <c r="L41" s="2953"/>
      <c r="M41" s="2952"/>
      <c r="N41" s="2952"/>
      <c r="O41" s="2952"/>
      <c r="P41" s="2983"/>
      <c r="Q41" s="2952"/>
      <c r="R41" s="2952"/>
      <c r="S41" s="2952"/>
      <c r="T41" s="2952"/>
      <c r="U41" s="2952"/>
      <c r="V41" s="2952"/>
      <c r="W41" s="2952"/>
      <c r="X41" s="2952"/>
      <c r="Y41" s="2952"/>
      <c r="Z41" s="2952"/>
      <c r="AA41" s="2952"/>
      <c r="AB41" s="2952"/>
      <c r="AC41" s="2952"/>
    </row>
    <row r="42" spans="1:29" ht="13.5" customHeight="1">
      <c r="A42" s="2952"/>
      <c r="B42" s="2952"/>
      <c r="C42" s="454" t="s">
        <v>2543</v>
      </c>
      <c r="D42" s="455"/>
      <c r="E42" s="456">
        <f>IF(E37&lt;E38,E38/E37-1,E37/E38-1)</f>
        <v>0.12359550561797761</v>
      </c>
      <c r="F42" s="457" t="str">
        <f>IF(OR(E42&gt;=0.3,E42&lt;=-0.3),"超过30%","")</f>
        <v/>
      </c>
      <c r="G42" s="456">
        <f>IF(G37&lt;G38,G38/G37-1,G37/G38-1)</f>
        <v>0.12359550561797761</v>
      </c>
      <c r="H42" s="457" t="str">
        <f>IF(OR(G42&gt;=0.3,G42&lt;=-0.3),"超过30%","")</f>
        <v/>
      </c>
      <c r="I42" s="456">
        <f>IF(I37&lt;I38,I38/I37-1,I37/I38-1)</f>
        <v>6.0070671378091856E-2</v>
      </c>
      <c r="J42" s="457" t="str">
        <f>IF(OR(I42&gt;=0.3,I42&lt;=-0.3),"超过30%","")</f>
        <v/>
      </c>
      <c r="K42" s="2957"/>
      <c r="L42" s="2953"/>
      <c r="M42" s="2952"/>
      <c r="N42" s="2952"/>
      <c r="O42" s="2952"/>
      <c r="P42" s="2983"/>
      <c r="Q42" s="2952"/>
      <c r="R42" s="2952"/>
      <c r="S42" s="2952"/>
      <c r="T42" s="2952"/>
      <c r="U42" s="2952"/>
      <c r="V42" s="2952"/>
      <c r="W42" s="2952"/>
      <c r="X42" s="2952"/>
      <c r="Y42" s="2952"/>
      <c r="Z42" s="2952"/>
      <c r="AA42" s="2952"/>
      <c r="AB42" s="2952"/>
      <c r="AC42" s="2952"/>
    </row>
    <row r="43" spans="1:29" ht="13.5" customHeight="1">
      <c r="A43" s="2952"/>
      <c r="B43" s="2952"/>
      <c r="C43" s="454" t="s">
        <v>2544</v>
      </c>
      <c r="D43" s="458"/>
      <c r="E43" s="456">
        <f>IF(E38&lt;G38,G38/E38-1,E38/G38-1)</f>
        <v>8.3333333333333259E-2</v>
      </c>
      <c r="F43" s="457" t="str">
        <f>IF(OR(E43&gt;=0.2,E43&lt;=-0.2),"超过20%","")</f>
        <v/>
      </c>
      <c r="G43" s="456">
        <f>IF(G38&lt;I38,I38/G38-1,G38/I38-1)</f>
        <v>2.2084805653710182E-2</v>
      </c>
      <c r="H43" s="457" t="str">
        <f>IF(OR(G43&gt;=0.2,G43&lt;=-0.2),"超过20%","")</f>
        <v/>
      </c>
      <c r="I43" s="456">
        <f>IF(I38&lt;E38,E38/I38-1,I38/E38-1)</f>
        <v>5.9925093632958726E-2</v>
      </c>
      <c r="J43" s="457" t="str">
        <f>IF(OR(I43&gt;=0.2,I43&lt;=-0.2),"超过20%","")</f>
        <v/>
      </c>
      <c r="K43" s="2957"/>
      <c r="L43" s="2953"/>
      <c r="M43" s="2952"/>
      <c r="N43" s="2952"/>
      <c r="O43" s="2952"/>
      <c r="P43" s="2983"/>
      <c r="Q43" s="2952"/>
      <c r="R43" s="2952"/>
      <c r="S43" s="2952"/>
      <c r="T43" s="2952"/>
      <c r="U43" s="2952"/>
      <c r="V43" s="2952"/>
      <c r="W43" s="2952"/>
      <c r="X43" s="2952"/>
      <c r="Y43" s="2952"/>
      <c r="Z43" s="2952"/>
      <c r="AA43" s="2952"/>
      <c r="AB43" s="2952"/>
      <c r="AC43" s="2952"/>
    </row>
    <row r="44" spans="1:29" s="459" customFormat="1" ht="13.5" customHeight="1">
      <c r="A44" s="2955"/>
      <c r="B44" s="2955"/>
      <c r="C44" s="454" t="s">
        <v>2545</v>
      </c>
      <c r="D44" s="458"/>
      <c r="E44" s="456">
        <f>IF(E37&lt;G37,G37/E37-1,E37/G37-1)</f>
        <v>8.3333333333333259E-2</v>
      </c>
      <c r="F44" s="457" t="str">
        <f>IF(OR(E44&gt;=0.3,E44&lt;=-0.3),"超过30%","")</f>
        <v/>
      </c>
      <c r="G44" s="456">
        <f>IF(G37&lt;I37,I37/G37-1,G37/I37-1)</f>
        <v>8.3333333333333259E-2</v>
      </c>
      <c r="H44" s="457" t="str">
        <f>IF(OR(G44&gt;=0.3,G44&lt;=-0.3),"超过30%","")</f>
        <v/>
      </c>
      <c r="I44" s="456">
        <f>IF(I37&lt;E37,E37/I37-1,I37/E37-1)</f>
        <v>0</v>
      </c>
      <c r="J44" s="457" t="str">
        <f>IF(OR(I44&gt;=0.3,I44&lt;=-0.3),"超过30%","")</f>
        <v/>
      </c>
      <c r="K44" s="2960"/>
      <c r="L44" s="2954"/>
      <c r="M44" s="2955"/>
      <c r="N44" s="2955"/>
      <c r="O44" s="2955"/>
      <c r="P44" s="2984"/>
      <c r="Q44" s="2955"/>
      <c r="R44" s="2955"/>
      <c r="S44" s="2955"/>
      <c r="T44" s="2955"/>
      <c r="U44" s="2955"/>
      <c r="V44" s="2955"/>
      <c r="W44" s="2955"/>
      <c r="X44" s="2955"/>
      <c r="Y44" s="2955"/>
      <c r="Z44" s="2955"/>
      <c r="AA44" s="2955"/>
      <c r="AB44" s="2955"/>
      <c r="AC44" s="2955"/>
    </row>
    <row r="45" spans="1:29" s="459" customFormat="1">
      <c r="A45" s="2955"/>
      <c r="B45" s="2958"/>
      <c r="C45" s="2959"/>
      <c r="D45" s="2955"/>
      <c r="E45" s="2955"/>
      <c r="F45" s="2955"/>
      <c r="G45" s="2955"/>
      <c r="H45" s="2955"/>
      <c r="I45" s="2955"/>
      <c r="J45" s="2955"/>
      <c r="K45" s="2960"/>
      <c r="L45" s="2954"/>
      <c r="M45" s="2955"/>
      <c r="N45" s="2955"/>
      <c r="O45" s="2955"/>
      <c r="P45" s="2984"/>
      <c r="Q45" s="2955"/>
      <c r="R45" s="2955"/>
      <c r="S45" s="2955"/>
      <c r="T45" s="2955"/>
      <c r="U45" s="2955"/>
      <c r="V45" s="2955"/>
      <c r="W45" s="2955"/>
      <c r="X45" s="2955"/>
      <c r="Y45" s="2955"/>
      <c r="Z45" s="2955"/>
      <c r="AA45" s="2955"/>
      <c r="AB45" s="2955"/>
      <c r="AC45" s="2955"/>
    </row>
    <row r="46" spans="1:29">
      <c r="A46" s="2952"/>
      <c r="B46" s="2958"/>
      <c r="C46" s="2959"/>
      <c r="D46" s="2952"/>
      <c r="E46" s="2952"/>
      <c r="F46" s="2952"/>
      <c r="G46" s="2952"/>
      <c r="H46" s="2952"/>
      <c r="I46" s="2952"/>
      <c r="J46" s="2952"/>
      <c r="K46" s="2957"/>
      <c r="L46" s="2953"/>
      <c r="M46" s="2952"/>
      <c r="N46" s="2952"/>
      <c r="O46" s="2952"/>
      <c r="P46" s="2983"/>
      <c r="Q46" s="2952"/>
      <c r="R46" s="2952"/>
      <c r="S46" s="2952"/>
      <c r="T46" s="2952"/>
      <c r="U46" s="2952"/>
      <c r="V46" s="2952"/>
      <c r="W46" s="2952"/>
      <c r="X46" s="2952"/>
      <c r="Y46" s="2952"/>
      <c r="Z46" s="2952"/>
      <c r="AA46" s="2952"/>
      <c r="AB46" s="2952"/>
      <c r="AC46" s="2952"/>
    </row>
    <row r="47" spans="1:29" ht="21.75" thickBot="1">
      <c r="A47" s="1328" t="s">
        <v>2546</v>
      </c>
      <c r="B47" s="1058"/>
      <c r="C47" s="1071"/>
      <c r="D47" s="1071"/>
      <c r="E47" s="1071"/>
      <c r="F47" s="1329"/>
      <c r="G47" s="1329"/>
      <c r="H47" s="1071"/>
      <c r="I47" s="1071"/>
      <c r="J47" s="1071"/>
      <c r="K47" s="1072"/>
      <c r="L47" s="1073"/>
      <c r="M47" s="1071"/>
      <c r="N47" s="2996"/>
      <c r="O47" s="2996"/>
      <c r="P47" s="2985"/>
      <c r="Q47" s="2966"/>
      <c r="R47" s="2952"/>
      <c r="S47" s="2952"/>
      <c r="T47" s="2952"/>
      <c r="U47" s="2952"/>
      <c r="V47" s="2952"/>
      <c r="W47" s="2952"/>
      <c r="X47" s="2952"/>
      <c r="Y47" s="2952"/>
      <c r="Z47" s="2952"/>
      <c r="AA47" s="2952"/>
      <c r="AB47" s="2952"/>
      <c r="AC47" s="2952"/>
    </row>
    <row r="48" spans="1:29" s="465" customFormat="1" ht="15">
      <c r="A48" s="462" t="s">
        <v>2547</v>
      </c>
      <c r="B48" s="463"/>
      <c r="C48" s="1346" t="str">
        <f>YEAR(C7)&amp;"-"&amp;MONTH(C7)</f>
        <v>2017-6</v>
      </c>
      <c r="D48" s="1347">
        <f>EDATE(C48,-1)</f>
        <v>42856</v>
      </c>
      <c r="E48" s="1347">
        <f t="shared" ref="E48:O48" si="13">EDATE(D48,-1)</f>
        <v>42826</v>
      </c>
      <c r="F48" s="1347">
        <f t="shared" si="13"/>
        <v>42795</v>
      </c>
      <c r="G48" s="1347">
        <f t="shared" si="13"/>
        <v>42767</v>
      </c>
      <c r="H48" s="1347">
        <f t="shared" si="13"/>
        <v>42736</v>
      </c>
      <c r="I48" s="1347">
        <f t="shared" si="13"/>
        <v>42705</v>
      </c>
      <c r="J48" s="1347">
        <f t="shared" si="13"/>
        <v>42675</v>
      </c>
      <c r="K48" s="1347">
        <f t="shared" si="13"/>
        <v>42644</v>
      </c>
      <c r="L48" s="1347">
        <f t="shared" si="13"/>
        <v>42614</v>
      </c>
      <c r="M48" s="1347">
        <f t="shared" si="13"/>
        <v>42583</v>
      </c>
      <c r="N48" s="1347">
        <f t="shared" si="13"/>
        <v>42552</v>
      </c>
      <c r="O48" s="1347">
        <f t="shared" si="13"/>
        <v>42522</v>
      </c>
      <c r="P48" s="2986"/>
      <c r="Q48" s="2968"/>
      <c r="R48" s="2968"/>
      <c r="S48" s="2968"/>
      <c r="T48" s="2968"/>
      <c r="U48" s="2968"/>
      <c r="V48" s="2968"/>
      <c r="W48" s="2968"/>
      <c r="X48" s="2968"/>
      <c r="Y48" s="2968"/>
      <c r="Z48" s="2968"/>
      <c r="AA48" s="2968"/>
      <c r="AB48" s="2968"/>
      <c r="AC48" s="2968"/>
    </row>
    <row r="49" spans="1:29" s="113" customFormat="1" ht="15">
      <c r="A49" s="466"/>
      <c r="B49" s="467"/>
      <c r="C49" s="1339">
        <v>100</v>
      </c>
      <c r="D49" s="469">
        <v>100</v>
      </c>
      <c r="E49" s="469">
        <v>100</v>
      </c>
      <c r="F49" s="469">
        <v>100</v>
      </c>
      <c r="G49" s="469">
        <v>100</v>
      </c>
      <c r="H49" s="469">
        <v>100</v>
      </c>
      <c r="I49" s="469">
        <v>100</v>
      </c>
      <c r="J49" s="469">
        <v>100</v>
      </c>
      <c r="K49" s="469">
        <v>100</v>
      </c>
      <c r="L49" s="469">
        <v>100</v>
      </c>
      <c r="M49" s="470"/>
      <c r="N49" s="469"/>
      <c r="O49" s="470"/>
      <c r="P49" s="2987"/>
      <c r="Q49" s="2886"/>
      <c r="R49" s="2886"/>
      <c r="S49" s="2886"/>
      <c r="T49" s="2886"/>
      <c r="U49" s="2886"/>
      <c r="V49" s="2886"/>
      <c r="W49" s="2886"/>
      <c r="X49" s="2886"/>
      <c r="Y49" s="2886"/>
      <c r="Z49" s="2886"/>
      <c r="AA49" s="2886"/>
      <c r="AB49" s="2886"/>
      <c r="AC49" s="2886"/>
    </row>
    <row r="50" spans="1:29" s="113" customFormat="1" ht="15.75" thickBot="1">
      <c r="A50" s="472" t="s">
        <v>2406</v>
      </c>
      <c r="B50" s="473"/>
      <c r="C50" s="474"/>
      <c r="D50" s="475"/>
      <c r="E50" s="475"/>
      <c r="F50" s="475"/>
      <c r="G50" s="475"/>
      <c r="H50" s="475"/>
      <c r="I50" s="475"/>
      <c r="J50" s="475"/>
      <c r="K50" s="475"/>
      <c r="L50" s="475"/>
      <c r="M50" s="476"/>
      <c r="N50" s="475"/>
      <c r="O50" s="476"/>
      <c r="P50" s="2987"/>
      <c r="Q50" s="2966"/>
      <c r="R50" s="2886"/>
      <c r="S50" s="2886"/>
      <c r="T50" s="2886"/>
      <c r="U50" s="2886"/>
      <c r="V50" s="2886"/>
      <c r="W50" s="2886"/>
      <c r="X50" s="2886"/>
      <c r="Y50" s="2886"/>
      <c r="Z50" s="2886"/>
      <c r="AA50" s="2886"/>
      <c r="AB50" s="2886"/>
      <c r="AC50" s="2886"/>
    </row>
    <row r="51" spans="1:29" s="113" customFormat="1" ht="15">
      <c r="A51" s="478" t="s">
        <v>2371</v>
      </c>
      <c r="B51" s="467"/>
      <c r="C51" s="479" t="s">
        <v>2473</v>
      </c>
      <c r="D51" s="480"/>
      <c r="E51" s="480"/>
      <c r="F51" s="480"/>
      <c r="G51" s="480"/>
      <c r="H51" s="480"/>
      <c r="I51" s="480"/>
      <c r="J51" s="480"/>
      <c r="K51" s="480"/>
      <c r="L51" s="481"/>
      <c r="M51" s="482"/>
      <c r="N51" s="2979"/>
      <c r="O51" s="2979"/>
      <c r="P51" s="2988"/>
      <c r="Q51" s="2966"/>
      <c r="R51" s="2886"/>
      <c r="S51" s="2886"/>
      <c r="T51" s="2886"/>
      <c r="U51" s="2886"/>
      <c r="V51" s="2886"/>
      <c r="W51" s="2886"/>
      <c r="X51" s="2886"/>
      <c r="Y51" s="2886"/>
      <c r="Z51" s="2886"/>
      <c r="AA51" s="2886"/>
      <c r="AB51" s="2886"/>
      <c r="AC51" s="2886"/>
    </row>
    <row r="52" spans="1:29" s="113" customFormat="1" ht="15.75" thickBot="1">
      <c r="A52" s="478"/>
      <c r="B52" s="467"/>
      <c r="C52" s="595">
        <v>100</v>
      </c>
      <c r="D52" s="469"/>
      <c r="E52" s="469"/>
      <c r="F52" s="469"/>
      <c r="G52" s="469"/>
      <c r="H52" s="469"/>
      <c r="I52" s="469"/>
      <c r="J52" s="469"/>
      <c r="K52" s="469"/>
      <c r="L52" s="469"/>
      <c r="M52" s="471"/>
      <c r="N52" s="2979"/>
      <c r="O52" s="2979"/>
      <c r="P52" s="2987"/>
      <c r="Q52" s="2966"/>
      <c r="R52" s="2886"/>
      <c r="S52" s="2886"/>
      <c r="T52" s="2886"/>
      <c r="U52" s="2886"/>
      <c r="V52" s="2886"/>
      <c r="W52" s="2886"/>
      <c r="X52" s="2886"/>
      <c r="Y52" s="2886"/>
      <c r="Z52" s="2886"/>
      <c r="AA52" s="2886"/>
      <c r="AB52" s="2886"/>
      <c r="AC52" s="2886"/>
    </row>
    <row r="53" spans="1:29">
      <c r="A53" s="484" t="s">
        <v>2409</v>
      </c>
      <c r="B53" s="485" t="s">
        <v>2375</v>
      </c>
      <c r="C53" s="486" t="str">
        <f>C9</f>
        <v>车库</v>
      </c>
      <c r="D53" s="487"/>
      <c r="E53" s="487"/>
      <c r="F53" s="487"/>
      <c r="G53" s="487"/>
      <c r="H53" s="487"/>
      <c r="I53" s="487"/>
      <c r="J53" s="487"/>
      <c r="K53" s="488"/>
      <c r="L53" s="489"/>
      <c r="M53" s="490"/>
      <c r="N53" s="2980"/>
      <c r="O53" s="2980"/>
      <c r="P53" s="2989"/>
      <c r="Q53" s="2966"/>
      <c r="R53" s="2952"/>
      <c r="S53" s="2952"/>
      <c r="T53" s="2952"/>
      <c r="U53" s="2952"/>
      <c r="V53" s="2952"/>
      <c r="W53" s="2952"/>
      <c r="X53" s="2952"/>
      <c r="Y53" s="2952"/>
      <c r="Z53" s="2952"/>
      <c r="AA53" s="2952"/>
      <c r="AB53" s="2952"/>
      <c r="AC53" s="2952"/>
    </row>
    <row r="54" spans="1:29" ht="15.75" thickBot="1">
      <c r="A54" s="491"/>
      <c r="B54" s="492"/>
      <c r="C54" s="493">
        <v>100</v>
      </c>
      <c r="D54" s="493"/>
      <c r="E54" s="493"/>
      <c r="F54" s="493"/>
      <c r="G54" s="493"/>
      <c r="H54" s="493"/>
      <c r="I54" s="493"/>
      <c r="J54" s="493"/>
      <c r="K54" s="493"/>
      <c r="L54" s="493"/>
      <c r="M54" s="494"/>
      <c r="N54" s="2981"/>
      <c r="O54" s="2981"/>
      <c r="P54" s="2989"/>
      <c r="Q54" s="2966"/>
      <c r="R54" s="2952"/>
      <c r="S54" s="2952"/>
      <c r="T54" s="2952"/>
      <c r="U54" s="2952"/>
      <c r="V54" s="2952"/>
      <c r="W54" s="2952"/>
      <c r="X54" s="2952"/>
      <c r="Y54" s="2952"/>
      <c r="Z54" s="2952"/>
      <c r="AA54" s="2952"/>
      <c r="AB54" s="2952"/>
      <c r="AC54" s="2952"/>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0"/>
      <c r="O55" s="2980"/>
      <c r="P55" s="2989"/>
      <c r="Q55" s="2966"/>
      <c r="R55" s="2952"/>
      <c r="S55" s="2952"/>
      <c r="T55" s="2952"/>
      <c r="U55" s="2952"/>
      <c r="V55" s="2952"/>
      <c r="W55" s="2952"/>
      <c r="X55" s="2952"/>
      <c r="Y55" s="2952"/>
      <c r="Z55" s="2952"/>
      <c r="AA55" s="2952"/>
      <c r="AB55" s="2952"/>
      <c r="AC55" s="295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1"/>
      <c r="O56" s="2981"/>
      <c r="P56" s="2989"/>
      <c r="Q56" s="2966"/>
      <c r="R56" s="2952"/>
      <c r="S56" s="2952"/>
      <c r="T56" s="2952"/>
      <c r="U56" s="2952"/>
      <c r="V56" s="2952"/>
      <c r="W56" s="2952"/>
      <c r="X56" s="2952"/>
      <c r="Y56" s="2952"/>
      <c r="Z56" s="2952"/>
      <c r="AA56" s="2952"/>
      <c r="AB56" s="2952"/>
      <c r="AC56" s="2952"/>
    </row>
    <row r="57" spans="1:29" ht="15.75" thickTop="1">
      <c r="A57" s="491"/>
      <c r="B57" s="616" t="str">
        <f>B11</f>
        <v>租期</v>
      </c>
      <c r="C57" s="506"/>
      <c r="D57" s="506"/>
      <c r="E57" s="506"/>
      <c r="F57" s="506"/>
      <c r="G57" s="506"/>
      <c r="H57" s="506"/>
      <c r="I57" s="506"/>
      <c r="J57" s="506"/>
      <c r="K57" s="507"/>
      <c r="L57" s="508"/>
      <c r="M57" s="509"/>
      <c r="N57" s="2980"/>
      <c r="O57" s="2980"/>
      <c r="P57" s="2989"/>
      <c r="Q57" s="2966"/>
      <c r="R57" s="2952"/>
      <c r="S57" s="2952"/>
      <c r="T57" s="2952"/>
      <c r="U57" s="2952"/>
      <c r="V57" s="2952"/>
      <c r="W57" s="2952"/>
      <c r="X57" s="2952"/>
      <c r="Y57" s="2952"/>
      <c r="Z57" s="2952"/>
      <c r="AA57" s="2952"/>
      <c r="AB57" s="2952"/>
      <c r="AC57" s="2952"/>
    </row>
    <row r="58" spans="1:29" ht="15.75" thickBot="1">
      <c r="A58" s="491"/>
      <c r="B58" s="492"/>
      <c r="C58" s="517"/>
      <c r="D58" s="493"/>
      <c r="E58" s="493"/>
      <c r="F58" s="493"/>
      <c r="G58" s="493"/>
      <c r="H58" s="493"/>
      <c r="I58" s="493"/>
      <c r="J58" s="493"/>
      <c r="K58" s="493"/>
      <c r="L58" s="493"/>
      <c r="M58" s="494"/>
      <c r="N58" s="2981"/>
      <c r="O58" s="2981"/>
      <c r="P58" s="2989"/>
      <c r="Q58" s="2966"/>
      <c r="R58" s="2952"/>
      <c r="S58" s="2952"/>
      <c r="T58" s="2952"/>
      <c r="U58" s="2952"/>
      <c r="V58" s="2952"/>
      <c r="W58" s="2952"/>
      <c r="X58" s="2952"/>
      <c r="Y58" s="2952"/>
      <c r="Z58" s="2952"/>
      <c r="AA58" s="2952"/>
      <c r="AB58" s="2952"/>
      <c r="AC58" s="2952"/>
    </row>
    <row r="59" spans="1:29" s="430" customFormat="1" ht="15.75" thickTop="1">
      <c r="A59" s="510"/>
      <c r="B59" s="495" t="str">
        <f>B12</f>
        <v>产别</v>
      </c>
      <c r="C59" s="506"/>
      <c r="D59" s="506"/>
      <c r="E59" s="506"/>
      <c r="F59" s="506"/>
      <c r="G59" s="511"/>
      <c r="H59" s="512"/>
      <c r="I59" s="512"/>
      <c r="J59" s="512"/>
      <c r="K59" s="512"/>
      <c r="L59" s="513"/>
      <c r="M59" s="514"/>
      <c r="N59" s="2982"/>
      <c r="O59" s="2982"/>
      <c r="P59" s="2990"/>
      <c r="Q59" s="2973"/>
      <c r="R59" s="2974"/>
      <c r="S59" s="2974"/>
      <c r="T59" s="2974"/>
      <c r="U59" s="2974"/>
      <c r="V59" s="2974"/>
      <c r="W59" s="2974"/>
      <c r="X59" s="2974"/>
      <c r="Y59" s="2974"/>
      <c r="Z59" s="2974"/>
      <c r="AA59" s="2974"/>
      <c r="AB59" s="2974"/>
      <c r="AC59" s="2974"/>
    </row>
    <row r="60" spans="1:29" s="430" customFormat="1" ht="15.75" thickBot="1">
      <c r="A60" s="510"/>
      <c r="B60" s="500"/>
      <c r="C60" s="517"/>
      <c r="D60" s="493"/>
      <c r="E60" s="493"/>
      <c r="F60" s="493"/>
      <c r="G60" s="493"/>
      <c r="H60" s="493"/>
      <c r="I60" s="493"/>
      <c r="J60" s="493"/>
      <c r="K60" s="493"/>
      <c r="L60" s="493"/>
      <c r="M60" s="494"/>
      <c r="N60" s="2981"/>
      <c r="O60" s="2981"/>
      <c r="P60" s="2990"/>
      <c r="Q60" s="2973"/>
      <c r="R60" s="2974"/>
      <c r="S60" s="2974"/>
      <c r="T60" s="2974"/>
      <c r="U60" s="2974"/>
      <c r="V60" s="2974"/>
      <c r="W60" s="2974"/>
      <c r="X60" s="2974"/>
      <c r="Y60" s="2974"/>
      <c r="Z60" s="2974"/>
      <c r="AA60" s="2974"/>
      <c r="AB60" s="2974"/>
      <c r="AC60" s="2974"/>
    </row>
    <row r="61" spans="1:29" s="430" customFormat="1" ht="15.75" thickTop="1">
      <c r="A61" s="510"/>
      <c r="B61" s="495">
        <f>B13</f>
        <v>111</v>
      </c>
      <c r="C61" s="511"/>
      <c r="D61" s="511"/>
      <c r="E61" s="511"/>
      <c r="F61" s="511"/>
      <c r="G61" s="511"/>
      <c r="H61" s="512"/>
      <c r="I61" s="512"/>
      <c r="J61" s="512"/>
      <c r="K61" s="512"/>
      <c r="L61" s="513"/>
      <c r="M61" s="514"/>
      <c r="N61" s="2982"/>
      <c r="O61" s="2982"/>
      <c r="P61" s="2991"/>
      <c r="Q61" s="2976"/>
      <c r="R61" s="2974"/>
      <c r="S61" s="2974"/>
      <c r="T61" s="2974"/>
      <c r="U61" s="2974"/>
      <c r="V61" s="2974"/>
      <c r="W61" s="2974"/>
      <c r="X61" s="2974"/>
      <c r="Y61" s="2974"/>
      <c r="Z61" s="2974"/>
      <c r="AA61" s="2974"/>
      <c r="AB61" s="2974"/>
      <c r="AC61" s="2974"/>
    </row>
    <row r="62" spans="1:29" s="430" customFormat="1" ht="15.75" thickBot="1">
      <c r="A62" s="510"/>
      <c r="B62" s="500"/>
      <c r="C62" s="517"/>
      <c r="D62" s="517"/>
      <c r="E62" s="517"/>
      <c r="F62" s="517"/>
      <c r="G62" s="517"/>
      <c r="H62" s="519"/>
      <c r="I62" s="519"/>
      <c r="J62" s="519"/>
      <c r="K62" s="519"/>
      <c r="L62" s="519"/>
      <c r="M62" s="520"/>
      <c r="N62" s="2982"/>
      <c r="O62" s="2982"/>
      <c r="P62" s="2990"/>
      <c r="Q62" s="2973"/>
      <c r="R62" s="2974"/>
      <c r="S62" s="2974"/>
      <c r="T62" s="2974"/>
      <c r="U62" s="2974"/>
      <c r="V62" s="2974"/>
      <c r="W62" s="2974"/>
      <c r="X62" s="2974"/>
      <c r="Y62" s="2974"/>
      <c r="Z62" s="2974"/>
      <c r="AA62" s="2974"/>
      <c r="AB62" s="2974"/>
      <c r="AC62" s="2974"/>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0"/>
      <c r="O63" s="2980"/>
      <c r="P63" s="2993"/>
      <c r="Q63" s="2966"/>
      <c r="R63" s="2952"/>
      <c r="S63" s="2952"/>
      <c r="T63" s="2952"/>
      <c r="U63" s="2952"/>
      <c r="V63" s="2952"/>
      <c r="W63" s="2952"/>
      <c r="X63" s="2952"/>
      <c r="Y63" s="2952"/>
      <c r="Z63" s="2952"/>
      <c r="AA63" s="2952"/>
      <c r="AB63" s="2952"/>
      <c r="AC63" s="2952"/>
    </row>
    <row r="64" spans="1:29" ht="15.75" thickBot="1">
      <c r="A64" s="491"/>
      <c r="B64" s="500"/>
      <c r="C64" s="501">
        <v>100</v>
      </c>
      <c r="D64" s="501">
        <f>C64-$K14</f>
        <v>94</v>
      </c>
      <c r="E64" s="501">
        <f>D64-$K14</f>
        <v>88</v>
      </c>
      <c r="F64" s="501">
        <f>E64-$K14</f>
        <v>82</v>
      </c>
      <c r="G64" s="501">
        <f>F64-$K14</f>
        <v>76</v>
      </c>
      <c r="H64" s="501"/>
      <c r="I64" s="501"/>
      <c r="J64" s="501"/>
      <c r="K64" s="501"/>
      <c r="L64" s="501"/>
      <c r="M64" s="502"/>
      <c r="N64" s="2981"/>
      <c r="O64" s="2981"/>
      <c r="P64" s="2989"/>
      <c r="Q64" s="2966"/>
      <c r="R64" s="2952"/>
      <c r="S64" s="2952"/>
      <c r="T64" s="2952"/>
      <c r="U64" s="2952"/>
      <c r="V64" s="2952"/>
      <c r="W64" s="2952"/>
      <c r="X64" s="2952"/>
      <c r="Y64" s="2952"/>
      <c r="Z64" s="2952"/>
      <c r="AA64" s="2952"/>
      <c r="AB64" s="2952"/>
      <c r="AC64" s="2952"/>
    </row>
    <row r="65" spans="1:29" ht="15.75" thickTop="1">
      <c r="A65" s="491"/>
      <c r="B65" s="495" t="s">
        <v>2424</v>
      </c>
      <c r="C65" s="535" t="s">
        <v>2418</v>
      </c>
      <c r="D65" s="535" t="s">
        <v>2419</v>
      </c>
      <c r="E65" s="535" t="s">
        <v>2420</v>
      </c>
      <c r="F65" s="535" t="s">
        <v>2421</v>
      </c>
      <c r="G65" s="535" t="s">
        <v>2422</v>
      </c>
      <c r="H65" s="496"/>
      <c r="I65" s="496"/>
      <c r="J65" s="496"/>
      <c r="K65" s="497"/>
      <c r="L65" s="498"/>
      <c r="M65" s="499"/>
      <c r="N65" s="2980"/>
      <c r="O65" s="2980"/>
      <c r="P65" s="2989"/>
      <c r="Q65" s="2966"/>
      <c r="R65" s="2952"/>
      <c r="S65" s="2952"/>
      <c r="T65" s="2952"/>
      <c r="U65" s="2952"/>
      <c r="V65" s="2952"/>
      <c r="W65" s="2952"/>
      <c r="X65" s="2952"/>
      <c r="Y65" s="2952"/>
      <c r="Z65" s="2952"/>
      <c r="AA65" s="2952"/>
      <c r="AB65" s="2952"/>
      <c r="AC65" s="2952"/>
    </row>
    <row r="66" spans="1:29" ht="15.75" thickBot="1">
      <c r="A66" s="491"/>
      <c r="B66" s="500"/>
      <c r="C66" s="501">
        <v>100</v>
      </c>
      <c r="D66" s="501">
        <f>C66-$K16</f>
        <v>98</v>
      </c>
      <c r="E66" s="501">
        <f>D66-$K16</f>
        <v>96</v>
      </c>
      <c r="F66" s="501">
        <f>E66-$K16</f>
        <v>94</v>
      </c>
      <c r="G66" s="501">
        <f>F66-$K16</f>
        <v>92</v>
      </c>
      <c r="H66" s="501"/>
      <c r="I66" s="501"/>
      <c r="J66" s="501"/>
      <c r="K66" s="501"/>
      <c r="L66" s="501"/>
      <c r="M66" s="502"/>
      <c r="N66" s="2981"/>
      <c r="O66" s="2981"/>
      <c r="P66" s="2989"/>
      <c r="Q66" s="2966"/>
      <c r="R66" s="2952"/>
      <c r="S66" s="2952"/>
      <c r="T66" s="2952"/>
      <c r="U66" s="2952"/>
      <c r="V66" s="2952"/>
      <c r="W66" s="2952"/>
      <c r="X66" s="2952"/>
      <c r="Y66" s="2952"/>
      <c r="Z66" s="2952"/>
      <c r="AA66" s="2952"/>
      <c r="AB66" s="2952"/>
      <c r="AC66" s="2952"/>
    </row>
    <row r="67" spans="1:29" ht="15.75" thickTop="1">
      <c r="A67" s="491"/>
      <c r="B67" s="503" t="s">
        <v>2510</v>
      </c>
      <c r="C67" s="616" t="s">
        <v>2496</v>
      </c>
      <c r="D67" s="616" t="s">
        <v>2497</v>
      </c>
      <c r="E67" s="616" t="s">
        <v>2498</v>
      </c>
      <c r="F67" s="616" t="s">
        <v>2499</v>
      </c>
      <c r="G67" s="616" t="s">
        <v>2500</v>
      </c>
      <c r="H67" s="496"/>
      <c r="I67" s="496"/>
      <c r="J67" s="496"/>
      <c r="K67" s="496"/>
      <c r="L67" s="496"/>
      <c r="M67" s="1291"/>
      <c r="N67" s="2981"/>
      <c r="O67" s="2981"/>
      <c r="P67" s="2989"/>
      <c r="Q67" s="2966"/>
      <c r="R67" s="2952"/>
      <c r="S67" s="2952"/>
      <c r="T67" s="2952"/>
      <c r="U67" s="2952"/>
      <c r="V67" s="2952"/>
      <c r="W67" s="2952"/>
      <c r="X67" s="2952"/>
      <c r="Y67" s="2952"/>
      <c r="Z67" s="2952"/>
      <c r="AA67" s="2952"/>
      <c r="AB67" s="2952"/>
      <c r="AC67" s="2952"/>
    </row>
    <row r="68" spans="1:29" ht="15.75" thickBot="1">
      <c r="A68" s="491"/>
      <c r="B68" s="503"/>
      <c r="C68" s="501">
        <v>100</v>
      </c>
      <c r="D68" s="501">
        <f>C68-$K18</f>
        <v>98</v>
      </c>
      <c r="E68" s="501">
        <f>D68-$K18</f>
        <v>96</v>
      </c>
      <c r="F68" s="501">
        <f>E68-$K18</f>
        <v>94</v>
      </c>
      <c r="G68" s="501">
        <f>F68-$K18</f>
        <v>92</v>
      </c>
      <c r="H68" s="616"/>
      <c r="I68" s="616"/>
      <c r="J68" s="616"/>
      <c r="K68" s="616"/>
      <c r="L68" s="616"/>
      <c r="M68" s="409"/>
      <c r="N68" s="2981"/>
      <c r="O68" s="2981"/>
      <c r="P68" s="2989"/>
      <c r="Q68" s="2966"/>
      <c r="R68" s="2952"/>
      <c r="S68" s="2952"/>
      <c r="T68" s="2952"/>
      <c r="U68" s="2952"/>
      <c r="V68" s="2952"/>
      <c r="W68" s="2952"/>
      <c r="X68" s="2952"/>
      <c r="Y68" s="2952"/>
      <c r="Z68" s="2952"/>
      <c r="AA68" s="2952"/>
      <c r="AB68" s="2952"/>
      <c r="AC68" s="2952"/>
    </row>
    <row r="69" spans="1:29" ht="15.75" thickTop="1">
      <c r="A69" s="491"/>
      <c r="B69" s="495" t="s">
        <v>2430</v>
      </c>
      <c r="C69" s="535" t="s">
        <v>2418</v>
      </c>
      <c r="D69" s="535" t="s">
        <v>2419</v>
      </c>
      <c r="E69" s="535" t="s">
        <v>2420</v>
      </c>
      <c r="F69" s="535" t="s">
        <v>2421</v>
      </c>
      <c r="G69" s="535" t="s">
        <v>2422</v>
      </c>
      <c r="H69" s="496"/>
      <c r="I69" s="496"/>
      <c r="J69" s="496"/>
      <c r="K69" s="497"/>
      <c r="L69" s="498"/>
      <c r="M69" s="499"/>
      <c r="N69" s="2980"/>
      <c r="O69" s="2980"/>
      <c r="P69" s="2989"/>
      <c r="Q69" s="2966"/>
      <c r="R69" s="2952"/>
      <c r="S69" s="2952"/>
      <c r="T69" s="2952"/>
      <c r="U69" s="2952"/>
      <c r="V69" s="2952"/>
      <c r="W69" s="2952"/>
      <c r="X69" s="2952"/>
      <c r="Y69" s="2952"/>
      <c r="Z69" s="2952"/>
      <c r="AA69" s="2952"/>
      <c r="AB69" s="2952"/>
      <c r="AC69" s="2952"/>
    </row>
    <row r="70" spans="1:29" ht="15.75" thickBot="1">
      <c r="A70" s="491"/>
      <c r="B70" s="500"/>
      <c r="C70" s="501">
        <v>100</v>
      </c>
      <c r="D70" s="501">
        <f>C70-$K20</f>
        <v>98</v>
      </c>
      <c r="E70" s="501">
        <f>D70-$K20</f>
        <v>96</v>
      </c>
      <c r="F70" s="501">
        <f>E70-$K20</f>
        <v>94</v>
      </c>
      <c r="G70" s="501">
        <f>F70-$K20</f>
        <v>92</v>
      </c>
      <c r="H70" s="501"/>
      <c r="I70" s="501"/>
      <c r="J70" s="501"/>
      <c r="K70" s="501"/>
      <c r="L70" s="501"/>
      <c r="M70" s="502"/>
      <c r="N70" s="2981"/>
      <c r="O70" s="2981"/>
      <c r="P70" s="2989"/>
      <c r="Q70" s="2966"/>
      <c r="R70" s="2952"/>
      <c r="S70" s="2952"/>
      <c r="T70" s="2952"/>
      <c r="U70" s="2952"/>
      <c r="V70" s="2952"/>
      <c r="W70" s="2952"/>
      <c r="X70" s="2952"/>
      <c r="Y70" s="2952"/>
      <c r="Z70" s="2952"/>
      <c r="AA70" s="2952"/>
      <c r="AB70" s="2952"/>
      <c r="AC70" s="2952"/>
    </row>
    <row r="71" spans="1:29" ht="15.75" thickTop="1">
      <c r="A71" s="491"/>
      <c r="B71" s="495" t="s">
        <v>2548</v>
      </c>
      <c r="C71" s="511"/>
      <c r="D71" s="511"/>
      <c r="E71" s="511"/>
      <c r="F71" s="511"/>
      <c r="G71" s="511"/>
      <c r="H71" s="540"/>
      <c r="I71" s="540"/>
      <c r="J71" s="540"/>
      <c r="K71" s="541"/>
      <c r="L71" s="542"/>
      <c r="M71" s="543"/>
      <c r="N71" s="2980"/>
      <c r="O71" s="2980"/>
      <c r="P71" s="2989"/>
      <c r="Q71" s="2966"/>
      <c r="R71" s="2952"/>
      <c r="S71" s="2952"/>
      <c r="T71" s="2952"/>
      <c r="U71" s="2952"/>
      <c r="V71" s="2952"/>
      <c r="W71" s="2952"/>
      <c r="X71" s="2952"/>
      <c r="Y71" s="2952"/>
      <c r="Z71" s="2952"/>
      <c r="AA71" s="2952"/>
      <c r="AB71" s="2952"/>
      <c r="AC71" s="295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1"/>
      <c r="O72" s="2981"/>
      <c r="P72" s="2989"/>
      <c r="Q72" s="2966"/>
      <c r="R72" s="2952"/>
      <c r="S72" s="2952"/>
      <c r="T72" s="2952"/>
      <c r="U72" s="2952"/>
      <c r="V72" s="2952"/>
      <c r="W72" s="2952"/>
      <c r="X72" s="2952"/>
      <c r="Y72" s="2952"/>
      <c r="Z72" s="2952"/>
      <c r="AA72" s="2952"/>
      <c r="AB72" s="2952"/>
      <c r="AC72" s="2952"/>
    </row>
    <row r="73" spans="1:29" s="113" customFormat="1" ht="15.75" thickTop="1">
      <c r="A73" s="536"/>
      <c r="B73" s="495">
        <f>B23</f>
        <v>111</v>
      </c>
      <c r="C73" s="506"/>
      <c r="D73" s="506"/>
      <c r="E73" s="506"/>
      <c r="F73" s="506"/>
      <c r="G73" s="511"/>
      <c r="H73" s="511"/>
      <c r="I73" s="511"/>
      <c r="J73" s="511"/>
      <c r="K73" s="511"/>
      <c r="L73" s="537"/>
      <c r="M73" s="538"/>
      <c r="N73" s="2979"/>
      <c r="O73" s="2979"/>
      <c r="P73" s="2989"/>
      <c r="Q73" s="2966"/>
      <c r="R73" s="2886"/>
      <c r="S73" s="2886"/>
      <c r="T73" s="2886"/>
      <c r="U73" s="2886"/>
      <c r="V73" s="2886"/>
      <c r="W73" s="2886"/>
      <c r="X73" s="2886"/>
      <c r="Y73" s="2886"/>
      <c r="Z73" s="2886"/>
      <c r="AA73" s="2886"/>
      <c r="AB73" s="2886"/>
      <c r="AC73" s="2886"/>
    </row>
    <row r="74" spans="1:29" s="113" customFormat="1" ht="15.75" thickBot="1">
      <c r="A74" s="536"/>
      <c r="B74" s="500"/>
      <c r="C74" s="517"/>
      <c r="D74" s="493"/>
      <c r="E74" s="493"/>
      <c r="F74" s="493"/>
      <c r="G74" s="493"/>
      <c r="H74" s="493"/>
      <c r="I74" s="493"/>
      <c r="J74" s="493"/>
      <c r="K74" s="493"/>
      <c r="L74" s="493"/>
      <c r="M74" s="494"/>
      <c r="N74" s="2981"/>
      <c r="O74" s="2981"/>
      <c r="P74" s="2989"/>
      <c r="Q74" s="2966"/>
      <c r="R74" s="2886"/>
      <c r="S74" s="2886"/>
      <c r="T74" s="2886"/>
      <c r="U74" s="2886"/>
      <c r="V74" s="2886"/>
      <c r="W74" s="2886"/>
      <c r="X74" s="2886"/>
      <c r="Y74" s="2886"/>
      <c r="Z74" s="2886"/>
      <c r="AA74" s="2886"/>
      <c r="AB74" s="2886"/>
      <c r="AC74" s="2886"/>
    </row>
    <row r="75" spans="1:29" s="113" customFormat="1" ht="15.75" thickTop="1">
      <c r="A75" s="536"/>
      <c r="B75" s="495">
        <f>B24</f>
        <v>111</v>
      </c>
      <c r="C75" s="506"/>
      <c r="D75" s="506"/>
      <c r="E75" s="506"/>
      <c r="F75" s="506"/>
      <c r="G75" s="511"/>
      <c r="H75" s="511"/>
      <c r="I75" s="511"/>
      <c r="J75" s="511"/>
      <c r="K75" s="511"/>
      <c r="L75" s="511"/>
      <c r="M75" s="538"/>
      <c r="N75" s="2979"/>
      <c r="O75" s="2979"/>
      <c r="P75" s="2989"/>
      <c r="Q75" s="2966"/>
      <c r="R75" s="2886"/>
      <c r="S75" s="2886"/>
      <c r="T75" s="2886"/>
      <c r="U75" s="2886"/>
      <c r="V75" s="2886"/>
      <c r="W75" s="2886"/>
      <c r="X75" s="2886"/>
      <c r="Y75" s="2886"/>
      <c r="Z75" s="2886"/>
      <c r="AA75" s="2886"/>
      <c r="AB75" s="2886"/>
      <c r="AC75" s="2886"/>
    </row>
    <row r="76" spans="1:29" s="113" customFormat="1" ht="15.75" thickBot="1">
      <c r="A76" s="536"/>
      <c r="B76" s="500"/>
      <c r="C76" s="517"/>
      <c r="D76" s="493"/>
      <c r="E76" s="493"/>
      <c r="F76" s="493"/>
      <c r="G76" s="493"/>
      <c r="H76" s="493"/>
      <c r="I76" s="493"/>
      <c r="J76" s="493"/>
      <c r="K76" s="493"/>
      <c r="L76" s="493"/>
      <c r="M76" s="494"/>
      <c r="N76" s="2981"/>
      <c r="O76" s="2981"/>
      <c r="P76" s="2989"/>
      <c r="Q76" s="2966"/>
      <c r="R76" s="2886"/>
      <c r="S76" s="2886"/>
      <c r="T76" s="2886"/>
      <c r="U76" s="2886"/>
      <c r="V76" s="2886"/>
      <c r="W76" s="2886"/>
      <c r="X76" s="2886"/>
      <c r="Y76" s="2886"/>
      <c r="Z76" s="2886"/>
      <c r="AA76" s="2886"/>
      <c r="AB76" s="2886"/>
      <c r="AC76" s="2886"/>
    </row>
    <row r="77" spans="1:29" s="430" customFormat="1" ht="15.75" thickTop="1">
      <c r="A77" s="510"/>
      <c r="B77" s="495">
        <f>B25</f>
        <v>111</v>
      </c>
      <c r="C77" s="511"/>
      <c r="D77" s="511"/>
      <c r="E77" s="511"/>
      <c r="F77" s="511"/>
      <c r="G77" s="511"/>
      <c r="H77" s="512"/>
      <c r="I77" s="512"/>
      <c r="J77" s="512"/>
      <c r="K77" s="512"/>
      <c r="L77" s="513"/>
      <c r="M77" s="514"/>
      <c r="N77" s="2982"/>
      <c r="O77" s="2982"/>
      <c r="P77" s="2990"/>
      <c r="Q77" s="2973"/>
      <c r="R77" s="2974"/>
      <c r="S77" s="2974"/>
      <c r="T77" s="2974"/>
      <c r="U77" s="2974"/>
      <c r="V77" s="2974"/>
      <c r="W77" s="2974"/>
      <c r="X77" s="2974"/>
      <c r="Y77" s="2974"/>
      <c r="Z77" s="2974"/>
      <c r="AA77" s="2974"/>
      <c r="AB77" s="2974"/>
      <c r="AC77" s="2974"/>
    </row>
    <row r="78" spans="1:29" s="430" customFormat="1" ht="15.75" thickBot="1">
      <c r="A78" s="510"/>
      <c r="B78" s="500"/>
      <c r="C78" s="517"/>
      <c r="D78" s="517"/>
      <c r="E78" s="517"/>
      <c r="F78" s="517"/>
      <c r="G78" s="493"/>
      <c r="H78" s="493"/>
      <c r="I78" s="493"/>
      <c r="J78" s="493"/>
      <c r="K78" s="493"/>
      <c r="L78" s="493"/>
      <c r="M78" s="494"/>
      <c r="N78" s="2982"/>
      <c r="O78" s="2982"/>
      <c r="P78" s="2990"/>
      <c r="Q78" s="2973"/>
      <c r="R78" s="2974"/>
      <c r="S78" s="2974"/>
      <c r="T78" s="2974"/>
      <c r="U78" s="2974"/>
      <c r="V78" s="2974"/>
      <c r="W78" s="2974"/>
      <c r="X78" s="2974"/>
      <c r="Y78" s="2974"/>
      <c r="Z78" s="2974"/>
      <c r="AA78" s="2974"/>
      <c r="AB78" s="2974"/>
      <c r="AC78" s="2974"/>
    </row>
    <row r="79" spans="1:29" ht="27.75" thickTop="1">
      <c r="A79" s="484" t="s">
        <v>2384</v>
      </c>
      <c r="B79" s="485" t="s">
        <v>2549</v>
      </c>
      <c r="C79" s="486" t="str">
        <f>C26</f>
        <v>办公</v>
      </c>
      <c r="D79" s="487"/>
      <c r="E79" s="487"/>
      <c r="F79" s="487"/>
      <c r="G79" s="487"/>
      <c r="H79" s="487"/>
      <c r="I79" s="487"/>
      <c r="J79" s="487"/>
      <c r="K79" s="488"/>
      <c r="L79" s="489"/>
      <c r="M79" s="490"/>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 t="shared" ref="D80:M80" si="14">C80-$K26</f>
        <v>97</v>
      </c>
      <c r="E80" s="501">
        <f t="shared" si="14"/>
        <v>94</v>
      </c>
      <c r="F80" s="501">
        <f t="shared" si="14"/>
        <v>91</v>
      </c>
      <c r="G80" s="501">
        <f t="shared" si="14"/>
        <v>88</v>
      </c>
      <c r="H80" s="501">
        <f t="shared" si="14"/>
        <v>85</v>
      </c>
      <c r="I80" s="501">
        <f t="shared" si="14"/>
        <v>82</v>
      </c>
      <c r="J80" s="501">
        <f t="shared" si="14"/>
        <v>79</v>
      </c>
      <c r="K80" s="501">
        <f t="shared" si="14"/>
        <v>76</v>
      </c>
      <c r="L80" s="501">
        <f t="shared" si="14"/>
        <v>73</v>
      </c>
      <c r="M80" s="502">
        <f t="shared" si="14"/>
        <v>70</v>
      </c>
      <c r="N80" s="2981"/>
      <c r="O80" s="2981"/>
      <c r="P80" s="2989"/>
      <c r="Q80" s="2966"/>
      <c r="R80" s="2952"/>
      <c r="S80" s="2952"/>
      <c r="T80" s="2952"/>
      <c r="U80" s="2952"/>
      <c r="V80" s="2952"/>
      <c r="W80" s="2952"/>
      <c r="X80" s="2952"/>
      <c r="Y80" s="2952"/>
      <c r="Z80" s="2952"/>
      <c r="AA80" s="2952"/>
      <c r="AB80" s="2952"/>
      <c r="AC80" s="2952"/>
    </row>
    <row r="81" spans="1:29" ht="15.75" thickTop="1">
      <c r="A81" s="491"/>
      <c r="B81" s="495" t="s">
        <v>2550</v>
      </c>
      <c r="C81" s="617" t="s">
        <v>4055</v>
      </c>
      <c r="D81" s="617" t="s">
        <v>4054</v>
      </c>
      <c r="E81" s="617" t="s">
        <v>4053</v>
      </c>
      <c r="F81" s="617"/>
      <c r="G81" s="617"/>
      <c r="H81" s="617"/>
      <c r="I81" s="617"/>
      <c r="J81" s="617"/>
      <c r="K81" s="618"/>
      <c r="L81" s="619"/>
      <c r="M81" s="620"/>
      <c r="N81" s="2979"/>
      <c r="O81" s="2979"/>
      <c r="P81" s="2989"/>
      <c r="Q81" s="2966"/>
      <c r="R81" s="2952"/>
      <c r="S81" s="2952"/>
      <c r="T81" s="2952"/>
      <c r="U81" s="2952"/>
      <c r="V81" s="2952"/>
      <c r="W81" s="2952"/>
      <c r="X81" s="2952"/>
      <c r="Y81" s="2952"/>
      <c r="Z81" s="2952"/>
      <c r="AA81" s="2952"/>
      <c r="AB81" s="2952"/>
      <c r="AC81" s="2952"/>
    </row>
    <row r="82" spans="1:29" s="430" customFormat="1" ht="15.75" thickBot="1">
      <c r="A82" s="510"/>
      <c r="B82" s="500"/>
      <c r="C82" s="517">
        <v>100</v>
      </c>
      <c r="D82" s="493">
        <v>100</v>
      </c>
      <c r="E82" s="493">
        <v>100</v>
      </c>
      <c r="F82" s="493"/>
      <c r="G82" s="493"/>
      <c r="H82" s="493"/>
      <c r="I82" s="493"/>
      <c r="J82" s="493"/>
      <c r="K82" s="493"/>
      <c r="L82" s="493"/>
      <c r="M82" s="494"/>
      <c r="N82" s="2981"/>
      <c r="O82" s="2981"/>
      <c r="P82" s="2990"/>
      <c r="Q82" s="2973"/>
      <c r="R82" s="2974"/>
      <c r="S82" s="2974"/>
      <c r="T82" s="2974"/>
      <c r="U82" s="2974"/>
      <c r="V82" s="2974"/>
      <c r="W82" s="2974"/>
      <c r="X82" s="2974"/>
      <c r="Y82" s="2974"/>
      <c r="Z82" s="2974"/>
      <c r="AA82" s="2974"/>
      <c r="AB82" s="2974"/>
      <c r="AC82" s="2974"/>
    </row>
    <row r="83" spans="1:29" ht="15" thickTop="1">
      <c r="A83" s="556"/>
      <c r="B83" s="495" t="s">
        <v>2437</v>
      </c>
      <c r="C83" s="3168" t="s">
        <v>4299</v>
      </c>
      <c r="D83" s="3168" t="s">
        <v>4298</v>
      </c>
      <c r="E83" s="540"/>
      <c r="F83" s="540"/>
      <c r="G83" s="540"/>
      <c r="H83" s="540"/>
      <c r="I83" s="540"/>
      <c r="J83" s="540"/>
      <c r="K83" s="541"/>
      <c r="L83" s="542"/>
      <c r="M83" s="543"/>
      <c r="N83" s="2980"/>
      <c r="O83" s="2980"/>
      <c r="P83" s="2989"/>
      <c r="Q83" s="2966"/>
      <c r="R83" s="2952"/>
      <c r="S83" s="2952"/>
      <c r="T83" s="2952"/>
      <c r="U83" s="2952"/>
      <c r="V83" s="2952"/>
      <c r="W83" s="2952"/>
      <c r="X83" s="2952"/>
      <c r="Y83" s="2952"/>
      <c r="Z83" s="2952"/>
      <c r="AA83" s="2952"/>
      <c r="AB83" s="2952"/>
      <c r="AC83" s="2952"/>
    </row>
    <row r="84" spans="1:29" ht="15.75" thickBot="1">
      <c r="A84" s="491"/>
      <c r="B84" s="500"/>
      <c r="C84" s="501">
        <v>100</v>
      </c>
      <c r="D84" s="501">
        <f t="shared" ref="D84:M84" si="15">C84-$K28</f>
        <v>94</v>
      </c>
      <c r="E84" s="501">
        <f t="shared" si="15"/>
        <v>88</v>
      </c>
      <c r="F84" s="501">
        <f t="shared" si="15"/>
        <v>82</v>
      </c>
      <c r="G84" s="501">
        <f t="shared" si="15"/>
        <v>76</v>
      </c>
      <c r="H84" s="501">
        <f t="shared" si="15"/>
        <v>70</v>
      </c>
      <c r="I84" s="501">
        <f t="shared" si="15"/>
        <v>64</v>
      </c>
      <c r="J84" s="501">
        <f t="shared" si="15"/>
        <v>58</v>
      </c>
      <c r="K84" s="501">
        <f t="shared" si="15"/>
        <v>52</v>
      </c>
      <c r="L84" s="501">
        <f t="shared" si="15"/>
        <v>46</v>
      </c>
      <c r="M84" s="502">
        <f t="shared" si="15"/>
        <v>40</v>
      </c>
      <c r="N84" s="2981"/>
      <c r="O84" s="2981"/>
      <c r="P84" s="2989"/>
      <c r="Q84" s="2966"/>
      <c r="R84" s="2952"/>
      <c r="S84" s="2952"/>
      <c r="T84" s="2952"/>
      <c r="U84" s="2952"/>
      <c r="V84" s="2952"/>
      <c r="W84" s="2952"/>
      <c r="X84" s="2952"/>
      <c r="Y84" s="2952"/>
      <c r="Z84" s="2952"/>
      <c r="AA84" s="2952"/>
      <c r="AB84" s="2952"/>
      <c r="AC84" s="2952"/>
    </row>
    <row r="85" spans="1:29" ht="15" thickTop="1">
      <c r="A85" s="556"/>
      <c r="B85" s="495" t="s">
        <v>2551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0"/>
      <c r="O85" s="2980"/>
      <c r="P85" s="2989"/>
      <c r="Q85" s="2966"/>
      <c r="R85" s="2952"/>
      <c r="S85" s="2952"/>
      <c r="T85" s="2952"/>
      <c r="U85" s="2952"/>
      <c r="V85" s="2952"/>
      <c r="W85" s="2952"/>
      <c r="X85" s="2952"/>
      <c r="Y85" s="2952"/>
      <c r="Z85" s="2952"/>
      <c r="AA85" s="2952"/>
      <c r="AB85" s="2952"/>
      <c r="AC85" s="2952"/>
    </row>
    <row r="86" spans="1:29">
      <c r="A86" s="556"/>
      <c r="B86" s="503"/>
      <c r="C86" s="560">
        <v>0.5</v>
      </c>
      <c r="D86" s="560">
        <v>0.6</v>
      </c>
      <c r="E86" s="560">
        <v>0.7</v>
      </c>
      <c r="F86" s="560">
        <v>0.8</v>
      </c>
      <c r="G86" s="560">
        <v>0.9</v>
      </c>
      <c r="H86" s="560">
        <v>1.0001</v>
      </c>
      <c r="I86" s="579"/>
      <c r="J86" s="579"/>
      <c r="K86" s="580"/>
      <c r="L86" s="581"/>
      <c r="M86" s="582"/>
      <c r="N86" s="2980"/>
      <c r="O86" s="2980"/>
      <c r="P86" s="2989"/>
      <c r="Q86" s="2966"/>
      <c r="R86" s="2952"/>
      <c r="S86" s="2952"/>
      <c r="T86" s="2952"/>
      <c r="U86" s="2952"/>
      <c r="V86" s="2952"/>
      <c r="W86" s="2952"/>
      <c r="X86" s="2952"/>
      <c r="Y86" s="2952"/>
      <c r="Z86" s="2952"/>
      <c r="AA86" s="2952"/>
      <c r="AB86" s="2952"/>
      <c r="AC86" s="2952"/>
    </row>
    <row r="87" spans="1:29" ht="15.75" thickBot="1">
      <c r="A87" s="491"/>
      <c r="B87" s="500"/>
      <c r="C87" s="539">
        <v>100</v>
      </c>
      <c r="D87" s="501">
        <f>C87+$K$29</f>
        <v>100</v>
      </c>
      <c r="E87" s="501">
        <f t="shared" ref="E87:M87" si="16">D87+$K$29</f>
        <v>100</v>
      </c>
      <c r="F87" s="501">
        <f t="shared" si="16"/>
        <v>100</v>
      </c>
      <c r="G87" s="501">
        <f t="shared" si="16"/>
        <v>100</v>
      </c>
      <c r="H87" s="501">
        <f t="shared" si="16"/>
        <v>100</v>
      </c>
      <c r="I87" s="501">
        <f t="shared" si="16"/>
        <v>100</v>
      </c>
      <c r="J87" s="501">
        <f t="shared" si="16"/>
        <v>100</v>
      </c>
      <c r="K87" s="501">
        <f t="shared" si="16"/>
        <v>100</v>
      </c>
      <c r="L87" s="501">
        <f t="shared" si="16"/>
        <v>100</v>
      </c>
      <c r="M87" s="501">
        <f t="shared" si="16"/>
        <v>100</v>
      </c>
      <c r="N87" s="2981"/>
      <c r="O87" s="2981"/>
      <c r="P87" s="2989"/>
      <c r="Q87" s="2966"/>
      <c r="R87" s="2952"/>
      <c r="S87" s="2952"/>
      <c r="T87" s="2952"/>
      <c r="U87" s="2952"/>
      <c r="V87" s="2952"/>
      <c r="W87" s="2952"/>
      <c r="X87" s="2952"/>
      <c r="Y87" s="2952"/>
      <c r="Z87" s="2952"/>
      <c r="AA87" s="2952"/>
      <c r="AB87" s="2952"/>
      <c r="AC87" s="2952"/>
    </row>
    <row r="88" spans="1:29" ht="15" thickTop="1">
      <c r="A88" s="556"/>
      <c r="B88" s="503" t="s">
        <v>2552</v>
      </c>
      <c r="C88" s="487"/>
      <c r="D88" s="487"/>
      <c r="E88" s="487"/>
      <c r="F88" s="487"/>
      <c r="G88" s="487"/>
      <c r="H88" s="487"/>
      <c r="I88" s="487"/>
      <c r="J88" s="487"/>
      <c r="K88" s="488"/>
      <c r="L88" s="489"/>
      <c r="M88" s="490"/>
      <c r="N88" s="2980"/>
      <c r="O88" s="2980"/>
      <c r="P88" s="2989"/>
      <c r="Q88" s="2966"/>
      <c r="R88" s="2952"/>
      <c r="S88" s="2952"/>
      <c r="T88" s="2952"/>
      <c r="U88" s="2952"/>
      <c r="V88" s="2952"/>
      <c r="W88" s="2952"/>
      <c r="X88" s="2952"/>
      <c r="Y88" s="2952"/>
      <c r="Z88" s="2952"/>
      <c r="AA88" s="2952"/>
      <c r="AB88" s="2952"/>
      <c r="AC88" s="2952"/>
    </row>
    <row r="89" spans="1:29" ht="15.75" thickBot="1">
      <c r="A89" s="491"/>
      <c r="B89" s="500"/>
      <c r="C89" s="539">
        <v>100</v>
      </c>
      <c r="D89" s="501">
        <f t="shared" ref="D89:M89" si="17">C89+$K30</f>
        <v>100</v>
      </c>
      <c r="E89" s="501">
        <f t="shared" si="17"/>
        <v>100</v>
      </c>
      <c r="F89" s="501">
        <f t="shared" si="17"/>
        <v>100</v>
      </c>
      <c r="G89" s="501">
        <f t="shared" si="17"/>
        <v>100</v>
      </c>
      <c r="H89" s="501">
        <f t="shared" si="17"/>
        <v>100</v>
      </c>
      <c r="I89" s="501">
        <f t="shared" si="17"/>
        <v>100</v>
      </c>
      <c r="J89" s="501">
        <f t="shared" si="17"/>
        <v>100</v>
      </c>
      <c r="K89" s="501">
        <f t="shared" si="17"/>
        <v>100</v>
      </c>
      <c r="L89" s="501">
        <f t="shared" si="17"/>
        <v>100</v>
      </c>
      <c r="M89" s="501">
        <f t="shared" si="17"/>
        <v>100</v>
      </c>
      <c r="N89" s="2981"/>
      <c r="O89" s="2981"/>
      <c r="P89" s="2989"/>
      <c r="Q89" s="2966"/>
      <c r="R89" s="2952"/>
      <c r="S89" s="2952"/>
      <c r="T89" s="2952"/>
      <c r="U89" s="2952"/>
      <c r="V89" s="2952"/>
      <c r="W89" s="2952"/>
      <c r="X89" s="2952"/>
      <c r="Y89" s="2952"/>
      <c r="Z89" s="2952"/>
      <c r="AA89" s="2952"/>
      <c r="AB89" s="2952"/>
      <c r="AC89" s="2952"/>
    </row>
    <row r="90" spans="1:29" s="430" customFormat="1" ht="15" thickTop="1">
      <c r="A90" s="550"/>
      <c r="B90" s="495" t="s">
        <v>2553</v>
      </c>
      <c r="C90" s="535" t="str">
        <f>C91&amp;"(含)"&amp;"-"&amp;D91</f>
        <v>0(含)-20</v>
      </c>
      <c r="D90" s="535" t="str">
        <f t="shared" ref="D90:L90" si="18">D91&amp;"(含)"&amp;"-"&amp;E91</f>
        <v>20(含)-30</v>
      </c>
      <c r="E90" s="535" t="str">
        <f t="shared" si="18"/>
        <v>30(含)-40</v>
      </c>
      <c r="F90" s="535" t="str">
        <f t="shared" si="18"/>
        <v>40(含)-</v>
      </c>
      <c r="G90" s="535" t="str">
        <f t="shared" si="18"/>
        <v>(含)-</v>
      </c>
      <c r="H90" s="535" t="str">
        <f t="shared" si="18"/>
        <v>(含)-</v>
      </c>
      <c r="I90" s="535" t="str">
        <f t="shared" si="18"/>
        <v>(含)-</v>
      </c>
      <c r="J90" s="535" t="str">
        <f t="shared" si="18"/>
        <v>(含)-</v>
      </c>
      <c r="K90" s="535" t="str">
        <f t="shared" si="18"/>
        <v>(含)-</v>
      </c>
      <c r="L90" s="535" t="str">
        <f t="shared" si="18"/>
        <v>(含)-</v>
      </c>
      <c r="M90" s="578" t="str">
        <f>M91&amp;"(含)"&amp;"-"&amp;P91</f>
        <v>(含)-</v>
      </c>
      <c r="N90" s="2982"/>
      <c r="O90" s="2982"/>
      <c r="P90" s="2990"/>
      <c r="Q90" s="2973"/>
      <c r="R90" s="2974"/>
      <c r="S90" s="2974"/>
      <c r="T90" s="2974"/>
      <c r="U90" s="2974"/>
      <c r="V90" s="2974"/>
      <c r="W90" s="2974"/>
      <c r="X90" s="2974"/>
      <c r="Y90" s="2974"/>
      <c r="Z90" s="2974"/>
      <c r="AA90" s="2974"/>
      <c r="AB90" s="2974"/>
      <c r="AC90" s="2974"/>
    </row>
    <row r="91" spans="1:29" s="430" customFormat="1">
      <c r="A91" s="550"/>
      <c r="B91" s="503"/>
      <c r="C91" s="552">
        <v>0</v>
      </c>
      <c r="D91" s="552">
        <v>20</v>
      </c>
      <c r="E91" s="552">
        <v>30</v>
      </c>
      <c r="F91" s="552">
        <v>40</v>
      </c>
      <c r="G91" s="552"/>
      <c r="H91" s="552"/>
      <c r="I91" s="552"/>
      <c r="J91" s="553"/>
      <c r="K91" s="553"/>
      <c r="L91" s="554"/>
      <c r="M91" s="555"/>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17">
        <v>100</v>
      </c>
      <c r="D92" s="493">
        <v>102</v>
      </c>
      <c r="E92" s="493">
        <v>104</v>
      </c>
      <c r="F92" s="493">
        <v>106</v>
      </c>
      <c r="G92" s="493"/>
      <c r="H92" s="493"/>
      <c r="I92" s="493"/>
      <c r="J92" s="493"/>
      <c r="K92" s="493"/>
      <c r="L92" s="493"/>
      <c r="M92" s="494"/>
      <c r="N92" s="2982"/>
      <c r="O92" s="2982"/>
      <c r="P92" s="2990"/>
      <c r="Q92" s="2973"/>
      <c r="R92" s="2974"/>
      <c r="S92" s="2974"/>
      <c r="T92" s="2974"/>
      <c r="U92" s="2974"/>
      <c r="V92" s="2974"/>
      <c r="W92" s="2974"/>
      <c r="X92" s="2974"/>
      <c r="Y92" s="2974"/>
      <c r="Z92" s="2974"/>
      <c r="AA92" s="2974"/>
      <c r="AB92" s="2974"/>
      <c r="AC92" s="2974"/>
    </row>
    <row r="93" spans="1:29" ht="15" thickTop="1">
      <c r="A93" s="556"/>
      <c r="B93" s="495" t="s">
        <v>2554</v>
      </c>
      <c r="C93" s="3168" t="s">
        <v>4301</v>
      </c>
      <c r="D93" s="511"/>
      <c r="E93" s="540"/>
      <c r="F93" s="540"/>
      <c r="G93" s="540"/>
      <c r="H93" s="540"/>
      <c r="I93" s="540"/>
      <c r="J93" s="540"/>
      <c r="K93" s="541"/>
      <c r="L93" s="542"/>
      <c r="M93" s="543"/>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01">
        <v>100</v>
      </c>
      <c r="D94" s="501">
        <f t="shared" ref="D94:M94" si="19">C94-$K32</f>
        <v>100</v>
      </c>
      <c r="E94" s="501">
        <f t="shared" si="19"/>
        <v>100</v>
      </c>
      <c r="F94" s="501">
        <f t="shared" si="19"/>
        <v>100</v>
      </c>
      <c r="G94" s="501">
        <f t="shared" si="19"/>
        <v>100</v>
      </c>
      <c r="H94" s="501">
        <f t="shared" si="19"/>
        <v>100</v>
      </c>
      <c r="I94" s="501">
        <f t="shared" si="19"/>
        <v>100</v>
      </c>
      <c r="J94" s="501">
        <f t="shared" si="19"/>
        <v>100</v>
      </c>
      <c r="K94" s="501">
        <f t="shared" si="19"/>
        <v>100</v>
      </c>
      <c r="L94" s="501">
        <f t="shared" si="19"/>
        <v>100</v>
      </c>
      <c r="M94" s="502">
        <f t="shared" si="19"/>
        <v>100</v>
      </c>
      <c r="N94" s="2981"/>
      <c r="O94" s="2981"/>
      <c r="P94" s="2989"/>
      <c r="Q94" s="2966"/>
      <c r="R94" s="2952"/>
      <c r="S94" s="2952"/>
      <c r="T94" s="2952"/>
      <c r="U94" s="2952"/>
      <c r="V94" s="2952"/>
      <c r="W94" s="2952"/>
      <c r="X94" s="2952"/>
      <c r="Y94" s="2952"/>
      <c r="Z94" s="2952"/>
      <c r="AA94" s="2952"/>
      <c r="AB94" s="2952"/>
      <c r="AC94" s="2952"/>
    </row>
    <row r="95" spans="1:29" ht="15" thickTop="1">
      <c r="A95" s="556"/>
      <c r="B95" s="495" t="s">
        <v>2555</v>
      </c>
      <c r="C95" s="3321" t="s">
        <v>4302</v>
      </c>
      <c r="D95" s="487"/>
      <c r="E95" s="487"/>
      <c r="F95" s="487"/>
      <c r="G95" s="487"/>
      <c r="H95" s="487"/>
      <c r="I95" s="487"/>
      <c r="J95" s="487"/>
      <c r="K95" s="488"/>
      <c r="L95" s="489"/>
      <c r="M95" s="490"/>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1"/>
      <c r="O96" s="2981"/>
      <c r="P96" s="2989"/>
      <c r="Q96" s="2966"/>
      <c r="R96" s="2952"/>
      <c r="S96" s="2952"/>
      <c r="T96" s="2952"/>
      <c r="U96" s="2952"/>
      <c r="V96" s="2952"/>
      <c r="W96" s="2952"/>
      <c r="X96" s="2952"/>
      <c r="Y96" s="2952"/>
      <c r="Z96" s="2952"/>
      <c r="AA96" s="2952"/>
      <c r="AB96" s="2952"/>
      <c r="AC96" s="2952"/>
    </row>
    <row r="97" spans="1:29" ht="15" thickTop="1">
      <c r="A97" s="556"/>
      <c r="B97" s="592">
        <f>B34</f>
        <v>111</v>
      </c>
      <c r="C97" s="506"/>
      <c r="D97" s="506"/>
      <c r="E97" s="506"/>
      <c r="F97" s="506"/>
      <c r="G97" s="511"/>
      <c r="H97" s="512"/>
      <c r="I97" s="512"/>
      <c r="J97" s="512"/>
      <c r="K97" s="512"/>
      <c r="L97" s="513"/>
      <c r="M97" s="514"/>
      <c r="N97" s="2981"/>
      <c r="O97" s="2981"/>
      <c r="P97" s="2994"/>
      <c r="Q97" s="2995"/>
      <c r="R97" s="2952"/>
      <c r="S97" s="2952"/>
      <c r="T97" s="2952"/>
      <c r="U97" s="2952"/>
      <c r="V97" s="2952"/>
      <c r="W97" s="2952"/>
      <c r="X97" s="2952"/>
      <c r="Y97" s="2952"/>
      <c r="Z97" s="2952"/>
      <c r="AA97" s="2952"/>
      <c r="AB97" s="2952"/>
      <c r="AC97" s="2952"/>
    </row>
    <row r="98" spans="1:29" ht="15.75" thickBot="1">
      <c r="A98" s="491"/>
      <c r="B98" s="500"/>
      <c r="C98" s="517"/>
      <c r="D98" s="493"/>
      <c r="E98" s="493"/>
      <c r="F98" s="493"/>
      <c r="G98" s="517"/>
      <c r="H98" s="519"/>
      <c r="I98" s="519"/>
      <c r="J98" s="519"/>
      <c r="K98" s="519"/>
      <c r="L98" s="519"/>
      <c r="M98" s="520"/>
      <c r="N98" s="2981"/>
      <c r="O98" s="2981"/>
      <c r="P98" s="2989"/>
      <c r="Q98" s="2966"/>
      <c r="R98" s="2952"/>
      <c r="S98" s="2952"/>
      <c r="T98" s="2952"/>
      <c r="U98" s="2952"/>
      <c r="V98" s="2952"/>
      <c r="W98" s="2952"/>
      <c r="X98" s="2952"/>
      <c r="Y98" s="2952"/>
      <c r="Z98" s="2952"/>
      <c r="AA98" s="2952"/>
      <c r="AB98" s="2952"/>
      <c r="AC98" s="2952"/>
    </row>
    <row r="99" spans="1:29" s="430" customFormat="1" ht="15" thickTop="1">
      <c r="A99" s="550"/>
      <c r="B99" s="495">
        <f>B35</f>
        <v>111</v>
      </c>
      <c r="C99" s="506"/>
      <c r="D99" s="506"/>
      <c r="E99" s="506"/>
      <c r="F99" s="506"/>
      <c r="G99" s="511"/>
      <c r="H99" s="512"/>
      <c r="I99" s="512"/>
      <c r="J99" s="512"/>
      <c r="K99" s="512"/>
      <c r="L99" s="513"/>
      <c r="M99" s="514"/>
      <c r="N99" s="2982"/>
      <c r="O99" s="2982"/>
      <c r="P99" s="2990"/>
      <c r="Q99" s="2973"/>
      <c r="R99" s="2974"/>
      <c r="S99" s="2974"/>
      <c r="T99" s="2974"/>
      <c r="U99" s="2974"/>
      <c r="V99" s="2974"/>
      <c r="W99" s="2974"/>
      <c r="X99" s="2974"/>
      <c r="Y99" s="2974"/>
      <c r="Z99" s="2974"/>
      <c r="AA99" s="2974"/>
      <c r="AB99" s="2974"/>
      <c r="AC99" s="2974"/>
    </row>
    <row r="100" spans="1:29" s="430" customFormat="1" ht="15.75" thickBot="1">
      <c r="A100" s="510"/>
      <c r="B100" s="492"/>
      <c r="C100" s="517"/>
      <c r="D100" s="493"/>
      <c r="E100" s="493"/>
      <c r="F100" s="493"/>
      <c r="G100" s="517"/>
      <c r="H100" s="519"/>
      <c r="I100" s="519"/>
      <c r="J100" s="519"/>
      <c r="K100" s="519"/>
      <c r="L100" s="519"/>
      <c r="M100" s="520"/>
      <c r="N100" s="2982"/>
      <c r="O100" s="2982"/>
      <c r="P100" s="2990"/>
      <c r="Q100" s="2973"/>
      <c r="R100" s="2974"/>
      <c r="S100" s="2974"/>
      <c r="T100" s="2974"/>
      <c r="U100" s="2974"/>
      <c r="V100" s="2974"/>
      <c r="W100" s="2974"/>
      <c r="X100" s="2974"/>
      <c r="Y100" s="2974"/>
      <c r="Z100" s="2974"/>
      <c r="AA100" s="2974"/>
      <c r="AB100" s="2974"/>
      <c r="AC100" s="2974"/>
    </row>
    <row r="101" spans="1:29" ht="15" thickTop="1">
      <c r="A101" s="556"/>
      <c r="B101" s="495">
        <f>B36</f>
        <v>111</v>
      </c>
      <c r="C101" s="511"/>
      <c r="D101" s="511"/>
      <c r="E101" s="511"/>
      <c r="F101" s="511"/>
      <c r="G101" s="511"/>
      <c r="H101" s="512"/>
      <c r="I101" s="512"/>
      <c r="J101" s="512"/>
      <c r="K101" s="512"/>
      <c r="L101" s="513"/>
      <c r="M101" s="514"/>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17"/>
      <c r="D102" s="517"/>
      <c r="E102" s="517"/>
      <c r="F102" s="517"/>
      <c r="G102" s="517"/>
      <c r="H102" s="519"/>
      <c r="I102" s="519"/>
      <c r="J102" s="519"/>
      <c r="K102" s="519"/>
      <c r="L102" s="519"/>
      <c r="M102" s="520"/>
      <c r="N102" s="2981"/>
      <c r="O102" s="2981"/>
      <c r="P102" s="2989"/>
      <c r="Q102" s="2966"/>
      <c r="R102" s="2952"/>
      <c r="S102" s="2952"/>
      <c r="T102" s="2952"/>
      <c r="U102" s="2952"/>
      <c r="V102" s="2952"/>
      <c r="W102" s="2952"/>
      <c r="X102" s="2952"/>
      <c r="Y102" s="2952"/>
      <c r="Z102" s="2952"/>
      <c r="AA102" s="2952"/>
      <c r="AB102" s="2952"/>
      <c r="AC102" s="2952"/>
    </row>
    <row r="103" spans="1:29" ht="15" thickTop="1">
      <c r="N103" s="2952"/>
      <c r="O103" s="2952"/>
      <c r="P103" s="2983"/>
      <c r="Q103" s="2952"/>
      <c r="R103" s="2952"/>
      <c r="S103" s="2952"/>
      <c r="T103" s="2952"/>
      <c r="U103" s="2952"/>
      <c r="V103" s="2952"/>
      <c r="W103" s="2952"/>
      <c r="X103" s="2952"/>
      <c r="Y103" s="2952"/>
      <c r="Z103" s="2952"/>
      <c r="AA103" s="2952"/>
      <c r="AB103" s="2952"/>
      <c r="AC103" s="2952"/>
    </row>
  </sheetData>
  <sheetProtection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18" priority="18" stopIfTrue="1" operator="containsText" text="超过">
      <formula>NOT(ISERROR(SEARCH("超过",F42)))</formula>
    </cfRule>
  </conditionalFormatting>
  <conditionalFormatting sqref="J44">
    <cfRule type="containsText" dxfId="17" priority="17" stopIfTrue="1" operator="containsText" text="超过">
      <formula>NOT(ISERROR(SEARCH("超过",J44)))</formula>
    </cfRule>
  </conditionalFormatting>
  <conditionalFormatting sqref="H44">
    <cfRule type="containsText" dxfId="16" priority="16" stopIfTrue="1" operator="containsText" text="超过">
      <formula>NOT(ISERROR(SEARCH("超过",H44)))</formula>
    </cfRule>
  </conditionalFormatting>
  <conditionalFormatting sqref="F44">
    <cfRule type="containsText" dxfId="15" priority="15" stopIfTrue="1" operator="containsText" text="超过">
      <formula>NOT(ISERROR(SEARCH("超过",F44)))</formula>
    </cfRule>
  </conditionalFormatting>
  <conditionalFormatting sqref="F43 H43 J43">
    <cfRule type="containsText" dxfId="14" priority="14" stopIfTrue="1" operator="containsText" text="超过">
      <formula>NOT(ISERROR(SEARCH("超过",F43)))</formula>
    </cfRule>
  </conditionalFormatting>
  <conditionalFormatting sqref="E42">
    <cfRule type="expression" dxfId="13" priority="13" stopIfTrue="1">
      <formula>$F$42="超过30%"</formula>
    </cfRule>
  </conditionalFormatting>
  <conditionalFormatting sqref="G44">
    <cfRule type="expression" dxfId="12" priority="12" stopIfTrue="1">
      <formula>$H$54+$H$44="超过30%"</formula>
    </cfRule>
  </conditionalFormatting>
  <conditionalFormatting sqref="E43">
    <cfRule type="expression" dxfId="11" priority="11" stopIfTrue="1">
      <formula>$F$43="超过20%"</formula>
    </cfRule>
  </conditionalFormatting>
  <conditionalFormatting sqref="E44">
    <cfRule type="expression" dxfId="10" priority="10" stopIfTrue="1">
      <formula>$F$44="超过30%"</formula>
    </cfRule>
  </conditionalFormatting>
  <conditionalFormatting sqref="G42">
    <cfRule type="expression" dxfId="9" priority="9" stopIfTrue="1">
      <formula>$H$52+$H$42="超过30%"</formula>
    </cfRule>
  </conditionalFormatting>
  <conditionalFormatting sqref="G43">
    <cfRule type="expression" dxfId="8" priority="8" stopIfTrue="1">
      <formula>$H$43="超过20%"</formula>
    </cfRule>
  </conditionalFormatting>
  <conditionalFormatting sqref="I42">
    <cfRule type="expression" dxfId="7" priority="7" stopIfTrue="1">
      <formula>$J$52+$J$42="超过30%"</formula>
    </cfRule>
  </conditionalFormatting>
  <conditionalFormatting sqref="I43">
    <cfRule type="expression" dxfId="6" priority="6" stopIfTrue="1">
      <formula>$J$53+$J$43="超过20%"</formula>
    </cfRule>
  </conditionalFormatting>
  <conditionalFormatting sqref="I44">
    <cfRule type="expression" dxfId="5" priority="5" stopIfTrue="1">
      <formula>$J$44="超过30%"</formula>
    </cfRule>
  </conditionalFormatting>
  <conditionalFormatting sqref="F38">
    <cfRule type="expression" dxfId="4" priority="4">
      <formula>$D$38="简单平均"</formula>
    </cfRule>
  </conditionalFormatting>
  <conditionalFormatting sqref="H38">
    <cfRule type="expression" dxfId="3" priority="3">
      <formula>$D$38="简单平均"</formula>
    </cfRule>
  </conditionalFormatting>
  <conditionalFormatting sqref="J38">
    <cfRule type="expression" dxfId="2" priority="2">
      <formula>$D$38="简单平均"</formula>
    </cfRule>
  </conditionalFormatting>
  <conditionalFormatting sqref="F7:F36 H7:H36 J7:J36">
    <cfRule type="cellIs" dxfId="1" priority="1" operator="notEqual">
      <formula>100</formula>
    </cfRule>
  </conditionalFormatting>
  <dataValidations count="20">
    <dataValidation type="list" allowBlank="1" showInputMessage="1" showErrorMessage="1" sqref="C10 E10 G10 I10" xr:uid="{00000000-0002-0000-2900-000000000000}">
      <formula1>土地年限区间</formula1>
    </dataValidation>
    <dataValidation type="list" allowBlank="1" showInputMessage="1" showErrorMessage="1" sqref="D1" xr:uid="{00000000-0002-0000-2900-000001000000}">
      <formula1>项目类型</formula1>
    </dataValidation>
    <dataValidation type="list" allowBlank="1" showInputMessage="1" showErrorMessage="1" sqref="G17 C17 E17 I17" xr:uid="{00000000-0002-0000-2900-000002000000}">
      <formula1>公共配套设施</formula1>
    </dataValidation>
    <dataValidation type="list" allowBlank="1" showInputMessage="1" showErrorMessage="1" sqref="G15 E15 C15 I15" xr:uid="{00000000-0002-0000-2900-000003000000}">
      <formula1>交通便捷度</formula1>
    </dataValidation>
    <dataValidation type="list" allowBlank="1" showInputMessage="1" showErrorMessage="1" sqref="C8 E8 G8 I8" xr:uid="{00000000-0002-0000-2900-000004000000}">
      <formula1>车位交易情况</formula1>
    </dataValidation>
    <dataValidation type="list" allowBlank="1" showInputMessage="1" showErrorMessage="1" sqref="E9 G9 I9" xr:uid="{00000000-0002-0000-2900-000005000000}">
      <formula1>车位用途</formula1>
    </dataValidation>
    <dataValidation type="list" allowBlank="1" showInputMessage="1" showErrorMessage="1" sqref="C22 E22 G22 I22" xr:uid="{00000000-0002-0000-2900-000006000000}">
      <formula1>车位楼层</formula1>
    </dataValidation>
    <dataValidation type="list" allowBlank="1" showInputMessage="1" showErrorMessage="1" sqref="C30 E30 G30 I30" xr:uid="{00000000-0002-0000-2900-000007000000}">
      <formula1>车位物业等级</formula1>
    </dataValidation>
    <dataValidation type="list" allowBlank="1" showInputMessage="1" showErrorMessage="1" sqref="C32 E32 G32 I32" xr:uid="{00000000-0002-0000-2900-000008000000}">
      <formula1>车位类型</formula1>
    </dataValidation>
    <dataValidation type="list" allowBlank="1" showInputMessage="1" showErrorMessage="1" sqref="C33 E33 G33 I33" xr:uid="{00000000-0002-0000-2900-000009000000}">
      <formula1>是否直接入户</formula1>
    </dataValidation>
    <dataValidation type="list" allowBlank="1" showInputMessage="1" showErrorMessage="1" sqref="B1" xr:uid="{00000000-0002-0000-2900-00000A000000}">
      <formula1>地类判定</formula1>
    </dataValidation>
    <dataValidation type="list" allowBlank="1" showInputMessage="1" showErrorMessage="1" sqref="I26 E26 G26" xr:uid="{00000000-0002-0000-2900-00000B000000}">
      <formula1>车位配套类型</formula1>
    </dataValidation>
    <dataValidation type="list" allowBlank="1" showInputMessage="1" showErrorMessage="1" sqref="C28 E28 G28 I28" xr:uid="{00000000-0002-0000-2900-00000C000000}">
      <formula1>车位公共部分装修</formula1>
    </dataValidation>
    <dataValidation type="list" allowBlank="1" showInputMessage="1" showErrorMessage="1" sqref="B37" xr:uid="{00000000-0002-0000-2900-00000D000000}">
      <formula1>"元/平方米,元/车位"</formula1>
    </dataValidation>
    <dataValidation type="list" allowBlank="1" showInputMessage="1" showErrorMessage="1" sqref="C21 E21 G21 I21" xr:uid="{00000000-0002-0000-2900-00000E000000}">
      <formula1>环境</formula1>
    </dataValidation>
    <dataValidation type="list" allowBlank="1" showInputMessage="1" showErrorMessage="1" sqref="C19 E19 G19 I19" xr:uid="{00000000-0002-0000-2900-00000F000000}">
      <formula1>基础设施水平</formula1>
    </dataValidation>
    <dataValidation type="list" allowBlank="1" showInputMessage="1" showErrorMessage="1" sqref="F1" xr:uid="{00000000-0002-0000-2900-000010000000}">
      <formula1>"售价,租金"</formula1>
    </dataValidation>
    <dataValidation type="list" allowBlank="1" showInputMessage="1" showErrorMessage="1" sqref="C2" xr:uid="{00000000-0002-0000-2900-000011000000}">
      <formula1>"需扣减承租人权益,——"</formula1>
    </dataValidation>
    <dataValidation type="list" allowBlank="1" showInputMessage="1" showErrorMessage="1" sqref="F2" xr:uid="{00000000-0002-0000-2900-000012000000}">
      <formula1>估价方法</formula1>
    </dataValidation>
    <dataValidation type="list" allowBlank="1" showInputMessage="1" showErrorMessage="1" sqref="D38" xr:uid="{00000000-0002-0000-29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FF0000"/>
  </sheetPr>
  <dimension ref="A1:AE46"/>
  <sheetViews>
    <sheetView tabSelected="1" topLeftCell="Q1" zoomScaleNormal="100" workbookViewId="0">
      <pane ySplit="1" topLeftCell="A2" activePane="bottomLeft" state="frozen"/>
      <selection activeCell="D1" sqref="D1"/>
      <selection pane="bottomLeft" activeCell="S8" sqref="S8:S9"/>
    </sheetView>
  </sheetViews>
  <sheetFormatPr defaultRowHeight="13.5"/>
  <cols>
    <col min="1" max="1" width="16.5" style="3" customWidth="1"/>
    <col min="2" max="2" width="17.375" style="3" customWidth="1"/>
    <col min="3" max="3" width="12.25" style="3" customWidth="1"/>
    <col min="8" max="8" width="9" customWidth="1"/>
    <col min="9" max="9" width="9.375" style="3304" customWidth="1"/>
    <col min="10" max="10" width="5.625" style="3181" customWidth="1"/>
    <col min="11" max="11" width="5.625" style="3371" customWidth="1"/>
    <col min="12" max="13" width="5.625" style="3181" customWidth="1"/>
    <col min="14" max="15" width="8.375" style="3304" customWidth="1"/>
    <col min="16" max="16" width="8.625" style="3181" customWidth="1"/>
    <col min="17" max="17" width="16.5" style="3304" customWidth="1"/>
    <col min="18" max="20" width="18.625" style="3304" customWidth="1"/>
    <col min="21" max="21" width="9.75" style="3304" customWidth="1"/>
    <col min="22" max="22" width="5.875" customWidth="1"/>
    <col min="23" max="24" width="12.375" customWidth="1"/>
    <col min="25" max="26" width="12.25" customWidth="1"/>
    <col min="27" max="27" width="11" customWidth="1"/>
    <col min="28" max="28" width="9" customWidth="1"/>
    <col min="29" max="29" width="9.25" customWidth="1"/>
    <col min="30" max="30" width="9.375" customWidth="1"/>
    <col min="31" max="31" width="9.125" customWidth="1"/>
  </cols>
  <sheetData>
    <row r="1" spans="1:31" s="3" customFormat="1" ht="27">
      <c r="A1" s="3263" t="s">
        <v>3874</v>
      </c>
      <c r="B1" s="3263" t="s">
        <v>3875</v>
      </c>
      <c r="C1" s="3263" t="s">
        <v>3876</v>
      </c>
      <c r="D1" s="3263" t="s">
        <v>3877</v>
      </c>
      <c r="E1" s="3263" t="s">
        <v>3878</v>
      </c>
      <c r="F1" s="3263" t="s">
        <v>3881</v>
      </c>
      <c r="G1" s="3395" t="s">
        <v>4168</v>
      </c>
      <c r="H1" s="3395" t="s">
        <v>4169</v>
      </c>
      <c r="I1" s="3363" t="s">
        <v>4050</v>
      </c>
      <c r="J1" s="3364" t="s">
        <v>4073</v>
      </c>
      <c r="K1" s="3370" t="s">
        <v>4074</v>
      </c>
      <c r="L1" s="3364" t="s">
        <v>4072</v>
      </c>
      <c r="M1" s="3364" t="s">
        <v>4051</v>
      </c>
      <c r="N1" s="3363" t="s">
        <v>4047</v>
      </c>
      <c r="O1" s="3363" t="s">
        <v>4303</v>
      </c>
      <c r="P1" s="3364" t="s">
        <v>4202</v>
      </c>
      <c r="Q1" s="3363" t="s">
        <v>4163</v>
      </c>
      <c r="R1" s="3401" t="s">
        <v>4164</v>
      </c>
      <c r="S1" s="3401" t="s">
        <v>4165</v>
      </c>
      <c r="T1" s="3401" t="s">
        <v>4166</v>
      </c>
      <c r="U1" s="3353" t="s">
        <v>4048</v>
      </c>
      <c r="V1" s="3248"/>
      <c r="AA1" s="3247">
        <v>5.5E-2</v>
      </c>
      <c r="AB1" s="3">
        <f>ROUND('比较法-大宗交易'!C49/365*面积表及结果!AA1,1)</f>
        <v>5.6</v>
      </c>
    </row>
    <row r="2" spans="1:31" ht="20.25" customHeight="1">
      <c r="A2" s="3244" t="s">
        <v>3851</v>
      </c>
      <c r="B2" s="3263" t="s">
        <v>3879</v>
      </c>
      <c r="C2" s="3354" t="s">
        <v>27</v>
      </c>
      <c r="D2" s="3265" t="s">
        <v>3858</v>
      </c>
      <c r="E2" s="3265">
        <v>3345.2</v>
      </c>
      <c r="F2" s="3264" t="s">
        <v>3882</v>
      </c>
      <c r="G2" s="3904">
        <f>3056.26+E4</f>
        <v>3439.1600000000003</v>
      </c>
      <c r="H2" s="3873">
        <f>E2+E3+E4-J25</f>
        <v>3439.16</v>
      </c>
      <c r="I2" s="3873">
        <f>'比较法-商业租金'!C48</f>
        <v>19.399999999999999</v>
      </c>
      <c r="J2" s="3896">
        <v>1</v>
      </c>
      <c r="K2" s="3897">
        <v>3.43</v>
      </c>
      <c r="L2" s="3896">
        <v>1</v>
      </c>
      <c r="M2" s="3896">
        <v>1</v>
      </c>
      <c r="N2" s="3873">
        <f>I2*J2*L2*M2</f>
        <v>19.399999999999999</v>
      </c>
      <c r="O2" s="3873">
        <f>ROUND(I2*G2*30/10000,2)</f>
        <v>200.16</v>
      </c>
      <c r="P2" s="3898">
        <f>ROUND(P24*P25*P26*P27*P28,2)</f>
        <v>1.01</v>
      </c>
      <c r="Q2" s="3871">
        <f>U19</f>
        <v>6.6</v>
      </c>
      <c r="R2" s="3870">
        <f>ROUND(Q2*AC13,1)</f>
        <v>6.7</v>
      </c>
      <c r="S2" s="3871">
        <f>ROUND(R2*AC14,1)</f>
        <v>7</v>
      </c>
      <c r="T2" s="3871">
        <f>ROUND(S2*AC15,1)</f>
        <v>6.8</v>
      </c>
      <c r="U2" s="3871"/>
      <c r="V2" s="3304"/>
      <c r="W2" s="3189" t="s">
        <v>3811</v>
      </c>
      <c r="Y2" s="3305" t="s">
        <v>3757</v>
      </c>
      <c r="Z2" s="3189" t="s">
        <v>4049</v>
      </c>
      <c r="AA2" s="3189" t="s">
        <v>3812</v>
      </c>
      <c r="AB2" s="3189" t="s">
        <v>4049</v>
      </c>
      <c r="AC2" s="3189" t="s">
        <v>4198</v>
      </c>
      <c r="AD2" s="3433"/>
      <c r="AE2" s="3433"/>
    </row>
    <row r="3" spans="1:31" ht="20.25" customHeight="1">
      <c r="A3" s="3244" t="s">
        <v>3853</v>
      </c>
      <c r="B3" s="3263" t="s">
        <v>3880</v>
      </c>
      <c r="C3" s="3354" t="s">
        <v>1343</v>
      </c>
      <c r="D3" s="3265" t="s">
        <v>3859</v>
      </c>
      <c r="E3" s="3265">
        <v>111.06</v>
      </c>
      <c r="F3" s="3264" t="s">
        <v>3882</v>
      </c>
      <c r="G3" s="3905"/>
      <c r="H3" s="3873"/>
      <c r="I3" s="3873"/>
      <c r="J3" s="3896"/>
      <c r="K3" s="3897"/>
      <c r="L3" s="3896"/>
      <c r="M3" s="3896"/>
      <c r="N3" s="3873"/>
      <c r="O3" s="3873"/>
      <c r="P3" s="3899"/>
      <c r="Q3" s="3871"/>
      <c r="R3" s="3870"/>
      <c r="S3" s="3871"/>
      <c r="T3" s="3871"/>
      <c r="U3" s="3871"/>
      <c r="V3" s="3304"/>
      <c r="X3" s="3189" t="s">
        <v>27</v>
      </c>
      <c r="Y3" s="3880">
        <f>Q19</f>
        <v>7.5</v>
      </c>
      <c r="Z3" s="3877">
        <v>0.6</v>
      </c>
      <c r="AA3" s="3878">
        <f>AB1</f>
        <v>5.6</v>
      </c>
      <c r="AB3" s="3877">
        <f>1-Z3</f>
        <v>0.4</v>
      </c>
      <c r="AC3" s="3868">
        <f>ROUND(Y3*Z3+AA3*AB3,2)</f>
        <v>6.74</v>
      </c>
      <c r="AD3" s="3867"/>
      <c r="AE3" s="3867"/>
    </row>
    <row r="4" spans="1:31" ht="20.25" customHeight="1">
      <c r="A4" s="3244" t="s">
        <v>3851</v>
      </c>
      <c r="B4" s="3244" t="s">
        <v>3852</v>
      </c>
      <c r="C4" s="3354" t="s">
        <v>27</v>
      </c>
      <c r="D4" s="3480" t="s">
        <v>3860</v>
      </c>
      <c r="E4" s="3480">
        <v>382.9</v>
      </c>
      <c r="F4" s="3481" t="s">
        <v>3882</v>
      </c>
      <c r="G4" s="3906"/>
      <c r="H4" s="3873"/>
      <c r="I4" s="3873"/>
      <c r="J4" s="3896"/>
      <c r="K4" s="3897"/>
      <c r="L4" s="3896"/>
      <c r="M4" s="3896"/>
      <c r="N4" s="3873"/>
      <c r="O4" s="3873"/>
      <c r="P4" s="3899"/>
      <c r="Q4" s="3871"/>
      <c r="R4" s="3870"/>
      <c r="S4" s="3871"/>
      <c r="T4" s="3871"/>
      <c r="U4" s="3871"/>
      <c r="V4" s="3304"/>
      <c r="X4" s="3189" t="s">
        <v>1343</v>
      </c>
      <c r="Y4" s="3880"/>
      <c r="Z4" s="3877"/>
      <c r="AA4" s="3878"/>
      <c r="AB4" s="3877"/>
      <c r="AC4" s="3868"/>
      <c r="AD4" s="3867"/>
      <c r="AE4" s="3867"/>
    </row>
    <row r="5" spans="1:31" ht="20.25" customHeight="1">
      <c r="A5" s="3244" t="s">
        <v>3851</v>
      </c>
      <c r="B5" s="3244" t="s">
        <v>3852</v>
      </c>
      <c r="C5" s="3354" t="s">
        <v>27</v>
      </c>
      <c r="D5" s="3265" t="s">
        <v>3861</v>
      </c>
      <c r="E5" s="3265">
        <v>1383.41</v>
      </c>
      <c r="F5" s="3264" t="s">
        <v>3883</v>
      </c>
      <c r="G5" s="3907">
        <v>2835.15</v>
      </c>
      <c r="H5" s="3874">
        <f>E5+E6-J26</f>
        <v>2835.1499999999996</v>
      </c>
      <c r="I5" s="3874"/>
      <c r="J5" s="3902">
        <v>1</v>
      </c>
      <c r="K5" s="3910">
        <v>3.13</v>
      </c>
      <c r="L5" s="3902">
        <v>1.02</v>
      </c>
      <c r="M5" s="3902">
        <v>0.99</v>
      </c>
      <c r="N5" s="3874">
        <f>ROUND($I$8*J5*L5*M5,1)</f>
        <v>9.1</v>
      </c>
      <c r="O5" s="3874">
        <f>ROUND(N5*G5*30/10000,2)</f>
        <v>77.400000000000006</v>
      </c>
      <c r="P5" s="3899"/>
      <c r="Q5" s="3872">
        <f>ROUND(Q2*$G$20*W11/10000,2)</f>
        <v>5578.71</v>
      </c>
      <c r="R5" s="3872">
        <f>ROUND(R2*$G$20*X11/10000,2)</f>
        <v>11295.53</v>
      </c>
      <c r="S5" s="3872">
        <f>ROUND(S2*$G$20*Y11/10000,2)</f>
        <v>11801.3</v>
      </c>
      <c r="T5" s="3872">
        <f>ROUND(T2*$G$20*Z11/10000,2)</f>
        <v>11495.53</v>
      </c>
      <c r="U5" s="3872">
        <f>Q5+R5+S5+T5</f>
        <v>40171.07</v>
      </c>
      <c r="V5" s="3304"/>
      <c r="X5" s="3189" t="s">
        <v>3065</v>
      </c>
      <c r="Y5" s="3880"/>
      <c r="Z5" s="3877"/>
      <c r="AA5" s="3878"/>
      <c r="AB5" s="3877"/>
      <c r="AC5" s="3868"/>
      <c r="AD5" s="3867"/>
      <c r="AE5" s="3867"/>
    </row>
    <row r="6" spans="1:31" ht="20.25" customHeight="1">
      <c r="A6" s="3244" t="s">
        <v>3854</v>
      </c>
      <c r="B6" s="3244" t="s">
        <v>3855</v>
      </c>
      <c r="C6" s="3354" t="s">
        <v>3856</v>
      </c>
      <c r="D6" s="3265" t="s">
        <v>3862</v>
      </c>
      <c r="E6" s="3265">
        <v>2101.7399999999998</v>
      </c>
      <c r="F6" s="3264" t="s">
        <v>3883</v>
      </c>
      <c r="G6" s="3908"/>
      <c r="H6" s="3874"/>
      <c r="I6" s="3874"/>
      <c r="J6" s="3902"/>
      <c r="K6" s="3910"/>
      <c r="L6" s="3902"/>
      <c r="M6" s="3902"/>
      <c r="N6" s="3874"/>
      <c r="O6" s="3874"/>
      <c r="P6" s="3899"/>
      <c r="Q6" s="3872"/>
      <c r="R6" s="3872"/>
      <c r="S6" s="3872"/>
      <c r="T6" s="3872"/>
      <c r="U6" s="3872"/>
      <c r="V6" s="3304"/>
      <c r="X6" s="3189"/>
      <c r="Y6" s="3212"/>
    </row>
    <row r="7" spans="1:31" ht="20.25" customHeight="1">
      <c r="A7" s="3244" t="s">
        <v>3854</v>
      </c>
      <c r="B7" s="3244" t="s">
        <v>3855</v>
      </c>
      <c r="C7" s="3354" t="s">
        <v>3856</v>
      </c>
      <c r="D7" s="3265" t="s">
        <v>3863</v>
      </c>
      <c r="E7" s="3265">
        <v>7369.8</v>
      </c>
      <c r="F7" s="3264" t="s">
        <v>3883</v>
      </c>
      <c r="G7" s="3264">
        <f>3684.9+3684.9</f>
        <v>7369.8</v>
      </c>
      <c r="H7" s="3265">
        <f>E7</f>
        <v>7369.8</v>
      </c>
      <c r="I7" s="3265"/>
      <c r="J7" s="3396">
        <v>1</v>
      </c>
      <c r="K7" s="3397">
        <v>3.13</v>
      </c>
      <c r="L7" s="3396">
        <v>1.02</v>
      </c>
      <c r="M7" s="3396">
        <v>0.99</v>
      </c>
      <c r="N7" s="3265">
        <f>ROUND($I$8*J7*L7*M7,1)</f>
        <v>9.1</v>
      </c>
      <c r="O7" s="3265">
        <f>ROUND(N7*G7*30/10000,2)</f>
        <v>201.2</v>
      </c>
      <c r="P7" s="3899"/>
      <c r="Q7" s="3485" t="s">
        <v>4320</v>
      </c>
      <c r="R7" s="3304">
        <v>98</v>
      </c>
      <c r="X7" s="3189"/>
      <c r="Y7" s="3212"/>
    </row>
    <row r="8" spans="1:31" ht="20.25" customHeight="1">
      <c r="A8" s="3244" t="s">
        <v>3851</v>
      </c>
      <c r="B8" s="3244" t="s">
        <v>3852</v>
      </c>
      <c r="C8" s="3354" t="s">
        <v>27</v>
      </c>
      <c r="D8" s="3265" t="s">
        <v>3864</v>
      </c>
      <c r="E8" s="3265">
        <v>641.71</v>
      </c>
      <c r="F8" s="3264" t="s">
        <v>3883</v>
      </c>
      <c r="G8" s="3907">
        <v>3684.9</v>
      </c>
      <c r="H8" s="3875">
        <f>E8+E9</f>
        <v>3684.9</v>
      </c>
      <c r="I8" s="3875">
        <f>'比较法租金-办公'!C49</f>
        <v>9</v>
      </c>
      <c r="J8" s="3903">
        <v>1</v>
      </c>
      <c r="K8" s="3911">
        <v>2.83</v>
      </c>
      <c r="L8" s="3903">
        <v>1</v>
      </c>
      <c r="M8" s="3903">
        <v>1</v>
      </c>
      <c r="N8" s="3874">
        <f>ROUND($I$8*J8*L8*M8,1)</f>
        <v>9</v>
      </c>
      <c r="O8" s="3875">
        <f>ROUND(N8*G8*30/10000,2)</f>
        <v>99.49</v>
      </c>
      <c r="P8" s="3899"/>
      <c r="Q8" s="3901" t="s">
        <v>4321</v>
      </c>
      <c r="R8" s="3872">
        <v>100</v>
      </c>
      <c r="S8" s="3872">
        <f>S5/365/H21*10000</f>
        <v>10.342006526901283</v>
      </c>
      <c r="T8" s="3872"/>
      <c r="U8" s="3872"/>
      <c r="V8" s="3304"/>
      <c r="X8" s="3189"/>
      <c r="Y8" s="3212"/>
    </row>
    <row r="9" spans="1:31" ht="20.25" customHeight="1">
      <c r="A9" s="3244" t="s">
        <v>3854</v>
      </c>
      <c r="B9" s="3244" t="s">
        <v>3855</v>
      </c>
      <c r="C9" s="3354" t="s">
        <v>3856</v>
      </c>
      <c r="D9" s="3265" t="s">
        <v>3865</v>
      </c>
      <c r="E9" s="3265">
        <v>3043.19</v>
      </c>
      <c r="F9" s="3264" t="s">
        <v>3883</v>
      </c>
      <c r="G9" s="3908"/>
      <c r="H9" s="3875"/>
      <c r="I9" s="3875"/>
      <c r="J9" s="3903"/>
      <c r="K9" s="3911"/>
      <c r="L9" s="3903"/>
      <c r="M9" s="3903"/>
      <c r="N9" s="3874"/>
      <c r="O9" s="3875"/>
      <c r="P9" s="3899"/>
      <c r="Q9" s="3872"/>
      <c r="R9" s="3872"/>
      <c r="S9" s="3872"/>
      <c r="T9" s="3872"/>
      <c r="U9" s="3872"/>
      <c r="V9" s="3304"/>
      <c r="W9" s="3429">
        <v>42914</v>
      </c>
      <c r="X9" s="3429">
        <v>43097</v>
      </c>
      <c r="Y9" s="3430">
        <v>43462</v>
      </c>
      <c r="Z9" s="3430">
        <v>43827</v>
      </c>
    </row>
    <row r="10" spans="1:31" ht="20.25" customHeight="1">
      <c r="A10" s="3244" t="s">
        <v>3851</v>
      </c>
      <c r="B10" s="3244" t="s">
        <v>3852</v>
      </c>
      <c r="C10" s="3354" t="s">
        <v>27</v>
      </c>
      <c r="D10" s="3265" t="s">
        <v>3866</v>
      </c>
      <c r="E10" s="3265">
        <v>3684.9</v>
      </c>
      <c r="F10" s="3264" t="s">
        <v>3883</v>
      </c>
      <c r="G10" s="3264">
        <v>3684.9</v>
      </c>
      <c r="H10" s="3265">
        <f>E10</f>
        <v>3684.9</v>
      </c>
      <c r="I10" s="3265"/>
      <c r="J10" s="3396">
        <v>1</v>
      </c>
      <c r="K10" s="3397">
        <v>3.63</v>
      </c>
      <c r="L10" s="3396">
        <v>1.02</v>
      </c>
      <c r="M10" s="3396">
        <v>1</v>
      </c>
      <c r="N10" s="3265">
        <f>ROUND($I$8*J10*L10*M10,1)</f>
        <v>9.1999999999999993</v>
      </c>
      <c r="O10" s="3471">
        <f>ROUND(N10*G10*30/10000,2)</f>
        <v>101.7</v>
      </c>
      <c r="P10" s="3899"/>
      <c r="Q10" s="3483" t="s">
        <v>4322</v>
      </c>
      <c r="R10" s="3304">
        <v>102</v>
      </c>
      <c r="W10" s="3429">
        <v>43096</v>
      </c>
      <c r="X10" s="3429">
        <v>43461</v>
      </c>
      <c r="Y10" s="3429">
        <v>43826</v>
      </c>
      <c r="Z10" s="3430">
        <v>44192</v>
      </c>
    </row>
    <row r="11" spans="1:31" ht="20.25" customHeight="1">
      <c r="A11" s="3244" t="s">
        <v>3851</v>
      </c>
      <c r="B11" s="3244" t="s">
        <v>3852</v>
      </c>
      <c r="C11" s="3354" t="s">
        <v>27</v>
      </c>
      <c r="D11" s="3265" t="s">
        <v>3867</v>
      </c>
      <c r="E11" s="3265">
        <v>3649.32</v>
      </c>
      <c r="F11" s="3264" t="s">
        <v>3883</v>
      </c>
      <c r="G11" s="3264">
        <v>3649.32</v>
      </c>
      <c r="H11" s="3265">
        <f>E11</f>
        <v>3649.32</v>
      </c>
      <c r="I11" s="3265"/>
      <c r="J11" s="3396">
        <v>1</v>
      </c>
      <c r="K11" s="3397">
        <v>2.4300000000000002</v>
      </c>
      <c r="L11" s="3396">
        <v>0.98</v>
      </c>
      <c r="M11" s="3396">
        <v>1.01</v>
      </c>
      <c r="N11" s="3265">
        <f>ROUND($I$8*J11*L11*M11,1)</f>
        <v>8.9</v>
      </c>
      <c r="O11" s="3471">
        <f>ROUND(N11*G11*30/10000,2)</f>
        <v>97.44</v>
      </c>
      <c r="P11" s="3899"/>
      <c r="Q11" s="3483"/>
      <c r="W11" s="3431">
        <f>W10-W9+1</f>
        <v>183</v>
      </c>
      <c r="X11" s="3431">
        <f>X10-X9+1</f>
        <v>365</v>
      </c>
      <c r="Y11" s="3431">
        <f t="shared" ref="Y11:Z11" si="0">Y10-Y9+1</f>
        <v>365</v>
      </c>
      <c r="Z11" s="3431">
        <f t="shared" si="0"/>
        <v>366</v>
      </c>
    </row>
    <row r="12" spans="1:31" ht="20.25" customHeight="1">
      <c r="A12" s="3244" t="s">
        <v>3851</v>
      </c>
      <c r="B12" s="3244" t="s">
        <v>3852</v>
      </c>
      <c r="C12" s="3354" t="s">
        <v>27</v>
      </c>
      <c r="D12" s="3265" t="s">
        <v>3868</v>
      </c>
      <c r="E12" s="3265">
        <v>6599.88</v>
      </c>
      <c r="F12" s="3264" t="s">
        <v>3883</v>
      </c>
      <c r="G12" s="3264">
        <f>3299.94+3299.94</f>
        <v>6599.88</v>
      </c>
      <c r="H12" s="3265">
        <f>E12</f>
        <v>6599.88</v>
      </c>
      <c r="I12" s="3265"/>
      <c r="J12" s="3396">
        <v>1</v>
      </c>
      <c r="K12" s="3397">
        <v>2.4300000000000002</v>
      </c>
      <c r="L12" s="3396">
        <v>0.98</v>
      </c>
      <c r="M12" s="3396">
        <v>1.01</v>
      </c>
      <c r="N12" s="3265">
        <f>ROUND($I$8*J12*L12*M12,1)</f>
        <v>8.9</v>
      </c>
      <c r="O12" s="3471">
        <f>ROUND(N12*G12*30/10000,2)</f>
        <v>176.22</v>
      </c>
      <c r="P12" s="3899"/>
      <c r="X12" s="3412" t="s">
        <v>4279</v>
      </c>
      <c r="Y12" s="3212">
        <v>1</v>
      </c>
      <c r="Z12" s="3212">
        <v>1</v>
      </c>
      <c r="AA12" s="3212">
        <v>1</v>
      </c>
      <c r="AB12" s="3212"/>
      <c r="AC12" s="3267" t="s">
        <v>4329</v>
      </c>
    </row>
    <row r="13" spans="1:31" ht="20.25" customHeight="1">
      <c r="A13" s="3912" t="s">
        <v>4266</v>
      </c>
      <c r="B13" s="3913"/>
      <c r="C13" s="3913"/>
      <c r="D13" s="3914"/>
      <c r="E13" s="3455">
        <f>SUM(E2:E12)</f>
        <v>32313.11</v>
      </c>
      <c r="F13" s="3264"/>
      <c r="G13" s="3468">
        <f>SUM(G2:G12)</f>
        <v>31263.110000000004</v>
      </c>
      <c r="H13" s="3468">
        <f>SUM(H2:H12)</f>
        <v>31263.110000000004</v>
      </c>
      <c r="I13" s="3916"/>
      <c r="J13" s="3917"/>
      <c r="K13" s="3917"/>
      <c r="L13" s="3917"/>
      <c r="M13" s="3918"/>
      <c r="N13" s="3468">
        <f>ROUND(O13*10000/H13/30,2)</f>
        <v>10.17</v>
      </c>
      <c r="O13" s="3468">
        <f>SUM(O2:O12)</f>
        <v>953.61000000000013</v>
      </c>
      <c r="P13" s="3899"/>
      <c r="Q13" s="3456"/>
      <c r="R13" s="3456"/>
      <c r="S13" s="3456"/>
      <c r="T13" s="3456"/>
      <c r="U13" s="3456"/>
      <c r="X13" s="3412" t="s">
        <v>4276</v>
      </c>
      <c r="Y13" s="3212">
        <f>1+市场走势!E35+市场走势!E36</f>
        <v>1.0131575120186418</v>
      </c>
      <c r="Z13" s="3212">
        <f>1+市场走势!R35+市场走势!R36</f>
        <v>1.0185185185185186</v>
      </c>
      <c r="AA13" s="3212">
        <f>1+市场走势!X10+市场走势!X11</f>
        <v>1.0056180649824016</v>
      </c>
      <c r="AB13" s="3212">
        <f>AVERAGE(Y13:Z13)</f>
        <v>1.0158380152685802</v>
      </c>
      <c r="AC13" s="3502">
        <f>市场走势!T60</f>
        <v>1.0177867004790082</v>
      </c>
    </row>
    <row r="14" spans="1:31" ht="20.25" customHeight="1">
      <c r="A14" s="3244" t="s">
        <v>3851</v>
      </c>
      <c r="B14" s="3244" t="s">
        <v>3852</v>
      </c>
      <c r="C14" s="3354" t="s">
        <v>27</v>
      </c>
      <c r="D14" s="3265" t="s">
        <v>3869</v>
      </c>
      <c r="E14" s="3265">
        <v>3826.8</v>
      </c>
      <c r="F14" s="3264" t="s">
        <v>3882</v>
      </c>
      <c r="G14" s="3907">
        <v>4318.3500000000004</v>
      </c>
      <c r="H14" s="3873">
        <f>E14+E15+E16</f>
        <v>4318.3500000000004</v>
      </c>
      <c r="I14" s="3873">
        <f>'比较法-地下商业租金'!C48</f>
        <v>5.2</v>
      </c>
      <c r="J14" s="3896"/>
      <c r="K14" s="3897">
        <v>3.4</v>
      </c>
      <c r="L14" s="3896"/>
      <c r="M14" s="3896"/>
      <c r="N14" s="3873">
        <f>I14</f>
        <v>5.2</v>
      </c>
      <c r="O14" s="3873">
        <f>ROUND(I14*G14*30/10000,2)</f>
        <v>67.37</v>
      </c>
      <c r="P14" s="3899"/>
      <c r="Q14" s="3869"/>
      <c r="S14" s="3876">
        <v>5.5E-2</v>
      </c>
      <c r="T14" s="3876">
        <v>0.06</v>
      </c>
      <c r="U14" s="3869"/>
      <c r="V14" s="3304"/>
      <c r="X14" s="3412" t="s">
        <v>4277</v>
      </c>
      <c r="Y14" s="3212">
        <f>1+市场走势!E37+市场走势!E38+市场走势!E39+市场走势!E40</f>
        <v>1.0312908150290738</v>
      </c>
      <c r="Z14" s="3212">
        <f>1+市场走势!R37+市场走势!R38+市场走势!R39+市场走势!R40</f>
        <v>1.047906963371859</v>
      </c>
      <c r="AA14" s="3212">
        <f>1+市场走势!X12+市场走势!X13+市场走势!X14+市场走势!X15</f>
        <v>1.0829245070966522</v>
      </c>
      <c r="AB14" s="3212">
        <f t="shared" ref="AB14:AB15" si="1">AVERAGE(Y14:Z14)</f>
        <v>1.0395988892004664</v>
      </c>
      <c r="AC14" s="3502">
        <f>市场走势!T61</f>
        <v>1.0378104203591902</v>
      </c>
    </row>
    <row r="15" spans="1:31" ht="20.25" customHeight="1">
      <c r="A15" s="3244" t="s">
        <v>3854</v>
      </c>
      <c r="B15" s="3244" t="s">
        <v>3855</v>
      </c>
      <c r="C15" s="3354" t="s">
        <v>3856</v>
      </c>
      <c r="D15" s="3265" t="s">
        <v>3870</v>
      </c>
      <c r="E15" s="3265">
        <v>185.77</v>
      </c>
      <c r="F15" s="3264" t="s">
        <v>3882</v>
      </c>
      <c r="G15" s="3909"/>
      <c r="H15" s="3873"/>
      <c r="I15" s="3873"/>
      <c r="J15" s="3896"/>
      <c r="K15" s="3897"/>
      <c r="L15" s="3896"/>
      <c r="M15" s="3896"/>
      <c r="N15" s="3873"/>
      <c r="O15" s="3873"/>
      <c r="P15" s="3899"/>
      <c r="Q15" s="3869"/>
      <c r="R15" s="3304">
        <f>Q19/S19</f>
        <v>1.3392857142857144</v>
      </c>
      <c r="S15" s="3869"/>
      <c r="T15" s="3876"/>
      <c r="U15" s="3869"/>
      <c r="V15" s="3304"/>
      <c r="X15" s="3189" t="s">
        <v>4278</v>
      </c>
      <c r="Y15" s="3212">
        <f>1+市场走势!E41+市场走势!E42+市场走势!E43+市场走势!E44</f>
        <v>0.94147718343052189</v>
      </c>
      <c r="Z15" s="3212">
        <f>1+市场走势!R41+市场走势!R42+市场走势!R43+市场走势!R44</f>
        <v>0.98841417441568236</v>
      </c>
      <c r="AA15" s="3212">
        <f>1+市场走势!X16+市场走势!X17+市场走势!X18+市场走势!X19</f>
        <v>0.98885962564778962</v>
      </c>
      <c r="AB15" s="3212">
        <f t="shared" si="1"/>
        <v>0.96494567892310212</v>
      </c>
      <c r="AC15" s="3502">
        <f>市场走势!T62</f>
        <v>0.96584889399480667</v>
      </c>
    </row>
    <row r="16" spans="1:31" ht="20.25" customHeight="1">
      <c r="A16" s="3244" t="s">
        <v>3854</v>
      </c>
      <c r="B16" s="3244" t="s">
        <v>3855</v>
      </c>
      <c r="C16" s="3354" t="s">
        <v>3856</v>
      </c>
      <c r="D16" s="3265" t="s">
        <v>3871</v>
      </c>
      <c r="E16" s="3265">
        <v>305.77999999999997</v>
      </c>
      <c r="F16" s="3264" t="s">
        <v>3882</v>
      </c>
      <c r="G16" s="3908"/>
      <c r="H16" s="3873"/>
      <c r="I16" s="3873"/>
      <c r="J16" s="3896"/>
      <c r="K16" s="3897"/>
      <c r="L16" s="3896"/>
      <c r="M16" s="3896"/>
      <c r="N16" s="3873"/>
      <c r="O16" s="3873"/>
      <c r="P16" s="3899"/>
      <c r="Q16" s="3869"/>
      <c r="S16" s="3869"/>
      <c r="T16" s="3876"/>
      <c r="U16" s="3869"/>
      <c r="V16" s="3304"/>
      <c r="X16" s="3440"/>
      <c r="Y16" s="3475" t="s">
        <v>4313</v>
      </c>
      <c r="Z16" s="3475" t="s">
        <v>4314</v>
      </c>
      <c r="AA16" s="3189" t="s">
        <v>4315</v>
      </c>
    </row>
    <row r="17" spans="1:24" ht="20.25" customHeight="1">
      <c r="A17" s="3244" t="s">
        <v>3851</v>
      </c>
      <c r="B17" s="3244" t="s">
        <v>3852</v>
      </c>
      <c r="C17" s="3354" t="s">
        <v>27</v>
      </c>
      <c r="D17" s="3265" t="s">
        <v>3872</v>
      </c>
      <c r="E17" s="3265">
        <v>6104.32</v>
      </c>
      <c r="F17" s="3264" t="s">
        <v>3884</v>
      </c>
      <c r="G17" s="3264">
        <v>5654.32</v>
      </c>
      <c r="H17" s="3922">
        <f>E17+E18-J27</f>
        <v>10607.59</v>
      </c>
      <c r="I17" s="3919">
        <f>'比较法-车位租金'!C38</f>
        <v>1119</v>
      </c>
      <c r="J17" s="3920"/>
      <c r="K17" s="3921">
        <v>5.2</v>
      </c>
      <c r="L17" s="3920"/>
      <c r="M17" s="3920">
        <v>127</v>
      </c>
      <c r="N17" s="3919">
        <f>I17</f>
        <v>1119</v>
      </c>
      <c r="O17" s="3919">
        <f>ROUND(I17*M17/10000,2)</f>
        <v>14.21</v>
      </c>
      <c r="P17" s="3899"/>
      <c r="Q17" s="3879" t="s">
        <v>4268</v>
      </c>
      <c r="R17" s="3879" t="s">
        <v>4270</v>
      </c>
      <c r="S17" s="3879" t="s">
        <v>4269</v>
      </c>
      <c r="T17" s="3879" t="s">
        <v>4270</v>
      </c>
      <c r="U17" s="3879" t="s">
        <v>4323</v>
      </c>
      <c r="V17" s="3304"/>
      <c r="W17" s="3189"/>
      <c r="X17" s="3412"/>
    </row>
    <row r="18" spans="1:24" ht="20.25" customHeight="1">
      <c r="A18" s="3244" t="s">
        <v>3854</v>
      </c>
      <c r="B18" s="3244" t="s">
        <v>3857</v>
      </c>
      <c r="C18" s="3354" t="s">
        <v>3856</v>
      </c>
      <c r="D18" s="3265" t="s">
        <v>3873</v>
      </c>
      <c r="E18" s="3265">
        <v>4953.2700000000004</v>
      </c>
      <c r="F18" s="3264" t="s">
        <v>3884</v>
      </c>
      <c r="G18" s="3264">
        <v>4953.2700000000004</v>
      </c>
      <c r="H18" s="3919"/>
      <c r="I18" s="3919"/>
      <c r="J18" s="3920"/>
      <c r="K18" s="3921"/>
      <c r="L18" s="3920"/>
      <c r="M18" s="3920"/>
      <c r="N18" s="3919"/>
      <c r="O18" s="3919"/>
      <c r="P18" s="3900"/>
      <c r="Q18" s="3874"/>
      <c r="R18" s="3874"/>
      <c r="S18" s="3874"/>
      <c r="T18" s="3874"/>
      <c r="U18" s="3874"/>
      <c r="V18" s="3304"/>
      <c r="X18" s="3189"/>
    </row>
    <row r="19" spans="1:24" ht="20.25" customHeight="1">
      <c r="A19" s="3915" t="s">
        <v>4267</v>
      </c>
      <c r="B19" s="3915"/>
      <c r="C19" s="3915"/>
      <c r="D19" s="3915"/>
      <c r="E19" s="3462">
        <f>SUM(E14:E18)</f>
        <v>15375.94</v>
      </c>
      <c r="F19" s="3464"/>
      <c r="G19" s="3464"/>
      <c r="H19" s="3463"/>
      <c r="I19" s="3463"/>
      <c r="J19" s="3465"/>
      <c r="K19" s="3466"/>
      <c r="L19" s="3465"/>
      <c r="M19" s="3465"/>
      <c r="N19" s="3463"/>
      <c r="O19" s="3463"/>
      <c r="P19" s="3467"/>
      <c r="Q19" s="3487">
        <f>ROUND(P20*10000/30/H20,1)</f>
        <v>7.5</v>
      </c>
      <c r="R19" s="3488">
        <v>0.55000000000000004</v>
      </c>
      <c r="S19" s="3484">
        <f>ROUND('比较法-大宗交易'!C49*面积表及结果!S14/365,1)</f>
        <v>5.6</v>
      </c>
      <c r="T19" s="3488">
        <f>1-R19</f>
        <v>0.44999999999999996</v>
      </c>
      <c r="U19" s="3489">
        <f>ROUND(Q19*R19+S19*T19,1)</f>
        <v>6.6</v>
      </c>
      <c r="V19" s="3459" t="s">
        <v>4281</v>
      </c>
      <c r="X19" s="3189"/>
    </row>
    <row r="20" spans="1:24">
      <c r="D20" s="3258"/>
      <c r="E20" s="3266">
        <f>SUM(E2:E18)-E13</f>
        <v>47689.050000000017</v>
      </c>
      <c r="F20" s="3258"/>
      <c r="G20" s="3266">
        <f>SUM(G2:G18)-G13</f>
        <v>46189.050000000017</v>
      </c>
      <c r="H20" s="3266">
        <f>SUM(H2:H18)-H13</f>
        <v>46189.05</v>
      </c>
      <c r="N20" s="3470"/>
      <c r="O20" s="3266">
        <f>SUM(O2:O18)-O13</f>
        <v>1035.19</v>
      </c>
      <c r="P20" s="3469">
        <f>ROUND(O20*P2,2)</f>
        <v>1045.54</v>
      </c>
      <c r="Q20" s="3487">
        <f>ROUND(P20*10000/30/H21,1)</f>
        <v>11.1</v>
      </c>
      <c r="R20" s="3488">
        <f>R19</f>
        <v>0.55000000000000004</v>
      </c>
      <c r="S20" s="3484">
        <f>ROUND('比较法-大宗交易'!C49*面积表及结果!H20*面积表及结果!S14/365/面积表及结果!H21,1)</f>
        <v>8.3000000000000007</v>
      </c>
      <c r="T20" s="3488">
        <f>1-R20</f>
        <v>0.44999999999999996</v>
      </c>
      <c r="U20" s="3489">
        <f>ROUND(Q20*R20+S20*T20,1)</f>
        <v>9.8000000000000007</v>
      </c>
      <c r="V20" s="3189" t="s">
        <v>4282</v>
      </c>
      <c r="X20" s="3189"/>
    </row>
    <row r="21" spans="1:24">
      <c r="D21" s="3258"/>
      <c r="E21" s="3258">
        <f>E20-1500</f>
        <v>46189.050000000017</v>
      </c>
      <c r="F21" s="3258"/>
      <c r="G21" s="3258">
        <f>G2+G5+G7+G8+G10+G11+G12</f>
        <v>31263.110000000004</v>
      </c>
      <c r="H21" s="3258">
        <f>SUM(H2:H12)</f>
        <v>31263.110000000004</v>
      </c>
      <c r="Q21" s="3482">
        <f>Q19/S14*H20*365/10000</f>
        <v>229895.4988636364</v>
      </c>
      <c r="U21" s="3482">
        <f>U19/S14*H20*365/10000</f>
        <v>202308.03899999999</v>
      </c>
    </row>
    <row r="22" spans="1:24" ht="40.5">
      <c r="D22" s="3258"/>
      <c r="E22" s="3258">
        <f>E20-E18-E17-E16-E15-E14</f>
        <v>32313.110000000019</v>
      </c>
      <c r="F22" s="3258"/>
      <c r="G22" s="3258">
        <f>G21-382.9</f>
        <v>30880.210000000003</v>
      </c>
      <c r="H22" s="3258"/>
      <c r="L22" s="3353" t="s">
        <v>4075</v>
      </c>
      <c r="Q22" s="3304">
        <f>Q20/S14*H21*365/10000</f>
        <v>230295.43666363638</v>
      </c>
      <c r="S22" s="3304">
        <f>'比较法-大宗交易'!L49</f>
        <v>171278.23521000007</v>
      </c>
      <c r="U22" s="3482">
        <f>U20/S14*H21*365/10000</f>
        <v>203323.89903636367</v>
      </c>
    </row>
    <row r="23" spans="1:24">
      <c r="D23" s="3258"/>
      <c r="E23" s="3258"/>
      <c r="F23" s="3258"/>
      <c r="Q23" s="3482"/>
    </row>
    <row r="24" spans="1:24" ht="27">
      <c r="D24" s="3258"/>
      <c r="E24" s="3456">
        <v>2006</v>
      </c>
      <c r="F24" s="3457" t="s">
        <v>4271</v>
      </c>
      <c r="G24" s="3456">
        <v>2016</v>
      </c>
      <c r="H24" s="3456"/>
      <c r="I24" s="3456"/>
      <c r="J24" s="3181">
        <v>2002</v>
      </c>
      <c r="O24" s="3181" t="s">
        <v>4251</v>
      </c>
      <c r="P24" s="3181">
        <v>1.01</v>
      </c>
      <c r="R24" s="3475" t="s">
        <v>4319</v>
      </c>
      <c r="S24" s="3476">
        <f>ROUND(152000/G20*面积表及结果!S14/365*10000,1)</f>
        <v>5</v>
      </c>
      <c r="T24" s="3476">
        <f>ROUND(155500/H20*面积表及结果!T14/365*10000,1)</f>
        <v>5.5</v>
      </c>
    </row>
    <row r="25" spans="1:24" ht="27">
      <c r="C25" s="3248" t="s">
        <v>4076</v>
      </c>
      <c r="D25" s="3258">
        <v>1</v>
      </c>
      <c r="E25" s="3456">
        <v>342.36</v>
      </c>
      <c r="F25" s="3456">
        <v>385</v>
      </c>
      <c r="G25" s="3456">
        <f>E17-G17</f>
        <v>450</v>
      </c>
      <c r="H25" s="3456">
        <v>1</v>
      </c>
      <c r="I25" s="3456"/>
      <c r="J25" s="3181">
        <v>400</v>
      </c>
      <c r="O25" s="3181" t="s">
        <v>4318</v>
      </c>
      <c r="P25" s="3181">
        <v>0.98</v>
      </c>
      <c r="W25" s="3189"/>
      <c r="X25" s="3189"/>
    </row>
    <row r="26" spans="1:24">
      <c r="D26" s="3258">
        <v>2</v>
      </c>
      <c r="E26" s="3456">
        <v>586.14</v>
      </c>
      <c r="F26" s="3456">
        <v>642</v>
      </c>
      <c r="G26" s="3456">
        <v>400</v>
      </c>
      <c r="H26" s="3456">
        <v>2</v>
      </c>
      <c r="I26" s="3456"/>
      <c r="J26" s="3181">
        <v>650</v>
      </c>
      <c r="O26" s="3181" t="s">
        <v>4252</v>
      </c>
      <c r="P26" s="3181">
        <v>1.05</v>
      </c>
      <c r="X26" s="3189"/>
    </row>
    <row r="27" spans="1:24">
      <c r="D27" s="3258">
        <v>-2</v>
      </c>
      <c r="E27" s="3456">
        <f>1500-E25-E26</f>
        <v>571.49999999999989</v>
      </c>
      <c r="F27" s="3456">
        <f>51.8+64.9+184.2</f>
        <v>300.89999999999998</v>
      </c>
      <c r="G27" s="3456">
        <v>650</v>
      </c>
      <c r="H27" s="3456">
        <v>-2</v>
      </c>
      <c r="I27" s="3456"/>
      <c r="J27" s="3181">
        <v>450</v>
      </c>
      <c r="O27" s="3181" t="s">
        <v>4254</v>
      </c>
      <c r="P27" s="3181">
        <v>0.97</v>
      </c>
      <c r="X27" s="3189"/>
    </row>
    <row r="28" spans="1:24">
      <c r="D28" s="3258"/>
      <c r="E28" s="3258"/>
      <c r="F28" s="3258"/>
      <c r="G28" s="3258"/>
      <c r="H28" s="3258"/>
      <c r="O28" s="3181" t="s">
        <v>4265</v>
      </c>
      <c r="P28" s="3181">
        <v>1</v>
      </c>
    </row>
    <row r="29" spans="1:24">
      <c r="D29" s="3258"/>
      <c r="E29" s="3258"/>
      <c r="F29" s="3258"/>
      <c r="G29" s="3258"/>
      <c r="H29" s="3258"/>
    </row>
    <row r="30" spans="1:24">
      <c r="D30" s="3258"/>
      <c r="E30" s="3258"/>
      <c r="F30" s="3258"/>
      <c r="G30" s="3258"/>
      <c r="H30" s="3258"/>
    </row>
    <row r="31" spans="1:24">
      <c r="D31" s="3258"/>
      <c r="E31" s="3258"/>
      <c r="F31" s="3258"/>
      <c r="G31" s="3258"/>
      <c r="H31" s="3258"/>
    </row>
    <row r="35" spans="1:16" ht="14.25" thickBot="1"/>
    <row r="36" spans="1:16" ht="15.75" thickBot="1">
      <c r="A36" s="3259" t="s">
        <v>3824</v>
      </c>
      <c r="B36" s="3884" t="s">
        <v>3825</v>
      </c>
      <c r="C36" s="3885"/>
      <c r="D36" s="3885"/>
      <c r="E36" s="3885"/>
      <c r="F36" s="3886"/>
      <c r="G36" s="3359"/>
      <c r="H36" s="3355"/>
      <c r="I36" s="3251" t="s">
        <v>3826</v>
      </c>
      <c r="J36" s="3365"/>
      <c r="K36" s="3372"/>
      <c r="L36" s="3365"/>
      <c r="M36" s="3365"/>
      <c r="O36" s="3324"/>
      <c r="P36" s="3365"/>
    </row>
    <row r="37" spans="1:16" ht="15.75" thickBot="1">
      <c r="A37" s="3260" t="s">
        <v>3827</v>
      </c>
      <c r="B37" s="3887" t="s">
        <v>3828</v>
      </c>
      <c r="C37" s="3888"/>
      <c r="D37" s="3888"/>
      <c r="E37" s="3888"/>
      <c r="F37" s="3889"/>
      <c r="G37" s="3366"/>
      <c r="H37" s="3366"/>
      <c r="I37" s="3252" t="s">
        <v>27</v>
      </c>
      <c r="J37" s="3365"/>
      <c r="K37" s="3372"/>
      <c r="L37" s="3365"/>
      <c r="M37" s="3365"/>
      <c r="O37" s="3324"/>
      <c r="P37" s="3365"/>
    </row>
    <row r="38" spans="1:16" ht="15.75" thickBot="1">
      <c r="A38" s="3260" t="s">
        <v>3829</v>
      </c>
      <c r="B38" s="3887" t="s">
        <v>3830</v>
      </c>
      <c r="C38" s="3888"/>
      <c r="D38" s="3888"/>
      <c r="E38" s="3888"/>
      <c r="F38" s="3889"/>
      <c r="G38" s="3360"/>
      <c r="H38" s="3356"/>
      <c r="I38" s="3251" t="s">
        <v>27</v>
      </c>
      <c r="J38" s="3365"/>
      <c r="K38" s="3372"/>
      <c r="L38" s="3365"/>
      <c r="M38" s="3365"/>
      <c r="O38" s="3324"/>
      <c r="P38" s="3365"/>
    </row>
    <row r="39" spans="1:16" ht="15.75" thickBot="1">
      <c r="A39" s="3260" t="s">
        <v>3831</v>
      </c>
      <c r="B39" s="3887" t="s">
        <v>3832</v>
      </c>
      <c r="C39" s="3888"/>
      <c r="D39" s="3888"/>
      <c r="E39" s="3888"/>
      <c r="F39" s="3889"/>
      <c r="G39" s="3367"/>
      <c r="H39" s="3367"/>
      <c r="I39" s="3253" t="s">
        <v>27</v>
      </c>
      <c r="J39" s="3365"/>
      <c r="K39" s="3372"/>
      <c r="L39" s="3365"/>
      <c r="M39" s="3365"/>
      <c r="O39" s="3324"/>
      <c r="P39" s="3365"/>
    </row>
    <row r="40" spans="1:16" ht="30.75" thickBot="1">
      <c r="A40" s="3260" t="s">
        <v>3833</v>
      </c>
      <c r="B40" s="3261" t="s">
        <v>3834</v>
      </c>
      <c r="C40" s="3890" t="s">
        <v>4327</v>
      </c>
      <c r="D40" s="3891"/>
      <c r="E40" s="3891"/>
      <c r="F40" s="3892"/>
      <c r="G40" s="3368"/>
      <c r="H40" s="3368"/>
      <c r="I40" s="3253" t="s">
        <v>27</v>
      </c>
      <c r="J40" s="3365"/>
      <c r="K40" s="3372"/>
      <c r="L40" s="3365"/>
      <c r="M40" s="3365"/>
      <c r="O40" s="3324"/>
      <c r="P40" s="3365"/>
    </row>
    <row r="41" spans="1:16" ht="15.75" thickBot="1">
      <c r="A41" s="3260" t="s">
        <v>3835</v>
      </c>
      <c r="B41" s="3881" t="s">
        <v>3836</v>
      </c>
      <c r="C41" s="3882"/>
      <c r="D41" s="3882"/>
      <c r="E41" s="3882"/>
      <c r="F41" s="3883"/>
      <c r="G41" s="3369"/>
      <c r="H41" s="3369"/>
      <c r="I41" s="3252" t="s">
        <v>27</v>
      </c>
      <c r="J41" s="3365"/>
      <c r="K41" s="3372"/>
      <c r="L41" s="3365"/>
      <c r="M41" s="3365"/>
      <c r="O41" s="3324"/>
      <c r="P41" s="3365"/>
    </row>
    <row r="42" spans="1:16" ht="15.75" thickBot="1">
      <c r="A42" s="3260" t="s">
        <v>3837</v>
      </c>
      <c r="B42" s="3887" t="s">
        <v>3838</v>
      </c>
      <c r="C42" s="3889"/>
      <c r="D42" s="3893" t="s">
        <v>4328</v>
      </c>
      <c r="E42" s="3894"/>
      <c r="F42" s="3895"/>
      <c r="G42" s="3361"/>
      <c r="H42" s="3357"/>
      <c r="I42" s="3251" t="s">
        <v>27</v>
      </c>
      <c r="J42" s="3365"/>
      <c r="K42" s="3372"/>
      <c r="L42" s="3365"/>
      <c r="M42" s="3365"/>
      <c r="O42" s="3324"/>
      <c r="P42" s="3365"/>
    </row>
    <row r="43" spans="1:16" ht="45.75" thickBot="1">
      <c r="A43" s="3260" t="s">
        <v>3839</v>
      </c>
      <c r="B43" s="3887" t="s">
        <v>3840</v>
      </c>
      <c r="C43" s="3888"/>
      <c r="D43" s="3889"/>
      <c r="E43" s="3254" t="s">
        <v>3841</v>
      </c>
      <c r="F43" s="3255" t="s">
        <v>3842</v>
      </c>
      <c r="G43" s="3255"/>
      <c r="H43" s="3255"/>
      <c r="I43" s="3253" t="s">
        <v>1343</v>
      </c>
      <c r="J43" s="3365"/>
      <c r="K43" s="3372"/>
      <c r="L43" s="3365"/>
      <c r="M43" s="3365"/>
      <c r="O43" s="3324"/>
      <c r="P43" s="3365"/>
    </row>
    <row r="44" spans="1:16" ht="60.75" thickBot="1">
      <c r="A44" s="3262" t="s">
        <v>3843</v>
      </c>
      <c r="B44" s="3887" t="s">
        <v>3844</v>
      </c>
      <c r="C44" s="3888"/>
      <c r="D44" s="3889"/>
      <c r="E44" s="3256" t="s">
        <v>3845</v>
      </c>
      <c r="F44" s="3257" t="s">
        <v>3846</v>
      </c>
      <c r="G44" s="3257"/>
      <c r="H44" s="3257"/>
      <c r="I44" s="3253" t="s">
        <v>1343</v>
      </c>
      <c r="J44" s="3365"/>
      <c r="K44" s="3372"/>
      <c r="L44" s="3365"/>
      <c r="M44" s="3365"/>
      <c r="O44" s="3324"/>
      <c r="P44" s="3365"/>
    </row>
    <row r="45" spans="1:16" ht="15.75" thickBot="1">
      <c r="A45" s="3262" t="s">
        <v>3847</v>
      </c>
      <c r="B45" s="3887" t="s">
        <v>3848</v>
      </c>
      <c r="C45" s="3888"/>
      <c r="D45" s="3888"/>
      <c r="E45" s="3888"/>
      <c r="F45" s="3889"/>
      <c r="G45" s="3367"/>
      <c r="H45" s="3367"/>
      <c r="I45" s="3253" t="s">
        <v>3065</v>
      </c>
      <c r="J45" s="3365"/>
      <c r="K45" s="3372"/>
      <c r="L45" s="3365"/>
      <c r="M45" s="3365"/>
      <c r="O45" s="3324"/>
      <c r="P45" s="3365"/>
    </row>
    <row r="46" spans="1:16" ht="15.75" thickBot="1">
      <c r="A46" s="3262" t="s">
        <v>3849</v>
      </c>
      <c r="B46" s="3881" t="s">
        <v>3850</v>
      </c>
      <c r="C46" s="3882"/>
      <c r="D46" s="3882"/>
      <c r="E46" s="3882"/>
      <c r="F46" s="3883"/>
      <c r="G46" s="3256"/>
      <c r="H46" s="3256"/>
      <c r="I46" s="3253" t="s">
        <v>3065</v>
      </c>
      <c r="J46" s="3365"/>
      <c r="K46" s="3372"/>
      <c r="L46" s="3365"/>
      <c r="M46" s="3365"/>
      <c r="O46" s="3324"/>
      <c r="P46" s="3365"/>
    </row>
  </sheetData>
  <mergeCells count="91">
    <mergeCell ref="O8:O9"/>
    <mergeCell ref="A13:D13"/>
    <mergeCell ref="A19:D19"/>
    <mergeCell ref="I13:M13"/>
    <mergeCell ref="R17:R18"/>
    <mergeCell ref="Q14:Q16"/>
    <mergeCell ref="I17:I18"/>
    <mergeCell ref="N17:N18"/>
    <mergeCell ref="Q17:Q18"/>
    <mergeCell ref="O14:O16"/>
    <mergeCell ref="O17:O18"/>
    <mergeCell ref="J17:J18"/>
    <mergeCell ref="L17:L18"/>
    <mergeCell ref="M17:M18"/>
    <mergeCell ref="K17:K18"/>
    <mergeCell ref="H17:H18"/>
    <mergeCell ref="G2:G4"/>
    <mergeCell ref="G5:G6"/>
    <mergeCell ref="G8:G9"/>
    <mergeCell ref="G14:G16"/>
    <mergeCell ref="N2:N4"/>
    <mergeCell ref="I8:I9"/>
    <mergeCell ref="L8:L9"/>
    <mergeCell ref="M8:M9"/>
    <mergeCell ref="K5:K6"/>
    <mergeCell ref="K8:K9"/>
    <mergeCell ref="I5:I6"/>
    <mergeCell ref="N14:N16"/>
    <mergeCell ref="J14:J16"/>
    <mergeCell ref="L14:L16"/>
    <mergeCell ref="M14:M16"/>
    <mergeCell ref="K14:K16"/>
    <mergeCell ref="Q2:Q4"/>
    <mergeCell ref="O2:O4"/>
    <mergeCell ref="J2:J4"/>
    <mergeCell ref="L2:L4"/>
    <mergeCell ref="M2:M4"/>
    <mergeCell ref="K2:K4"/>
    <mergeCell ref="P2:P18"/>
    <mergeCell ref="N5:N6"/>
    <mergeCell ref="Q5:Q6"/>
    <mergeCell ref="N8:N9"/>
    <mergeCell ref="Q8:Q9"/>
    <mergeCell ref="O5:O6"/>
    <mergeCell ref="J5:J6"/>
    <mergeCell ref="L5:L6"/>
    <mergeCell ref="M5:M6"/>
    <mergeCell ref="J8:J9"/>
    <mergeCell ref="B46:F46"/>
    <mergeCell ref="B36:F36"/>
    <mergeCell ref="B37:F37"/>
    <mergeCell ref="B38:F38"/>
    <mergeCell ref="B39:F39"/>
    <mergeCell ref="C40:F40"/>
    <mergeCell ref="B41:F41"/>
    <mergeCell ref="B42:C42"/>
    <mergeCell ref="D42:F42"/>
    <mergeCell ref="B43:D43"/>
    <mergeCell ref="B44:D44"/>
    <mergeCell ref="B45:F45"/>
    <mergeCell ref="S14:S16"/>
    <mergeCell ref="T14:T16"/>
    <mergeCell ref="AB3:AB5"/>
    <mergeCell ref="AA3:AA5"/>
    <mergeCell ref="S17:S18"/>
    <mergeCell ref="T17:T18"/>
    <mergeCell ref="U17:U18"/>
    <mergeCell ref="Z3:Z5"/>
    <mergeCell ref="Y3:Y5"/>
    <mergeCell ref="I2:I4"/>
    <mergeCell ref="H2:H4"/>
    <mergeCell ref="H5:H6"/>
    <mergeCell ref="H8:H9"/>
    <mergeCell ref="H14:H16"/>
    <mergeCell ref="I14:I16"/>
    <mergeCell ref="AE3:AE5"/>
    <mergeCell ref="AC3:AC5"/>
    <mergeCell ref="AD3:AD5"/>
    <mergeCell ref="U14:U16"/>
    <mergeCell ref="R2:R4"/>
    <mergeCell ref="S2:S4"/>
    <mergeCell ref="T2:T4"/>
    <mergeCell ref="U2:U4"/>
    <mergeCell ref="R5:R6"/>
    <mergeCell ref="S5:S6"/>
    <mergeCell ref="T5:T6"/>
    <mergeCell ref="U5:U6"/>
    <mergeCell ref="R8:R9"/>
    <mergeCell ref="S8:S9"/>
    <mergeCell ref="T8:T9"/>
    <mergeCell ref="U8:U9"/>
  </mergeCells>
  <phoneticPr fontId="14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2"/>
  </sheetPr>
  <dimension ref="A1:S158"/>
  <sheetViews>
    <sheetView topLeftCell="A92" zoomScale="90" zoomScaleNormal="90" workbookViewId="0">
      <selection activeCell="B103" sqref="B103:G103"/>
    </sheetView>
  </sheetViews>
  <sheetFormatPr defaultColWidth="11.875" defaultRowHeight="13.5"/>
  <cols>
    <col min="1" max="1" width="14.5" style="3141" customWidth="1"/>
    <col min="2" max="3" width="12.75" style="3141" bestFit="1" customWidth="1"/>
    <col min="4" max="4" width="8.25" style="3144" customWidth="1"/>
    <col min="5" max="5" width="9.125" style="3141" customWidth="1"/>
    <col min="6" max="6" width="6.375" style="3144" customWidth="1"/>
    <col min="7" max="7" width="11.875" style="3141"/>
    <col min="8" max="8" width="13.75" style="3140" customWidth="1"/>
    <col min="9" max="9" width="11.125" style="3141" customWidth="1"/>
    <col min="10" max="10" width="11.875" style="3141"/>
    <col min="11" max="11" width="14.5" style="3141" customWidth="1"/>
    <col min="12" max="12" width="12.625" style="3141" customWidth="1"/>
    <col min="13" max="13" width="10.625" style="3141" customWidth="1"/>
    <col min="14" max="14" width="12.375" style="3141" customWidth="1"/>
    <col min="15" max="15" width="8.625" style="3144" customWidth="1"/>
    <col min="16" max="16" width="8.125" style="3141" customWidth="1"/>
    <col min="17" max="17" width="5.75" style="3141" customWidth="1"/>
    <col min="18" max="16384" width="11.875" style="3141"/>
  </cols>
  <sheetData>
    <row r="1" spans="1:19" s="3135" customFormat="1">
      <c r="A1" s="3135" t="s">
        <v>1335</v>
      </c>
      <c r="B1" s="3135" t="s">
        <v>3230</v>
      </c>
      <c r="C1" s="3135" t="s">
        <v>3231</v>
      </c>
      <c r="D1" s="3136" t="s">
        <v>1320</v>
      </c>
      <c r="E1" s="3135" t="s">
        <v>3232</v>
      </c>
      <c r="F1" s="3136" t="s">
        <v>3233</v>
      </c>
      <c r="G1" s="3135" t="s">
        <v>3234</v>
      </c>
      <c r="H1" s="3137" t="s">
        <v>3235</v>
      </c>
      <c r="I1" s="3135" t="s">
        <v>3236</v>
      </c>
      <c r="J1" s="3135" t="s">
        <v>3237</v>
      </c>
      <c r="O1" s="3164"/>
    </row>
    <row r="2" spans="1:19" ht="27">
      <c r="A2" s="3932" t="s">
        <v>3238</v>
      </c>
      <c r="B2" s="3138" t="s">
        <v>3239</v>
      </c>
      <c r="C2" s="3138">
        <v>674.22</v>
      </c>
      <c r="D2" s="3139">
        <v>14</v>
      </c>
      <c r="E2" s="3138">
        <v>1</v>
      </c>
      <c r="F2" s="3139" t="s">
        <v>3240</v>
      </c>
      <c r="G2" s="3138" t="s">
        <v>3241</v>
      </c>
      <c r="J2" s="3141" t="s">
        <v>3242</v>
      </c>
      <c r="K2" s="3141" t="s">
        <v>3243</v>
      </c>
      <c r="L2" s="3157"/>
      <c r="M2" s="3157"/>
      <c r="N2" s="3157"/>
    </row>
    <row r="3" spans="1:19" ht="27">
      <c r="A3" s="3932"/>
      <c r="B3" s="3157" t="s">
        <v>3245</v>
      </c>
      <c r="C3" s="3157">
        <v>143</v>
      </c>
      <c r="D3" s="3158">
        <v>9</v>
      </c>
      <c r="E3" s="3157">
        <v>1</v>
      </c>
      <c r="F3" s="3158" t="s">
        <v>3240</v>
      </c>
      <c r="G3" s="3157" t="s">
        <v>3246</v>
      </c>
      <c r="J3" s="3141" t="s">
        <v>3247</v>
      </c>
      <c r="L3" s="3157"/>
      <c r="M3" s="3157"/>
      <c r="N3" s="3157"/>
    </row>
    <row r="4" spans="1:19" ht="27">
      <c r="A4" s="3932"/>
      <c r="B4" s="3142" t="s">
        <v>3248</v>
      </c>
      <c r="C4" s="3142">
        <v>1562.47</v>
      </c>
      <c r="D4" s="3143">
        <v>10</v>
      </c>
      <c r="E4" s="3142">
        <v>5</v>
      </c>
      <c r="F4" s="3143" t="s">
        <v>3244</v>
      </c>
      <c r="G4" s="3142" t="s">
        <v>3249</v>
      </c>
      <c r="H4" s="3160"/>
      <c r="L4" s="3157"/>
      <c r="M4" s="3157"/>
      <c r="N4" s="3157"/>
    </row>
    <row r="5" spans="1:19" ht="27">
      <c r="A5" s="3932"/>
      <c r="B5" s="3157" t="s">
        <v>3250</v>
      </c>
      <c r="C5" s="3157">
        <v>777.2</v>
      </c>
      <c r="D5" s="3158">
        <v>9</v>
      </c>
      <c r="E5" s="3157">
        <v>7</v>
      </c>
      <c r="F5" s="3158" t="s">
        <v>3244</v>
      </c>
      <c r="G5" s="3157" t="s">
        <v>3251</v>
      </c>
      <c r="H5" s="3160"/>
      <c r="K5" s="3166" t="s">
        <v>3462</v>
      </c>
      <c r="L5" s="3142" t="str">
        <f>A44</f>
        <v>银河SOHO</v>
      </c>
      <c r="M5" s="3319" t="str">
        <f>G47</f>
        <v>2016.6.1-2024.8.31</v>
      </c>
      <c r="N5" s="3142">
        <f>SUM(C47:C49)</f>
        <v>3795.3199999999997</v>
      </c>
      <c r="O5" s="3143">
        <f>ROUND(SUMPRODUCT(C47:C49,D47:D49)/N5,1)</f>
        <v>9.4</v>
      </c>
      <c r="P5" s="3142">
        <f>E3</f>
        <v>1</v>
      </c>
      <c r="Q5" s="3142" t="str">
        <f>F6</f>
        <v>办公</v>
      </c>
    </row>
    <row r="6" spans="1:19" ht="27">
      <c r="A6" s="3932"/>
      <c r="B6" s="3157" t="s">
        <v>3252</v>
      </c>
      <c r="C6" s="3157">
        <v>1246.92</v>
      </c>
      <c r="D6" s="3158">
        <v>9.8000000000000007</v>
      </c>
      <c r="E6" s="3157">
        <v>9</v>
      </c>
      <c r="F6" s="3158" t="s">
        <v>3244</v>
      </c>
      <c r="G6" s="3157" t="s">
        <v>3253</v>
      </c>
      <c r="H6" s="3160"/>
      <c r="L6" s="3302" t="str">
        <f>A2</f>
        <v>居然大厦</v>
      </c>
      <c r="M6" s="3303" t="str">
        <f>G4</f>
        <v>2017.1.1-2019.12.31</v>
      </c>
      <c r="N6" s="3302">
        <f>C4</f>
        <v>1562.47</v>
      </c>
      <c r="O6" s="3302">
        <f>D4</f>
        <v>10</v>
      </c>
      <c r="P6" s="3302">
        <f>E4</f>
        <v>5</v>
      </c>
      <c r="Q6" s="3302" t="str">
        <f>F7</f>
        <v>办公</v>
      </c>
    </row>
    <row r="7" spans="1:19" ht="27">
      <c r="A7" s="3932"/>
      <c r="B7" s="3157" t="s">
        <v>3248</v>
      </c>
      <c r="C7" s="3157">
        <v>1373.08</v>
      </c>
      <c r="D7" s="3158">
        <v>10</v>
      </c>
      <c r="E7" s="3157">
        <v>10</v>
      </c>
      <c r="F7" s="3158" t="s">
        <v>3244</v>
      </c>
      <c r="G7" s="3157" t="s">
        <v>3249</v>
      </c>
      <c r="H7" s="3160"/>
      <c r="L7" s="3142" t="str">
        <f>A76</f>
        <v>五矿广场</v>
      </c>
      <c r="M7" s="3319" t="str">
        <f>G83</f>
        <v>2017.4.20-2020.4.19</v>
      </c>
      <c r="N7" s="3142">
        <f>C83</f>
        <v>1020.87</v>
      </c>
      <c r="O7" s="3143">
        <f>D83</f>
        <v>11.5</v>
      </c>
      <c r="P7" s="3151" t="str">
        <f>E83</f>
        <v>C3</v>
      </c>
      <c r="Q7" s="3142" t="str">
        <f>F83</f>
        <v>办公</v>
      </c>
    </row>
    <row r="8" spans="1:19" ht="27">
      <c r="A8" s="3932"/>
      <c r="B8" s="3157" t="s">
        <v>3248</v>
      </c>
      <c r="C8" s="3157">
        <v>1132.1600000000001</v>
      </c>
      <c r="D8" s="3158">
        <v>10.5</v>
      </c>
      <c r="E8" s="3157">
        <v>15</v>
      </c>
      <c r="F8" s="3158" t="s">
        <v>3244</v>
      </c>
      <c r="G8" s="3157" t="s">
        <v>3249</v>
      </c>
      <c r="H8" s="3160"/>
      <c r="L8" s="3142" t="str">
        <f>A94</f>
        <v>民生金融大厦</v>
      </c>
      <c r="M8" s="3319" t="str">
        <f>G99</f>
        <v>2017.5.12-2027.5.11</v>
      </c>
      <c r="N8" s="3142">
        <f>C99</f>
        <v>1867.59</v>
      </c>
      <c r="O8" s="3143">
        <f>D99</f>
        <v>12.7</v>
      </c>
      <c r="P8" s="3151" t="str">
        <f>E99</f>
        <v>A5</v>
      </c>
      <c r="Q8" s="3142" t="str">
        <f>F99</f>
        <v>办公</v>
      </c>
    </row>
    <row r="9" spans="1:19" ht="27">
      <c r="A9" s="3932"/>
      <c r="B9" s="3157" t="s">
        <v>3254</v>
      </c>
      <c r="C9" s="3157">
        <v>56.17</v>
      </c>
      <c r="D9" s="3158">
        <v>2.2999999999999998</v>
      </c>
      <c r="E9" s="3157">
        <v>-1</v>
      </c>
      <c r="F9" s="3158" t="s">
        <v>3240</v>
      </c>
      <c r="G9" s="3157" t="s">
        <v>3255</v>
      </c>
      <c r="H9" s="3160"/>
      <c r="J9" s="3141" t="s">
        <v>3256</v>
      </c>
    </row>
    <row r="10" spans="1:19" hidden="1">
      <c r="A10" s="3934" t="s">
        <v>3257</v>
      </c>
      <c r="D10" s="3141"/>
      <c r="F10" s="3141"/>
      <c r="K10" s="3166" t="s">
        <v>3463</v>
      </c>
      <c r="L10" s="3141" t="str">
        <f>A134</f>
        <v>前门大街</v>
      </c>
      <c r="M10" s="3141" t="str">
        <f>B145</f>
        <v>2017.3.1</v>
      </c>
      <c r="N10" s="3141">
        <f>C145</f>
        <v>381.99</v>
      </c>
      <c r="O10" s="3144">
        <f>D145</f>
        <v>20.58</v>
      </c>
      <c r="P10" s="3141">
        <f>E145</f>
        <v>1</v>
      </c>
      <c r="Q10" s="3141" t="str">
        <f>F145</f>
        <v>商业</v>
      </c>
    </row>
    <row r="11" spans="1:19" hidden="1">
      <c r="A11" s="3934"/>
      <c r="K11" s="3166"/>
    </row>
    <row r="12" spans="1:19" ht="27">
      <c r="A12" s="3934"/>
      <c r="B12" s="3297" t="s">
        <v>3973</v>
      </c>
      <c r="C12" s="3298">
        <v>372.82</v>
      </c>
      <c r="D12" s="3299">
        <v>5.78</v>
      </c>
      <c r="E12" s="3298">
        <v>-1</v>
      </c>
      <c r="F12" s="3299" t="s">
        <v>3963</v>
      </c>
      <c r="G12" s="3297" t="s">
        <v>3974</v>
      </c>
      <c r="K12" s="3166"/>
    </row>
    <row r="13" spans="1:19" ht="27">
      <c r="A13" s="3934"/>
      <c r="B13" s="3166" t="s">
        <v>3971</v>
      </c>
      <c r="C13" s="3141">
        <v>153</v>
      </c>
      <c r="D13" s="3144">
        <v>5.48</v>
      </c>
      <c r="E13" s="3141">
        <v>-1</v>
      </c>
      <c r="F13" s="3144" t="s">
        <v>3963</v>
      </c>
      <c r="G13" s="3166" t="s">
        <v>3972</v>
      </c>
      <c r="K13" s="3166"/>
    </row>
    <row r="14" spans="1:19" ht="27">
      <c r="A14" s="3934"/>
      <c r="B14" s="3141" t="s">
        <v>3269</v>
      </c>
      <c r="C14" s="3141">
        <v>480</v>
      </c>
      <c r="D14" s="3144">
        <v>6.94</v>
      </c>
      <c r="E14" s="3141">
        <v>15</v>
      </c>
      <c r="F14" s="3144" t="s">
        <v>3244</v>
      </c>
      <c r="G14" s="3141" t="s">
        <v>3270</v>
      </c>
      <c r="K14" s="3166"/>
    </row>
    <row r="15" spans="1:19" ht="27">
      <c r="A15" s="3934"/>
      <c r="B15" s="3141" t="s">
        <v>3271</v>
      </c>
      <c r="C15" s="3141">
        <v>290</v>
      </c>
      <c r="D15" s="3144">
        <v>7.24</v>
      </c>
      <c r="E15" s="3141">
        <v>15</v>
      </c>
      <c r="F15" s="3144" t="s">
        <v>3244</v>
      </c>
      <c r="G15" s="3141" t="s">
        <v>3272</v>
      </c>
      <c r="K15" s="3166" t="s">
        <v>3986</v>
      </c>
    </row>
    <row r="16" spans="1:19" ht="27">
      <c r="A16" s="3934"/>
      <c r="B16" s="3141" t="s">
        <v>3248</v>
      </c>
      <c r="C16" s="3141">
        <v>260</v>
      </c>
      <c r="D16" s="3144">
        <v>7.8</v>
      </c>
      <c r="E16" s="3141">
        <v>15</v>
      </c>
      <c r="F16" s="3144" t="s">
        <v>3244</v>
      </c>
      <c r="G16" s="3141" t="s">
        <v>3260</v>
      </c>
      <c r="L16" s="3157" t="str">
        <f t="shared" ref="L16:Q16" si="0">A2</f>
        <v>居然大厦</v>
      </c>
      <c r="M16" s="3157" t="str">
        <f>G2</f>
        <v>2016.9.22-2017.9.22</v>
      </c>
      <c r="N16" s="3157">
        <f t="shared" si="0"/>
        <v>674.22</v>
      </c>
      <c r="O16" s="3158">
        <f t="shared" si="0"/>
        <v>14</v>
      </c>
      <c r="P16" s="3157">
        <f t="shared" si="0"/>
        <v>1</v>
      </c>
      <c r="Q16" s="3157" t="str">
        <f t="shared" si="0"/>
        <v>商业</v>
      </c>
      <c r="R16" s="3269" t="s">
        <v>3987</v>
      </c>
      <c r="S16" s="3157"/>
    </row>
    <row r="17" spans="1:18" ht="27">
      <c r="A17" s="3934"/>
      <c r="B17" s="3141" t="s">
        <v>3261</v>
      </c>
      <c r="C17" s="3141">
        <v>185</v>
      </c>
      <c r="D17" s="3144">
        <v>6.5</v>
      </c>
      <c r="E17" s="3141">
        <v>15</v>
      </c>
      <c r="F17" s="3144" t="s">
        <v>3244</v>
      </c>
      <c r="G17" s="3141" t="s">
        <v>3262</v>
      </c>
      <c r="L17" s="3138" t="str">
        <f>A30</f>
        <v>国瑞城</v>
      </c>
      <c r="M17" s="3138" t="str">
        <f>G31</f>
        <v>2017.5.31-2020.5.30</v>
      </c>
      <c r="N17" s="3138">
        <f>C31</f>
        <v>227.5</v>
      </c>
      <c r="O17" s="3139">
        <f>ROUND(D31,1)</f>
        <v>16.100000000000001</v>
      </c>
      <c r="P17" s="3146" t="str">
        <f>E31</f>
        <v>1层</v>
      </c>
      <c r="Q17" s="3138" t="str">
        <f>F31</f>
        <v>商业</v>
      </c>
    </row>
    <row r="18" spans="1:18" ht="27">
      <c r="A18" s="3934"/>
      <c r="B18" s="3141" t="s">
        <v>3258</v>
      </c>
      <c r="C18" s="3141">
        <v>697</v>
      </c>
      <c r="D18" s="3144">
        <v>6.67</v>
      </c>
      <c r="E18" s="3141">
        <v>15</v>
      </c>
      <c r="F18" s="3144" t="s">
        <v>3244</v>
      </c>
      <c r="G18" s="3141" t="s">
        <v>3259</v>
      </c>
      <c r="L18" s="3157" t="str">
        <f>A134</f>
        <v>前门大街</v>
      </c>
      <c r="M18" s="3157" t="str">
        <f>G145</f>
        <v>2017.3.1-2025.2.28</v>
      </c>
      <c r="N18" s="3157">
        <f>C145</f>
        <v>381.99</v>
      </c>
      <c r="O18" s="3158">
        <f t="shared" ref="O18:Q18" si="1">D145</f>
        <v>20.58</v>
      </c>
      <c r="P18" s="3157">
        <f t="shared" si="1"/>
        <v>1</v>
      </c>
      <c r="Q18" s="3157" t="str">
        <f t="shared" si="1"/>
        <v>商业</v>
      </c>
    </row>
    <row r="19" spans="1:18" ht="27">
      <c r="A19" s="3934"/>
      <c r="B19" s="3157" t="s">
        <v>3263</v>
      </c>
      <c r="C19" s="3157">
        <v>1286.5</v>
      </c>
      <c r="D19" s="3158">
        <v>5.9</v>
      </c>
      <c r="E19" s="3157">
        <v>5</v>
      </c>
      <c r="F19" s="3158" t="s">
        <v>3244</v>
      </c>
      <c r="G19" s="3157" t="s">
        <v>3264</v>
      </c>
      <c r="L19" s="3141" t="str">
        <f>A125</f>
        <v>万豪中心</v>
      </c>
      <c r="M19" s="3166" t="str">
        <f>G130</f>
        <v>2016.3.1-2021.2.28</v>
      </c>
      <c r="N19" s="3141">
        <f>C130</f>
        <v>170</v>
      </c>
      <c r="O19" s="3144">
        <f>ROUND(D130,1)</f>
        <v>15.2</v>
      </c>
      <c r="P19" s="3141">
        <v>1</v>
      </c>
      <c r="Q19" s="3166" t="s">
        <v>3240</v>
      </c>
    </row>
    <row r="20" spans="1:18" ht="27">
      <c r="A20" s="3934"/>
      <c r="B20" s="3141" t="s">
        <v>3265</v>
      </c>
      <c r="C20" s="3141">
        <v>237</v>
      </c>
      <c r="D20" s="3144">
        <v>8</v>
      </c>
      <c r="E20" s="3141">
        <v>21</v>
      </c>
      <c r="F20" s="3144" t="s">
        <v>3244</v>
      </c>
      <c r="G20" s="3141" t="s">
        <v>3266</v>
      </c>
      <c r="L20" s="3320" t="str">
        <f>A44</f>
        <v>银河SOHO</v>
      </c>
      <c r="M20" s="3320" t="str">
        <f>G44</f>
        <v>2013.4.1-2023.3.31</v>
      </c>
      <c r="N20" s="3320">
        <f t="shared" ref="N20:Q20" si="2">C44</f>
        <v>673.84999999999991</v>
      </c>
      <c r="O20" s="3163">
        <f>ROUND(D44*1.05,1)</f>
        <v>16</v>
      </c>
      <c r="P20" s="3320" t="str">
        <f t="shared" si="2"/>
        <v>1</v>
      </c>
      <c r="Q20" s="3320" t="str">
        <f t="shared" si="2"/>
        <v>商业</v>
      </c>
      <c r="R20" s="3166" t="s">
        <v>3988</v>
      </c>
    </row>
    <row r="21" spans="1:18" ht="27">
      <c r="A21" s="3934"/>
      <c r="B21" s="3141" t="s">
        <v>3267</v>
      </c>
      <c r="C21" s="3141">
        <v>240</v>
      </c>
      <c r="D21" s="3144">
        <v>7.5</v>
      </c>
      <c r="E21" s="3141">
        <v>22</v>
      </c>
      <c r="F21" s="3144" t="s">
        <v>3244</v>
      </c>
      <c r="G21" s="3141" t="s">
        <v>3268</v>
      </c>
      <c r="K21" s="3166"/>
      <c r="L21" s="3320" t="str">
        <f>A76</f>
        <v>五矿广场</v>
      </c>
      <c r="M21" s="3320" t="str">
        <f>G77</f>
        <v>2015.8.17-2018.8.16</v>
      </c>
      <c r="N21" s="3320">
        <f t="shared" ref="N21:Q21" si="3">C77</f>
        <v>130</v>
      </c>
      <c r="O21" s="3163">
        <f>ROUND(D77,1)</f>
        <v>17.600000000000001</v>
      </c>
      <c r="P21" s="3320" t="str">
        <f t="shared" si="3"/>
        <v>1</v>
      </c>
      <c r="Q21" s="3320" t="str">
        <f t="shared" si="3"/>
        <v>商业</v>
      </c>
      <c r="R21" s="3166" t="s">
        <v>3983</v>
      </c>
    </row>
    <row r="22" spans="1:18" ht="27">
      <c r="A22" s="3932" t="s">
        <v>3273</v>
      </c>
      <c r="B22" s="3141" t="s">
        <v>3274</v>
      </c>
      <c r="C22" s="3141">
        <v>280.19</v>
      </c>
      <c r="D22" s="3144">
        <v>8.1999999999999993</v>
      </c>
      <c r="E22" s="3141">
        <v>1</v>
      </c>
      <c r="F22" s="3144" t="s">
        <v>3240</v>
      </c>
      <c r="G22" s="3141" t="s">
        <v>3275</v>
      </c>
      <c r="L22" s="3157"/>
      <c r="M22" s="3157"/>
      <c r="N22" s="3157"/>
      <c r="O22" s="3158"/>
      <c r="P22" s="3157"/>
      <c r="Q22" s="3157"/>
    </row>
    <row r="23" spans="1:18" ht="27">
      <c r="A23" s="3932"/>
      <c r="B23" s="3141" t="s">
        <v>3276</v>
      </c>
      <c r="C23" s="3141">
        <v>303.89999999999998</v>
      </c>
      <c r="D23" s="3144">
        <v>8.5</v>
      </c>
      <c r="E23" s="3141">
        <v>1</v>
      </c>
      <c r="F23" s="3144" t="s">
        <v>3240</v>
      </c>
      <c r="G23" s="3141" t="s">
        <v>3277</v>
      </c>
    </row>
    <row r="24" spans="1:18" ht="27">
      <c r="A24" s="3932"/>
      <c r="B24" s="3141" t="s">
        <v>3278</v>
      </c>
      <c r="C24" s="3141">
        <v>75</v>
      </c>
      <c r="D24" s="3144">
        <v>8.06</v>
      </c>
      <c r="E24" s="3141">
        <v>1</v>
      </c>
      <c r="F24" s="3144" t="s">
        <v>3240</v>
      </c>
      <c r="G24" s="3141" t="s">
        <v>3279</v>
      </c>
      <c r="K24" s="3166" t="s">
        <v>3975</v>
      </c>
    </row>
    <row r="25" spans="1:18" ht="40.5">
      <c r="A25" s="3932"/>
      <c r="B25" s="3141" t="s">
        <v>3280</v>
      </c>
      <c r="C25" s="3141">
        <v>77</v>
      </c>
      <c r="D25" s="3144">
        <v>9.33</v>
      </c>
      <c r="E25" s="3141">
        <v>1</v>
      </c>
      <c r="F25" s="3144" t="s">
        <v>3240</v>
      </c>
      <c r="G25" s="3141" t="s">
        <v>3281</v>
      </c>
      <c r="K25" s="3166"/>
      <c r="L25" s="3298" t="str">
        <f>A10</f>
        <v>丰联大厦</v>
      </c>
      <c r="M25" s="3298" t="str">
        <f>G12</f>
        <v>2016.10.17-2019.10.16</v>
      </c>
      <c r="N25" s="3298">
        <f t="shared" ref="N25:Q25" si="4">C12</f>
        <v>372.82</v>
      </c>
      <c r="O25" s="3299">
        <f>ROUND(D12,1)</f>
        <v>5.8</v>
      </c>
      <c r="P25" s="3298">
        <f t="shared" si="4"/>
        <v>-1</v>
      </c>
      <c r="Q25" s="3298" t="str">
        <f t="shared" si="4"/>
        <v>商业</v>
      </c>
    </row>
    <row r="26" spans="1:18" ht="27">
      <c r="A26" s="3932"/>
      <c r="B26" s="3157" t="s">
        <v>3282</v>
      </c>
      <c r="C26" s="3157">
        <v>257.83</v>
      </c>
      <c r="D26" s="3158">
        <v>10.130000000000001</v>
      </c>
      <c r="E26" s="3157">
        <v>1</v>
      </c>
      <c r="F26" s="3158" t="s">
        <v>3240</v>
      </c>
      <c r="G26" s="3157" t="s">
        <v>3283</v>
      </c>
      <c r="H26" s="3160"/>
      <c r="L26" s="3297" t="s">
        <v>4020</v>
      </c>
      <c r="M26" s="3298" t="str">
        <f>G46</f>
        <v>2016.4.28-2021.7.27</v>
      </c>
      <c r="N26" s="3298">
        <f t="shared" ref="N26:Q26" si="5">C46</f>
        <v>366</v>
      </c>
      <c r="O26" s="3299">
        <f>ROUND(D46,1)</f>
        <v>4.9000000000000004</v>
      </c>
      <c r="P26" s="3298" t="str">
        <f t="shared" si="5"/>
        <v>-1</v>
      </c>
      <c r="Q26" s="3298" t="str">
        <f t="shared" si="5"/>
        <v>商业</v>
      </c>
    </row>
    <row r="27" spans="1:18" ht="40.5">
      <c r="A27" s="3932"/>
      <c r="B27" s="3141">
        <v>2020.6</v>
      </c>
      <c r="C27" s="3141">
        <v>207</v>
      </c>
      <c r="D27" s="3144">
        <v>11.3</v>
      </c>
      <c r="E27" s="3141" t="s">
        <v>3284</v>
      </c>
      <c r="F27" s="3144" t="s">
        <v>3244</v>
      </c>
      <c r="G27" s="3141" t="s">
        <v>3285</v>
      </c>
      <c r="L27" s="3166" t="s">
        <v>4021</v>
      </c>
      <c r="M27" s="3141" t="str">
        <f>G51</f>
        <v>2016.12.31-2021.12.30</v>
      </c>
      <c r="N27" s="3141">
        <f t="shared" ref="N27:Q27" si="6">C51</f>
        <v>703</v>
      </c>
      <c r="O27" s="3144">
        <f t="shared" si="6"/>
        <v>3.25</v>
      </c>
      <c r="P27" s="3141" t="str">
        <f t="shared" si="6"/>
        <v>-1</v>
      </c>
      <c r="Q27" s="3141" t="str">
        <f t="shared" si="6"/>
        <v>商业</v>
      </c>
    </row>
    <row r="28" spans="1:18" ht="27">
      <c r="A28" s="3932"/>
      <c r="B28" s="3141">
        <v>2019.1</v>
      </c>
      <c r="C28" s="3141">
        <v>525</v>
      </c>
      <c r="D28" s="3144">
        <v>9.0500000000000007</v>
      </c>
      <c r="E28" s="3141" t="s">
        <v>3286</v>
      </c>
      <c r="F28" s="3144" t="s">
        <v>3244</v>
      </c>
      <c r="G28" s="3141" t="s">
        <v>3287</v>
      </c>
      <c r="H28" s="3140">
        <v>0.05</v>
      </c>
      <c r="L28" s="3297" t="s">
        <v>4019</v>
      </c>
      <c r="M28" s="3298" t="str">
        <f>G45</f>
        <v>2014.7.10-2021.7.9</v>
      </c>
      <c r="N28" s="3298">
        <f t="shared" ref="N28:Q28" si="7">C45</f>
        <v>269.83</v>
      </c>
      <c r="O28" s="3299">
        <f>ROUND(D45,1)</f>
        <v>6</v>
      </c>
      <c r="P28" s="3298" t="str">
        <f t="shared" si="7"/>
        <v>-1</v>
      </c>
      <c r="Q28" s="3298" t="str">
        <f t="shared" si="7"/>
        <v>商业</v>
      </c>
    </row>
    <row r="29" spans="1:18" ht="27">
      <c r="A29" s="3932"/>
      <c r="B29" s="3141">
        <v>2019.8</v>
      </c>
      <c r="C29" s="3141">
        <v>464</v>
      </c>
      <c r="D29" s="3144">
        <v>10.65</v>
      </c>
      <c r="E29" s="3141" t="s">
        <v>3288</v>
      </c>
      <c r="F29" s="3144" t="s">
        <v>3244</v>
      </c>
      <c r="G29" s="3141" t="s">
        <v>3289</v>
      </c>
      <c r="H29" s="3140">
        <v>0.05</v>
      </c>
      <c r="L29" s="3166" t="s">
        <v>4019</v>
      </c>
      <c r="M29" s="3141" t="str">
        <f>G53</f>
        <v>2017.9.1-2021.8.31</v>
      </c>
      <c r="N29" s="3141">
        <f t="shared" ref="N29:Q29" si="8">C53</f>
        <v>232</v>
      </c>
      <c r="O29" s="3144">
        <f t="shared" si="8"/>
        <v>5.25</v>
      </c>
      <c r="P29" s="3141" t="str">
        <f t="shared" si="8"/>
        <v>-1</v>
      </c>
      <c r="Q29" s="3141" t="str">
        <f t="shared" si="8"/>
        <v>商业</v>
      </c>
    </row>
    <row r="30" spans="1:18" ht="27">
      <c r="A30" s="3934" t="s">
        <v>3290</v>
      </c>
      <c r="B30" s="3161" t="s">
        <v>3291</v>
      </c>
      <c r="C30" s="3157">
        <v>375</v>
      </c>
      <c r="D30" s="3158">
        <v>11.19</v>
      </c>
      <c r="E30" s="3159" t="s">
        <v>3284</v>
      </c>
      <c r="F30" s="3158" t="s">
        <v>1343</v>
      </c>
      <c r="G30" s="3157" t="s">
        <v>3292</v>
      </c>
    </row>
    <row r="31" spans="1:18" ht="27">
      <c r="A31" s="3934"/>
      <c r="B31" s="3145" t="s">
        <v>3293</v>
      </c>
      <c r="C31" s="3138">
        <v>227.5</v>
      </c>
      <c r="D31" s="3139">
        <v>16.12</v>
      </c>
      <c r="E31" s="3146" t="s">
        <v>3284</v>
      </c>
      <c r="F31" s="3139" t="s">
        <v>1343</v>
      </c>
      <c r="G31" s="3138" t="s">
        <v>3294</v>
      </c>
    </row>
    <row r="32" spans="1:18" ht="27">
      <c r="A32" s="3934"/>
      <c r="B32" s="3" t="s">
        <v>3295</v>
      </c>
      <c r="C32" s="3141">
        <v>124</v>
      </c>
      <c r="D32" s="3144">
        <v>17.100000000000001</v>
      </c>
      <c r="E32" s="3147" t="s">
        <v>3284</v>
      </c>
      <c r="F32" s="3144" t="s">
        <v>1343</v>
      </c>
      <c r="G32" s="3141" t="s">
        <v>3296</v>
      </c>
      <c r="K32" s="3166" t="s">
        <v>3989</v>
      </c>
      <c r="L32" s="3166" t="s">
        <v>3990</v>
      </c>
      <c r="O32" s="3144">
        <v>1200</v>
      </c>
      <c r="Q32" s="3166" t="s">
        <v>3991</v>
      </c>
    </row>
    <row r="33" spans="1:17" ht="27">
      <c r="A33" s="3934"/>
      <c r="B33" s="3" t="s">
        <v>3297</v>
      </c>
      <c r="C33" s="3141">
        <v>195</v>
      </c>
      <c r="D33" s="3144">
        <v>14.63</v>
      </c>
      <c r="E33" s="3147" t="s">
        <v>3284</v>
      </c>
      <c r="F33" s="3144" t="s">
        <v>1343</v>
      </c>
      <c r="G33" s="3141" t="s">
        <v>3298</v>
      </c>
      <c r="L33" s="3141" t="str">
        <f>A104</f>
        <v>东方广场</v>
      </c>
      <c r="M33" s="3141">
        <v>2016.12</v>
      </c>
      <c r="O33" s="3144">
        <f>D109</f>
        <v>1038</v>
      </c>
      <c r="Q33" s="3166" t="s">
        <v>3991</v>
      </c>
    </row>
    <row r="34" spans="1:17" ht="27">
      <c r="A34" s="3934"/>
      <c r="B34" s="3" t="s">
        <v>3278</v>
      </c>
      <c r="C34" s="3141">
        <v>446</v>
      </c>
      <c r="D34" s="3144">
        <v>16.899999999999999</v>
      </c>
      <c r="E34" s="3147" t="s">
        <v>3284</v>
      </c>
      <c r="F34" s="3144" t="s">
        <v>1343</v>
      </c>
      <c r="G34" s="3141" t="s">
        <v>3299</v>
      </c>
      <c r="L34" s="3141" t="str">
        <f>A150</f>
        <v>德信京汇</v>
      </c>
      <c r="M34" s="3141" t="str">
        <f>B153</f>
        <v>2017.5.1</v>
      </c>
      <c r="O34" s="3144">
        <v>1200</v>
      </c>
      <c r="Q34" s="3166" t="s">
        <v>3991</v>
      </c>
    </row>
    <row r="35" spans="1:17" ht="27">
      <c r="A35" s="3934"/>
      <c r="B35" s="3161" t="s">
        <v>3278</v>
      </c>
      <c r="C35" s="3157">
        <v>453</v>
      </c>
      <c r="D35" s="3158">
        <v>14.67</v>
      </c>
      <c r="E35" s="3159" t="s">
        <v>3284</v>
      </c>
      <c r="F35" s="3158" t="s">
        <v>1343</v>
      </c>
      <c r="G35" s="3157" t="s">
        <v>3300</v>
      </c>
      <c r="Q35" s="3166"/>
    </row>
    <row r="36" spans="1:17" ht="27">
      <c r="A36" s="3934"/>
      <c r="B36" s="3" t="s">
        <v>3297</v>
      </c>
      <c r="C36" s="3141">
        <v>233</v>
      </c>
      <c r="D36" s="3144">
        <v>14.59</v>
      </c>
      <c r="E36" s="3147" t="s">
        <v>3284</v>
      </c>
      <c r="F36" s="3144" t="s">
        <v>1343</v>
      </c>
      <c r="G36" s="3141" t="s">
        <v>3298</v>
      </c>
    </row>
    <row r="37" spans="1:17" ht="27">
      <c r="A37" s="3934"/>
      <c r="B37" s="3161" t="s">
        <v>3301</v>
      </c>
      <c r="C37" s="3157">
        <v>713</v>
      </c>
      <c r="D37" s="3158">
        <v>7.93</v>
      </c>
      <c r="E37" s="3159" t="s">
        <v>3284</v>
      </c>
      <c r="F37" s="3158" t="s">
        <v>1343</v>
      </c>
      <c r="G37" s="3157" t="s">
        <v>3302</v>
      </c>
    </row>
    <row r="38" spans="1:17" ht="27">
      <c r="A38" s="3934"/>
      <c r="B38" s="3" t="s">
        <v>3303</v>
      </c>
      <c r="C38" s="3141">
        <v>105</v>
      </c>
      <c r="D38" s="3144">
        <v>10.64</v>
      </c>
      <c r="E38" s="3147" t="s">
        <v>3284</v>
      </c>
      <c r="F38" s="3144" t="s">
        <v>1343</v>
      </c>
      <c r="G38" s="3141" t="s">
        <v>3304</v>
      </c>
    </row>
    <row r="39" spans="1:17" ht="40.5" customHeight="1">
      <c r="A39" s="3155" t="s">
        <v>3305</v>
      </c>
      <c r="B39" s="3141" t="s">
        <v>3291</v>
      </c>
      <c r="C39" s="3141">
        <v>213.76</v>
      </c>
      <c r="D39" s="3144">
        <v>30</v>
      </c>
      <c r="E39" s="3147">
        <v>1</v>
      </c>
      <c r="F39" s="3144" t="s">
        <v>3240</v>
      </c>
      <c r="G39" s="3141" t="s">
        <v>3292</v>
      </c>
      <c r="I39" s="3141" t="s">
        <v>3306</v>
      </c>
      <c r="J39" s="3141" t="s">
        <v>3307</v>
      </c>
    </row>
    <row r="40" spans="1:17" ht="27" hidden="1" customHeight="1">
      <c r="A40" s="3934" t="s">
        <v>3308</v>
      </c>
      <c r="B40" s="3141" t="s">
        <v>3309</v>
      </c>
      <c r="C40" s="3141">
        <v>1000.86</v>
      </c>
      <c r="D40" s="3144">
        <v>7.33</v>
      </c>
      <c r="E40" s="3147">
        <v>16</v>
      </c>
      <c r="F40" s="3144" t="s">
        <v>3244</v>
      </c>
      <c r="G40" s="3141" t="s">
        <v>3310</v>
      </c>
      <c r="H40" s="3140">
        <v>0.05</v>
      </c>
    </row>
    <row r="41" spans="1:17" ht="13.5" hidden="1" customHeight="1">
      <c r="A41" s="3934"/>
      <c r="B41" s="3141" t="s">
        <v>3311</v>
      </c>
      <c r="D41" s="3144">
        <v>1200</v>
      </c>
      <c r="E41" s="3147" t="s">
        <v>3312</v>
      </c>
      <c r="F41" s="3144" t="s">
        <v>3313</v>
      </c>
    </row>
    <row r="42" spans="1:17" ht="27" customHeight="1">
      <c r="A42" s="3932" t="s">
        <v>3314</v>
      </c>
      <c r="B42" s="3141" t="s">
        <v>3315</v>
      </c>
      <c r="C42" s="3141">
        <v>6641.86</v>
      </c>
      <c r="D42" s="3144">
        <f>ROUND(7800000/365/C42,1)</f>
        <v>3.2</v>
      </c>
      <c r="E42" s="3147" t="s">
        <v>3316</v>
      </c>
      <c r="F42" s="3144" t="s">
        <v>3244</v>
      </c>
      <c r="G42" s="3141" t="s">
        <v>3317</v>
      </c>
      <c r="H42" s="3140" t="s">
        <v>3318</v>
      </c>
      <c r="I42" s="3141" t="s">
        <v>3319</v>
      </c>
      <c r="J42" s="3141" t="s">
        <v>3320</v>
      </c>
    </row>
    <row r="43" spans="1:17" ht="27">
      <c r="A43" s="3932"/>
      <c r="B43" s="3141" t="s">
        <v>3321</v>
      </c>
      <c r="C43" s="3141">
        <v>609.49</v>
      </c>
      <c r="D43" s="3144">
        <f>ROUND(1500000/365/C43,1)</f>
        <v>6.7</v>
      </c>
      <c r="E43" s="3147" t="s">
        <v>3322</v>
      </c>
      <c r="F43" s="3144" t="s">
        <v>3240</v>
      </c>
      <c r="G43" s="3141" t="s">
        <v>3323</v>
      </c>
      <c r="H43" s="3140" t="s">
        <v>3324</v>
      </c>
      <c r="I43" s="3141" t="s">
        <v>3325</v>
      </c>
      <c r="J43" s="3141" t="s">
        <v>3326</v>
      </c>
    </row>
    <row r="44" spans="1:17" ht="27">
      <c r="A44" s="3928" t="s">
        <v>3327</v>
      </c>
      <c r="B44" s="3295" t="s">
        <v>3962</v>
      </c>
      <c r="C44" s="3138">
        <f>344.51+329.34</f>
        <v>673.84999999999991</v>
      </c>
      <c r="D44" s="3139">
        <v>15.21</v>
      </c>
      <c r="E44" s="3296" t="s">
        <v>3331</v>
      </c>
      <c r="F44" s="3139" t="s">
        <v>3963</v>
      </c>
      <c r="G44" s="3295" t="s">
        <v>3964</v>
      </c>
      <c r="H44" s="3306" t="s">
        <v>3996</v>
      </c>
      <c r="J44" s="3166" t="s">
        <v>3965</v>
      </c>
    </row>
    <row r="45" spans="1:17" ht="27">
      <c r="A45" s="3929"/>
      <c r="B45" s="3166" t="s">
        <v>3966</v>
      </c>
      <c r="C45" s="3141">
        <v>269.83</v>
      </c>
      <c r="D45" s="3144">
        <v>6.02</v>
      </c>
      <c r="E45" s="3270" t="s">
        <v>3967</v>
      </c>
      <c r="F45" s="3144" t="s">
        <v>3963</v>
      </c>
      <c r="G45" s="3166" t="s">
        <v>3968</v>
      </c>
      <c r="H45" s="3306" t="s">
        <v>4001</v>
      </c>
      <c r="J45" s="3166" t="s">
        <v>3969</v>
      </c>
    </row>
    <row r="46" spans="1:17" ht="27">
      <c r="A46" s="3929"/>
      <c r="B46" s="3" t="s">
        <v>3328</v>
      </c>
      <c r="C46" s="3141">
        <v>366</v>
      </c>
      <c r="D46" s="3144">
        <v>4.91</v>
      </c>
      <c r="E46" s="3147" t="s">
        <v>3329</v>
      </c>
      <c r="F46" s="3144" t="s">
        <v>3240</v>
      </c>
      <c r="G46" s="3166" t="s">
        <v>3908</v>
      </c>
      <c r="H46" s="3306" t="s">
        <v>4002</v>
      </c>
      <c r="J46" s="3166" t="s">
        <v>3970</v>
      </c>
    </row>
    <row r="47" spans="1:17">
      <c r="A47" s="3929"/>
      <c r="B47" s="3923" t="s">
        <v>3330</v>
      </c>
      <c r="C47" s="3142">
        <v>1346.66</v>
      </c>
      <c r="D47" s="3143">
        <v>9.3000000000000007</v>
      </c>
      <c r="E47" s="3285" t="s">
        <v>3340</v>
      </c>
      <c r="F47" s="3143" t="s">
        <v>3244</v>
      </c>
      <c r="G47" s="3924" t="s">
        <v>3907</v>
      </c>
      <c r="H47" s="3307" t="s">
        <v>3997</v>
      </c>
    </row>
    <row r="48" spans="1:17">
      <c r="A48" s="3929"/>
      <c r="B48" s="3923"/>
      <c r="C48" s="3142">
        <v>1362.34</v>
      </c>
      <c r="D48" s="3143">
        <v>9.44</v>
      </c>
      <c r="E48" s="3285" t="s">
        <v>3452</v>
      </c>
      <c r="F48" s="3143" t="s">
        <v>3244</v>
      </c>
      <c r="G48" s="3925"/>
      <c r="H48" s="3307" t="s">
        <v>3998</v>
      </c>
    </row>
    <row r="49" spans="1:18">
      <c r="A49" s="3929"/>
      <c r="B49" s="3923"/>
      <c r="C49" s="3142">
        <v>1086.32</v>
      </c>
      <c r="D49" s="3143">
        <v>9.34</v>
      </c>
      <c r="E49" s="3285" t="s">
        <v>3906</v>
      </c>
      <c r="F49" s="3143" t="s">
        <v>3244</v>
      </c>
      <c r="G49" s="3925"/>
      <c r="H49" s="3307" t="s">
        <v>3999</v>
      </c>
    </row>
    <row r="50" spans="1:18" ht="27">
      <c r="A50" s="3929"/>
      <c r="B50" s="3" t="s">
        <v>3330</v>
      </c>
      <c r="C50" s="3141">
        <v>1266.5999999999999</v>
      </c>
      <c r="D50" s="3144">
        <v>7.51</v>
      </c>
      <c r="E50" s="3147" t="s">
        <v>3331</v>
      </c>
      <c r="F50" s="3144" t="s">
        <v>3240</v>
      </c>
      <c r="G50" s="3166" t="s">
        <v>3909</v>
      </c>
      <c r="H50" s="3307" t="s">
        <v>4000</v>
      </c>
      <c r="J50" s="3308"/>
      <c r="K50" s="3308"/>
      <c r="L50" s="3308"/>
      <c r="M50" s="3308"/>
      <c r="N50" s="3308"/>
      <c r="O50" s="3309"/>
      <c r="P50" s="3308"/>
      <c r="Q50" s="3308"/>
      <c r="R50" s="3308"/>
    </row>
    <row r="51" spans="1:18" ht="27">
      <c r="A51" s="3929"/>
      <c r="B51" s="3" t="s">
        <v>3332</v>
      </c>
      <c r="C51" s="3141">
        <v>703</v>
      </c>
      <c r="D51" s="3144">
        <v>3.25</v>
      </c>
      <c r="E51" s="3147" t="s">
        <v>3329</v>
      </c>
      <c r="F51" s="3144" t="s">
        <v>3240</v>
      </c>
      <c r="G51" s="3166" t="s">
        <v>3910</v>
      </c>
      <c r="H51" s="3307" t="s">
        <v>4003</v>
      </c>
      <c r="J51" s="3271"/>
      <c r="K51" s="3271"/>
      <c r="L51" s="3271"/>
      <c r="M51" s="3271"/>
      <c r="N51" s="3271"/>
      <c r="O51" s="3310"/>
      <c r="P51" s="3271"/>
      <c r="Q51" s="3271"/>
      <c r="R51" s="3271"/>
    </row>
    <row r="52" spans="1:18" ht="27">
      <c r="A52" s="3929"/>
      <c r="B52" s="3" t="s">
        <v>3334</v>
      </c>
      <c r="C52" s="3141">
        <v>291</v>
      </c>
      <c r="D52" s="3144">
        <v>5.24</v>
      </c>
      <c r="E52" s="3147" t="s">
        <v>3331</v>
      </c>
      <c r="F52" s="3144" t="s">
        <v>3240</v>
      </c>
      <c r="G52" s="3166" t="s">
        <v>3911</v>
      </c>
      <c r="H52" s="3307" t="s">
        <v>4009</v>
      </c>
      <c r="J52" s="3271"/>
      <c r="K52" s="3311"/>
      <c r="L52" s="3272"/>
      <c r="M52" s="3272"/>
      <c r="N52" s="3272"/>
      <c r="O52" s="3273"/>
      <c r="P52" s="3272"/>
      <c r="Q52" s="3272"/>
      <c r="R52" s="3271"/>
    </row>
    <row r="53" spans="1:18" ht="27">
      <c r="A53" s="3929"/>
      <c r="B53" s="3" t="s">
        <v>3335</v>
      </c>
      <c r="C53" s="3141">
        <v>232</v>
      </c>
      <c r="D53" s="3144">
        <v>5.25</v>
      </c>
      <c r="E53" s="3147" t="s">
        <v>3329</v>
      </c>
      <c r="F53" s="3144" t="s">
        <v>3240</v>
      </c>
      <c r="G53" s="3166" t="s">
        <v>3912</v>
      </c>
      <c r="H53" s="3307" t="s">
        <v>4004</v>
      </c>
      <c r="J53" s="3271"/>
      <c r="K53" s="3271"/>
      <c r="L53" s="3272"/>
      <c r="M53" s="3272"/>
      <c r="N53" s="3272"/>
      <c r="O53" s="3273"/>
      <c r="P53" s="3272"/>
      <c r="Q53" s="3272"/>
      <c r="R53" s="3271"/>
    </row>
    <row r="54" spans="1:18" ht="27">
      <c r="A54" s="3929"/>
      <c r="B54" s="3" t="s">
        <v>3336</v>
      </c>
      <c r="C54" s="3141">
        <v>1145</v>
      </c>
      <c r="D54" s="3144">
        <v>3.59</v>
      </c>
      <c r="E54" s="3147" t="s">
        <v>3329</v>
      </c>
      <c r="F54" s="3144" t="s">
        <v>3240</v>
      </c>
      <c r="G54" s="3166" t="s">
        <v>3913</v>
      </c>
      <c r="H54" s="3307" t="s">
        <v>4005</v>
      </c>
      <c r="J54" s="3271"/>
      <c r="K54" s="3271"/>
      <c r="L54" s="3272"/>
      <c r="M54" s="3272"/>
      <c r="N54" s="3272"/>
      <c r="O54" s="3273"/>
      <c r="P54" s="3272"/>
      <c r="Q54" s="3272"/>
      <c r="R54" s="3271"/>
    </row>
    <row r="55" spans="1:18" ht="27">
      <c r="A55" s="3929"/>
      <c r="B55" s="3248" t="s">
        <v>3920</v>
      </c>
      <c r="C55" s="3141">
        <v>239.41</v>
      </c>
      <c r="D55" s="3144">
        <v>8</v>
      </c>
      <c r="E55" s="3270" t="s">
        <v>3921</v>
      </c>
      <c r="F55" s="3144" t="s">
        <v>3882</v>
      </c>
      <c r="G55" s="3248" t="s">
        <v>3919</v>
      </c>
      <c r="H55" s="3307" t="s">
        <v>4008</v>
      </c>
      <c r="J55" s="3271"/>
      <c r="K55" s="3271"/>
      <c r="L55" s="3272"/>
      <c r="M55" s="3272"/>
      <c r="N55" s="3272"/>
      <c r="O55" s="3273"/>
      <c r="P55" s="3272"/>
      <c r="Q55" s="3272"/>
      <c r="R55" s="3271"/>
    </row>
    <row r="56" spans="1:18" ht="27">
      <c r="A56" s="3929"/>
      <c r="B56" s="3161" t="s">
        <v>3341</v>
      </c>
      <c r="C56" s="3157">
        <v>364</v>
      </c>
      <c r="D56" s="3158">
        <v>5.07</v>
      </c>
      <c r="E56" s="3159" t="s">
        <v>3331</v>
      </c>
      <c r="F56" s="3158" t="s">
        <v>3244</v>
      </c>
      <c r="G56" s="3269" t="s">
        <v>3914</v>
      </c>
      <c r="H56" s="3307" t="s">
        <v>4006</v>
      </c>
    </row>
    <row r="57" spans="1:18" ht="27">
      <c r="A57" s="3929"/>
      <c r="B57" s="3" t="s">
        <v>3342</v>
      </c>
      <c r="C57" s="3141">
        <v>144</v>
      </c>
      <c r="D57" s="3144">
        <v>8.3800000000000008</v>
      </c>
      <c r="E57" s="3147" t="s">
        <v>3343</v>
      </c>
      <c r="F57" s="3144" t="s">
        <v>3244</v>
      </c>
      <c r="G57" s="3166" t="s">
        <v>3915</v>
      </c>
      <c r="H57" s="3307" t="s">
        <v>4007</v>
      </c>
    </row>
    <row r="58" spans="1:18" ht="27">
      <c r="A58" s="3929"/>
      <c r="B58" s="3" t="s">
        <v>3344</v>
      </c>
      <c r="C58" s="3141">
        <v>435</v>
      </c>
      <c r="D58" s="3144">
        <v>7.21</v>
      </c>
      <c r="E58" s="3147" t="s">
        <v>3345</v>
      </c>
      <c r="F58" s="3144" t="s">
        <v>3244</v>
      </c>
      <c r="G58" s="3166" t="s">
        <v>3916</v>
      </c>
      <c r="H58" s="3307" t="s">
        <v>4010</v>
      </c>
    </row>
    <row r="59" spans="1:18" ht="27.75" thickBot="1">
      <c r="A59" s="3929"/>
      <c r="B59" s="3" t="s">
        <v>3337</v>
      </c>
      <c r="C59" s="3141">
        <v>406</v>
      </c>
      <c r="D59" s="3144">
        <v>4.9000000000000004</v>
      </c>
      <c r="E59" s="3147" t="s">
        <v>3329</v>
      </c>
      <c r="F59" s="3144" t="s">
        <v>3240</v>
      </c>
      <c r="G59" s="3166" t="s">
        <v>3917</v>
      </c>
      <c r="H59" s="3307" t="s">
        <v>4011</v>
      </c>
      <c r="J59" s="3148"/>
      <c r="K59" s="3150"/>
      <c r="L59" s="3150"/>
      <c r="M59" s="3150"/>
      <c r="N59" s="3150"/>
      <c r="O59" s="3268"/>
      <c r="P59" s="3150"/>
      <c r="Q59" s="3150"/>
      <c r="R59" s="3150"/>
    </row>
    <row r="60" spans="1:18" ht="27.75" thickBot="1">
      <c r="A60" s="3929"/>
      <c r="B60" s="3" t="s">
        <v>3346</v>
      </c>
      <c r="C60" s="3141">
        <v>257</v>
      </c>
      <c r="D60" s="3144">
        <v>5.66</v>
      </c>
      <c r="E60" s="3147" t="s">
        <v>3343</v>
      </c>
      <c r="F60" s="3144" t="s">
        <v>3244</v>
      </c>
      <c r="G60" s="3166" t="s">
        <v>3918</v>
      </c>
      <c r="H60" s="3307" t="s">
        <v>4012</v>
      </c>
      <c r="J60" s="3148"/>
      <c r="K60" s="3150"/>
      <c r="L60" s="3150"/>
      <c r="M60" s="3150"/>
      <c r="N60" s="3150"/>
      <c r="O60" s="3268"/>
      <c r="P60" s="3150"/>
      <c r="Q60" s="3150"/>
      <c r="R60" s="3150"/>
    </row>
    <row r="61" spans="1:18" ht="27.75" thickBot="1">
      <c r="A61" s="3929"/>
      <c r="B61" s="3157" t="s">
        <v>3339</v>
      </c>
      <c r="C61" s="3157">
        <v>202</v>
      </c>
      <c r="D61" s="3158">
        <v>5.4</v>
      </c>
      <c r="E61" s="3159" t="s">
        <v>3329</v>
      </c>
      <c r="F61" s="3158" t="s">
        <v>3240</v>
      </c>
      <c r="G61" s="3166" t="s">
        <v>4013</v>
      </c>
      <c r="H61" s="3306" t="s">
        <v>4016</v>
      </c>
      <c r="J61" s="3148"/>
      <c r="K61" s="3150"/>
      <c r="L61" s="3150"/>
      <c r="M61" s="3150"/>
      <c r="N61" s="3150"/>
      <c r="O61" s="3268"/>
      <c r="P61" s="3150"/>
      <c r="Q61" s="3150"/>
      <c r="R61" s="3150"/>
    </row>
    <row r="62" spans="1:18" ht="27.75" thickBot="1">
      <c r="A62" s="3929"/>
      <c r="B62" s="3141" t="s">
        <v>3339</v>
      </c>
      <c r="C62" s="3141">
        <v>203</v>
      </c>
      <c r="D62" s="3144">
        <v>6.95</v>
      </c>
      <c r="E62" s="3147" t="s">
        <v>3345</v>
      </c>
      <c r="F62" s="3144" t="s">
        <v>3244</v>
      </c>
      <c r="G62" s="3166" t="s">
        <v>4014</v>
      </c>
      <c r="H62" s="3306" t="s">
        <v>4017</v>
      </c>
      <c r="J62" s="3148" t="s">
        <v>3347</v>
      </c>
      <c r="K62" s="3150" t="s">
        <v>3348</v>
      </c>
      <c r="L62" s="3149">
        <v>2011</v>
      </c>
      <c r="M62" s="3149">
        <v>250000</v>
      </c>
      <c r="N62" s="3149">
        <v>45000</v>
      </c>
      <c r="O62" s="3165">
        <v>23</v>
      </c>
      <c r="P62" s="3149">
        <v>2.8</v>
      </c>
      <c r="Q62" s="3149">
        <v>3000</v>
      </c>
      <c r="R62" s="3150" t="s">
        <v>3338</v>
      </c>
    </row>
    <row r="63" spans="1:18" ht="27.75" thickBot="1">
      <c r="A63" s="3930"/>
      <c r="B63" s="3141" t="s">
        <v>3349</v>
      </c>
      <c r="C63" s="3141">
        <v>700</v>
      </c>
      <c r="D63" s="3144">
        <v>4.0199999999999996</v>
      </c>
      <c r="E63" s="3147" t="s">
        <v>3329</v>
      </c>
      <c r="F63" s="3144" t="s">
        <v>3244</v>
      </c>
      <c r="G63" s="3166" t="s">
        <v>4015</v>
      </c>
      <c r="H63" s="3306" t="s">
        <v>4018</v>
      </c>
      <c r="J63" s="3148" t="s">
        <v>3350</v>
      </c>
      <c r="K63" s="3150" t="s">
        <v>3351</v>
      </c>
      <c r="L63" s="3149">
        <v>2003</v>
      </c>
      <c r="M63" s="3149">
        <v>800000</v>
      </c>
      <c r="N63" s="3149">
        <v>100000</v>
      </c>
      <c r="O63" s="3165">
        <v>25</v>
      </c>
      <c r="P63" s="3149">
        <v>3.5</v>
      </c>
      <c r="Q63" s="3149">
        <v>3000</v>
      </c>
      <c r="R63" s="3150" t="s">
        <v>3352</v>
      </c>
    </row>
    <row r="64" spans="1:18" ht="26.25" thickBot="1">
      <c r="A64" s="3934" t="s">
        <v>3353</v>
      </c>
      <c r="B64" s="3141" t="s">
        <v>3254</v>
      </c>
      <c r="C64" s="3927" t="s">
        <v>3354</v>
      </c>
      <c r="D64" s="3144">
        <f>452900</f>
        <v>452900</v>
      </c>
      <c r="E64" s="3147" t="s">
        <v>3331</v>
      </c>
      <c r="F64" s="3144" t="s">
        <v>3240</v>
      </c>
      <c r="J64" s="3148" t="s">
        <v>3355</v>
      </c>
      <c r="K64" s="3150" t="s">
        <v>3356</v>
      </c>
      <c r="L64" s="3149">
        <v>2006</v>
      </c>
      <c r="M64" s="3149">
        <v>128000</v>
      </c>
      <c r="N64" s="3149">
        <v>25800</v>
      </c>
      <c r="O64" s="3165">
        <v>18</v>
      </c>
      <c r="P64" s="3150" t="s">
        <v>70</v>
      </c>
      <c r="Q64" s="3150" t="s">
        <v>70</v>
      </c>
      <c r="R64" s="3150" t="s">
        <v>3357</v>
      </c>
    </row>
    <row r="65" spans="1:18" ht="14.25" thickBot="1">
      <c r="A65" s="3934"/>
      <c r="B65" s="3141" t="s">
        <v>3248</v>
      </c>
      <c r="C65" s="3927"/>
      <c r="D65" s="3144">
        <v>452900</v>
      </c>
      <c r="E65" s="3147" t="s">
        <v>3331</v>
      </c>
      <c r="F65" s="3144" t="s">
        <v>3240</v>
      </c>
      <c r="J65" s="3148" t="s">
        <v>3358</v>
      </c>
      <c r="K65" s="3150" t="s">
        <v>3359</v>
      </c>
      <c r="L65" s="3149">
        <v>2003</v>
      </c>
      <c r="M65" s="3149">
        <v>64455</v>
      </c>
      <c r="N65" s="3149">
        <v>5600</v>
      </c>
      <c r="O65" s="3165">
        <v>22</v>
      </c>
      <c r="P65" s="3149">
        <v>2.5</v>
      </c>
      <c r="Q65" s="3149">
        <v>2600</v>
      </c>
      <c r="R65" s="3152" t="s">
        <v>3360</v>
      </c>
    </row>
    <row r="66" spans="1:18">
      <c r="A66" s="3934"/>
      <c r="B66" s="3141" t="s">
        <v>3361</v>
      </c>
      <c r="C66" s="3927"/>
      <c r="D66" s="3144">
        <v>452900</v>
      </c>
      <c r="E66" s="3147" t="s">
        <v>3331</v>
      </c>
      <c r="F66" s="3144" t="s">
        <v>3240</v>
      </c>
    </row>
    <row r="67" spans="1:18">
      <c r="A67" s="3934"/>
      <c r="B67" s="3141" t="s">
        <v>3362</v>
      </c>
      <c r="C67" s="3927"/>
      <c r="D67" s="3144">
        <v>360000</v>
      </c>
      <c r="E67" s="3147" t="s">
        <v>3331</v>
      </c>
      <c r="F67" s="3144" t="s">
        <v>3240</v>
      </c>
    </row>
    <row r="68" spans="1:18">
      <c r="A68" s="3934"/>
      <c r="B68" s="3141" t="s">
        <v>3363</v>
      </c>
      <c r="C68" s="3927"/>
      <c r="D68" s="3144">
        <v>240000</v>
      </c>
      <c r="E68" s="3147" t="s">
        <v>3331</v>
      </c>
      <c r="F68" s="3144" t="s">
        <v>3240</v>
      </c>
    </row>
    <row r="69" spans="1:18">
      <c r="A69" s="3934"/>
      <c r="B69" s="3141" t="s">
        <v>3364</v>
      </c>
      <c r="C69" s="3927"/>
      <c r="D69" s="3144">
        <v>240000</v>
      </c>
      <c r="E69" s="3147" t="s">
        <v>3331</v>
      </c>
      <c r="F69" s="3144" t="s">
        <v>3240</v>
      </c>
    </row>
    <row r="70" spans="1:18">
      <c r="A70" s="3934"/>
      <c r="B70" s="3141" t="s">
        <v>3365</v>
      </c>
      <c r="C70" s="3927"/>
      <c r="D70" s="3144">
        <v>240000</v>
      </c>
      <c r="E70" s="3147" t="s">
        <v>3331</v>
      </c>
      <c r="F70" s="3144" t="s">
        <v>3240</v>
      </c>
    </row>
    <row r="71" spans="1:18" ht="27">
      <c r="A71" s="3934"/>
      <c r="B71" s="3141" t="s">
        <v>3366</v>
      </c>
      <c r="C71" s="3927">
        <v>337.8</v>
      </c>
      <c r="D71" s="3144">
        <f>739282</f>
        <v>739282</v>
      </c>
      <c r="E71" s="3933">
        <v>1</v>
      </c>
      <c r="F71" s="3144" t="s">
        <v>3240</v>
      </c>
      <c r="G71" s="3141" t="s">
        <v>3367</v>
      </c>
      <c r="I71" s="3141" t="s">
        <v>3368</v>
      </c>
    </row>
    <row r="72" spans="1:18">
      <c r="A72" s="3934"/>
      <c r="B72" s="3141" t="s">
        <v>3369</v>
      </c>
      <c r="C72" s="3927"/>
      <c r="D72" s="3144">
        <v>369891</v>
      </c>
      <c r="E72" s="3933"/>
    </row>
    <row r="73" spans="1:18">
      <c r="A73" s="3934"/>
      <c r="B73" s="3141" t="s">
        <v>3254</v>
      </c>
      <c r="C73" s="3927"/>
      <c r="D73" s="3144">
        <v>295913</v>
      </c>
      <c r="E73" s="3933"/>
    </row>
    <row r="74" spans="1:18">
      <c r="A74" s="3934"/>
      <c r="B74" s="3141" t="s">
        <v>3363</v>
      </c>
      <c r="C74" s="3927"/>
      <c r="D74" s="3144">
        <v>240000</v>
      </c>
      <c r="E74" s="3933"/>
    </row>
    <row r="75" spans="1:18" ht="27">
      <c r="A75" s="3934"/>
      <c r="B75" s="3141" t="s">
        <v>3370</v>
      </c>
      <c r="C75" s="3141">
        <v>86</v>
      </c>
      <c r="D75" s="3144">
        <v>480000</v>
      </c>
      <c r="E75" s="3147"/>
      <c r="F75" s="3144" t="s">
        <v>3240</v>
      </c>
      <c r="G75" s="3141" t="s">
        <v>3371</v>
      </c>
      <c r="O75" s="3144" t="s">
        <v>3372</v>
      </c>
    </row>
    <row r="76" spans="1:18" ht="27">
      <c r="A76" s="3936" t="s">
        <v>3961</v>
      </c>
      <c r="B76" s="3141" t="s">
        <v>3384</v>
      </c>
      <c r="C76" s="3141">
        <v>10808</v>
      </c>
      <c r="D76" s="3144">
        <v>10.33</v>
      </c>
      <c r="E76" s="3147" t="s">
        <v>3385</v>
      </c>
      <c r="F76" s="3144" t="s">
        <v>3244</v>
      </c>
      <c r="G76" s="3141" t="s">
        <v>3386</v>
      </c>
      <c r="I76" s="3141" t="s">
        <v>3387</v>
      </c>
    </row>
    <row r="77" spans="1:18" ht="27">
      <c r="A77" s="3936"/>
      <c r="B77" s="3300" t="s">
        <v>3984</v>
      </c>
      <c r="C77" s="3162">
        <v>130</v>
      </c>
      <c r="D77" s="3163">
        <v>17.632999999999999</v>
      </c>
      <c r="E77" s="3275" t="s">
        <v>3978</v>
      </c>
      <c r="F77" s="3163" t="s">
        <v>3979</v>
      </c>
      <c r="G77" s="3300" t="s">
        <v>3985</v>
      </c>
    </row>
    <row r="78" spans="1:18" ht="27">
      <c r="A78" s="3932"/>
      <c r="B78" s="3141" t="s">
        <v>3388</v>
      </c>
      <c r="C78" s="3141">
        <v>2161.52</v>
      </c>
      <c r="D78" s="3144">
        <v>11.17</v>
      </c>
      <c r="E78" s="3147" t="s">
        <v>3389</v>
      </c>
      <c r="F78" s="3144" t="s">
        <v>3244</v>
      </c>
      <c r="G78" s="3141" t="s">
        <v>3390</v>
      </c>
    </row>
    <row r="79" spans="1:18" ht="27">
      <c r="A79" s="3932"/>
      <c r="B79" s="3141" t="s">
        <v>3330</v>
      </c>
      <c r="C79" s="3141">
        <v>409</v>
      </c>
      <c r="D79" s="3144">
        <v>12</v>
      </c>
      <c r="E79" s="3147" t="s">
        <v>3391</v>
      </c>
      <c r="F79" s="3144" t="s">
        <v>3244</v>
      </c>
      <c r="G79" s="3141" t="s">
        <v>3392</v>
      </c>
      <c r="K79" s="3166" t="s">
        <v>4255</v>
      </c>
      <c r="L79" s="3141">
        <v>32430</v>
      </c>
    </row>
    <row r="80" spans="1:18" ht="27">
      <c r="A80" s="3932"/>
      <c r="B80" s="3157" t="s">
        <v>3379</v>
      </c>
      <c r="C80" s="3157">
        <v>1604.6</v>
      </c>
      <c r="D80" s="3158">
        <v>11.67</v>
      </c>
      <c r="E80" s="3159">
        <v>3</v>
      </c>
      <c r="F80" s="3158" t="s">
        <v>3244</v>
      </c>
      <c r="G80" s="3157" t="s">
        <v>3380</v>
      </c>
      <c r="H80" s="3160"/>
      <c r="I80" s="3157" t="s">
        <v>3381</v>
      </c>
      <c r="K80" s="3166" t="s">
        <v>4256</v>
      </c>
      <c r="L80" s="3141">
        <v>25938</v>
      </c>
    </row>
    <row r="81" spans="1:12" ht="27">
      <c r="A81" s="3932"/>
      <c r="B81" s="3157" t="s">
        <v>3400</v>
      </c>
      <c r="C81" s="3157">
        <v>2200.29</v>
      </c>
      <c r="D81" s="3158">
        <v>12.33</v>
      </c>
      <c r="E81" s="3159" t="s">
        <v>3401</v>
      </c>
      <c r="F81" s="3158" t="s">
        <v>3244</v>
      </c>
      <c r="G81" s="3157" t="s">
        <v>3402</v>
      </c>
      <c r="H81" s="3160"/>
      <c r="I81" s="3157"/>
      <c r="K81" s="3166" t="s">
        <v>4257</v>
      </c>
      <c r="L81" s="3141">
        <v>19803</v>
      </c>
    </row>
    <row r="82" spans="1:12" ht="27">
      <c r="A82" s="3932"/>
      <c r="B82" s="3141" t="s">
        <v>3248</v>
      </c>
      <c r="C82" s="3141">
        <v>2161.52</v>
      </c>
      <c r="D82" s="3144">
        <v>12</v>
      </c>
      <c r="E82" s="3270" t="s">
        <v>4176</v>
      </c>
      <c r="F82" s="3144" t="s">
        <v>3244</v>
      </c>
      <c r="G82" s="3141" t="s">
        <v>3249</v>
      </c>
    </row>
    <row r="83" spans="1:12" ht="27">
      <c r="A83" s="3932"/>
      <c r="B83" s="3142" t="s">
        <v>3393</v>
      </c>
      <c r="C83" s="3142">
        <v>1020.87</v>
      </c>
      <c r="D83" s="3143">
        <v>11.5</v>
      </c>
      <c r="E83" s="3151" t="s">
        <v>3394</v>
      </c>
      <c r="F83" s="3143" t="s">
        <v>3244</v>
      </c>
      <c r="G83" s="3142" t="s">
        <v>3395</v>
      </c>
      <c r="H83" s="3156"/>
      <c r="I83" s="3142" t="s">
        <v>3396</v>
      </c>
    </row>
    <row r="84" spans="1:12" ht="27">
      <c r="A84" s="3932"/>
      <c r="B84" s="3157" t="s">
        <v>3397</v>
      </c>
      <c r="C84" s="3157">
        <v>1052.8599999999999</v>
      </c>
      <c r="D84" s="3158">
        <v>13.17</v>
      </c>
      <c r="E84" s="3159" t="s">
        <v>3398</v>
      </c>
      <c r="F84" s="3158" t="s">
        <v>3244</v>
      </c>
      <c r="G84" s="3157" t="s">
        <v>3399</v>
      </c>
      <c r="H84" s="3160"/>
      <c r="I84" s="3157"/>
    </row>
    <row r="85" spans="1:12" ht="27">
      <c r="A85" s="3932"/>
      <c r="B85" s="3157" t="s">
        <v>3407</v>
      </c>
      <c r="C85" s="3157">
        <v>248</v>
      </c>
      <c r="D85" s="3158">
        <v>10.98</v>
      </c>
      <c r="E85" s="3159" t="s">
        <v>3331</v>
      </c>
      <c r="F85" s="3158" t="s">
        <v>3240</v>
      </c>
      <c r="G85" s="3157" t="s">
        <v>3408</v>
      </c>
    </row>
    <row r="86" spans="1:12" ht="27">
      <c r="A86" s="3932"/>
      <c r="B86" s="3269" t="s">
        <v>3977</v>
      </c>
      <c r="C86" s="3157">
        <v>657.93</v>
      </c>
      <c r="D86" s="3158">
        <v>16.23</v>
      </c>
      <c r="E86" s="3294" t="s">
        <v>3978</v>
      </c>
      <c r="F86" s="3158" t="s">
        <v>3979</v>
      </c>
      <c r="G86" s="3269" t="s">
        <v>3980</v>
      </c>
      <c r="J86" s="3166" t="s">
        <v>3982</v>
      </c>
    </row>
    <row r="87" spans="1:12" ht="27">
      <c r="A87" s="3932"/>
      <c r="B87" s="3157" t="s">
        <v>3376</v>
      </c>
      <c r="C87" s="3157">
        <v>873</v>
      </c>
      <c r="D87" s="3158">
        <v>13.33</v>
      </c>
      <c r="E87" s="3159">
        <v>2</v>
      </c>
      <c r="F87" s="3158" t="s">
        <v>3244</v>
      </c>
      <c r="G87" s="3157" t="s">
        <v>3377</v>
      </c>
      <c r="H87" s="3160"/>
      <c r="I87" s="3157" t="s">
        <v>3378</v>
      </c>
    </row>
    <row r="88" spans="1:12">
      <c r="A88" s="3932"/>
      <c r="B88" s="3269" t="s">
        <v>3981</v>
      </c>
      <c r="C88" s="3157">
        <v>191</v>
      </c>
      <c r="D88" s="3158">
        <v>7.5</v>
      </c>
      <c r="E88" s="3294" t="s">
        <v>3978</v>
      </c>
      <c r="F88" s="3158" t="s">
        <v>3979</v>
      </c>
      <c r="G88" s="3157"/>
      <c r="H88" s="3160"/>
      <c r="I88" s="3157"/>
      <c r="J88" s="3166" t="s">
        <v>3983</v>
      </c>
    </row>
    <row r="89" spans="1:12" ht="27">
      <c r="A89" s="3932"/>
      <c r="B89" s="3141" t="s">
        <v>3410</v>
      </c>
      <c r="C89" s="3141">
        <v>587</v>
      </c>
      <c r="D89" s="3144">
        <f>565.03/30</f>
        <v>18.834333333333333</v>
      </c>
      <c r="E89" s="3147" t="s">
        <v>3331</v>
      </c>
      <c r="F89" s="3144" t="s">
        <v>3240</v>
      </c>
      <c r="G89" s="3141" t="s">
        <v>3411</v>
      </c>
      <c r="H89" s="3140" t="s">
        <v>3412</v>
      </c>
      <c r="J89" s="3141" t="s">
        <v>3413</v>
      </c>
    </row>
    <row r="90" spans="1:12" ht="27">
      <c r="A90" s="3932"/>
      <c r="B90" s="3141" t="s">
        <v>3382</v>
      </c>
      <c r="C90" s="3141">
        <v>750</v>
      </c>
      <c r="D90" s="3144">
        <v>12.25</v>
      </c>
      <c r="E90" s="3147">
        <v>5</v>
      </c>
      <c r="F90" s="3144" t="s">
        <v>3244</v>
      </c>
      <c r="G90" s="3141" t="s">
        <v>3383</v>
      </c>
    </row>
    <row r="91" spans="1:12" ht="27">
      <c r="A91" s="3932"/>
      <c r="B91" s="3141" t="s">
        <v>3370</v>
      </c>
      <c r="C91" s="3141">
        <v>657.93</v>
      </c>
      <c r="D91" s="3144">
        <f>487/30</f>
        <v>16.233333333333334</v>
      </c>
      <c r="E91" s="3147" t="s">
        <v>3331</v>
      </c>
      <c r="F91" s="3144" t="s">
        <v>3240</v>
      </c>
      <c r="G91" s="3141" t="s">
        <v>3371</v>
      </c>
      <c r="J91" s="3141" t="s">
        <v>3409</v>
      </c>
    </row>
    <row r="92" spans="1:12" ht="27">
      <c r="A92" s="3932"/>
      <c r="B92" s="3141" t="s">
        <v>3403</v>
      </c>
      <c r="C92" s="3141">
        <v>792.48</v>
      </c>
      <c r="D92" s="3144">
        <f>138.98/30</f>
        <v>4.6326666666666663</v>
      </c>
      <c r="E92" s="3147" t="s">
        <v>3331</v>
      </c>
      <c r="F92" s="3144" t="s">
        <v>3240</v>
      </c>
      <c r="G92" s="3141" t="s">
        <v>3404</v>
      </c>
      <c r="H92" s="3140" t="s">
        <v>3405</v>
      </c>
      <c r="I92" s="3141" t="s">
        <v>3406</v>
      </c>
    </row>
    <row r="93" spans="1:12" ht="27">
      <c r="A93" s="3932"/>
      <c r="B93" s="3141" t="s">
        <v>3373</v>
      </c>
      <c r="C93" s="3141">
        <v>634</v>
      </c>
      <c r="D93" s="3144">
        <v>15.67</v>
      </c>
      <c r="E93" s="3147">
        <v>2</v>
      </c>
      <c r="F93" s="3144" t="s">
        <v>3244</v>
      </c>
      <c r="G93" s="3141" t="s">
        <v>3374</v>
      </c>
      <c r="I93" s="3141" t="s">
        <v>3375</v>
      </c>
    </row>
    <row r="94" spans="1:12" ht="27">
      <c r="A94" s="3934" t="s">
        <v>3414</v>
      </c>
      <c r="B94" s="3141" t="s">
        <v>3415</v>
      </c>
      <c r="C94" s="3141">
        <v>1584.93</v>
      </c>
      <c r="D94" s="3144">
        <f>420/30</f>
        <v>14</v>
      </c>
      <c r="E94" s="3270" t="s">
        <v>3946</v>
      </c>
      <c r="F94" s="3144" t="s">
        <v>3244</v>
      </c>
      <c r="G94" s="3141" t="s">
        <v>3416</v>
      </c>
    </row>
    <row r="95" spans="1:12" ht="27">
      <c r="A95" s="3934"/>
      <c r="B95" s="3141" t="s">
        <v>3417</v>
      </c>
      <c r="C95" s="3141">
        <v>3336.23</v>
      </c>
      <c r="D95" s="3144">
        <f>420/30</f>
        <v>14</v>
      </c>
      <c r="E95" s="3270" t="s">
        <v>3945</v>
      </c>
      <c r="F95" s="3144" t="s">
        <v>3418</v>
      </c>
      <c r="G95" s="3141" t="s">
        <v>3419</v>
      </c>
    </row>
    <row r="96" spans="1:12" ht="27">
      <c r="A96" s="3934"/>
      <c r="B96" s="3141" t="s">
        <v>3420</v>
      </c>
      <c r="C96" s="3141">
        <v>928.34</v>
      </c>
      <c r="D96" s="3144">
        <f>770153.38/30/C96</f>
        <v>27.653423673797672</v>
      </c>
      <c r="E96" s="3270" t="s">
        <v>3958</v>
      </c>
      <c r="F96" s="3144" t="s">
        <v>3240</v>
      </c>
      <c r="G96" s="3141" t="s">
        <v>3422</v>
      </c>
      <c r="J96" s="3141" t="s">
        <v>3423</v>
      </c>
    </row>
    <row r="97" spans="1:17" ht="27">
      <c r="A97" s="3934"/>
      <c r="B97" s="3141" t="s">
        <v>3424</v>
      </c>
      <c r="C97" s="3141">
        <v>739.29</v>
      </c>
      <c r="D97" s="3144">
        <f>269840.85/30/C97</f>
        <v>12.166666666666666</v>
      </c>
      <c r="E97" s="3270" t="s">
        <v>3950</v>
      </c>
      <c r="F97" s="3144" t="s">
        <v>3418</v>
      </c>
      <c r="G97" s="3141" t="s">
        <v>3426</v>
      </c>
    </row>
    <row r="98" spans="1:17" ht="27">
      <c r="A98" s="3934"/>
      <c r="B98" s="3141" t="s">
        <v>3427</v>
      </c>
      <c r="C98" s="3141">
        <v>1441.69</v>
      </c>
      <c r="D98" s="3144">
        <f>1016811.41/30/C98</f>
        <v>23.509709900649007</v>
      </c>
      <c r="E98" s="3270" t="s">
        <v>3957</v>
      </c>
      <c r="F98" s="3144" t="s">
        <v>3240</v>
      </c>
      <c r="G98" s="3141" t="s">
        <v>3428</v>
      </c>
      <c r="J98" s="3141" t="s">
        <v>3423</v>
      </c>
      <c r="K98" s="3166" t="s">
        <v>4259</v>
      </c>
      <c r="L98" s="3141">
        <v>32000</v>
      </c>
    </row>
    <row r="99" spans="1:17" ht="27">
      <c r="A99" s="3934"/>
      <c r="B99" s="3142" t="s">
        <v>3429</v>
      </c>
      <c r="C99" s="3142">
        <v>1867.59</v>
      </c>
      <c r="D99" s="3143">
        <f>ROUND(709740.22/30/C99,1)</f>
        <v>12.7</v>
      </c>
      <c r="E99" s="3285" t="s">
        <v>3976</v>
      </c>
      <c r="F99" s="3143" t="s">
        <v>3244</v>
      </c>
      <c r="G99" s="3142" t="s">
        <v>3430</v>
      </c>
      <c r="H99" s="3156"/>
      <c r="I99" s="3142"/>
      <c r="J99" s="3142" t="s">
        <v>3423</v>
      </c>
      <c r="K99" s="3166" t="s">
        <v>4260</v>
      </c>
      <c r="L99" s="3141">
        <v>30000</v>
      </c>
    </row>
    <row r="100" spans="1:17" ht="27">
      <c r="A100" s="3934"/>
      <c r="B100" s="3162" t="s">
        <v>3431</v>
      </c>
      <c r="C100" s="3162">
        <v>979.75</v>
      </c>
      <c r="D100" s="3163">
        <f>386021.5/30/C100</f>
        <v>13.133333333333333</v>
      </c>
      <c r="E100" s="3275" t="s">
        <v>3950</v>
      </c>
      <c r="F100" s="3163" t="s">
        <v>3418</v>
      </c>
      <c r="G100" s="3162" t="s">
        <v>3432</v>
      </c>
      <c r="K100" s="3166" t="s">
        <v>4257</v>
      </c>
      <c r="L100" s="3141">
        <v>31000</v>
      </c>
    </row>
    <row r="101" spans="1:17" ht="27">
      <c r="A101" s="3934"/>
      <c r="B101" s="3141" t="s">
        <v>3433</v>
      </c>
      <c r="C101" s="3141">
        <v>300.16000000000003</v>
      </c>
      <c r="D101" s="3144">
        <f>570/30</f>
        <v>19</v>
      </c>
      <c r="E101" s="3270" t="s">
        <v>3947</v>
      </c>
      <c r="F101" s="3144" t="s">
        <v>3240</v>
      </c>
      <c r="G101" s="3141" t="s">
        <v>3434</v>
      </c>
      <c r="J101" s="3141" t="s">
        <v>3435</v>
      </c>
    </row>
    <row r="102" spans="1:17" ht="27">
      <c r="A102" s="3934"/>
      <c r="B102" s="3141" t="s">
        <v>3433</v>
      </c>
      <c r="C102" s="3141">
        <v>370.46</v>
      </c>
      <c r="D102" s="3144">
        <f>285/30</f>
        <v>9.5</v>
      </c>
      <c r="E102" s="3270" t="s">
        <v>3948</v>
      </c>
      <c r="F102" s="3144" t="s">
        <v>3240</v>
      </c>
      <c r="G102" s="3141" t="s">
        <v>3434</v>
      </c>
      <c r="J102" s="3141" t="s">
        <v>3435</v>
      </c>
    </row>
    <row r="103" spans="1:17" ht="27">
      <c r="A103" s="3934"/>
      <c r="B103" s="3166" t="s">
        <v>3949</v>
      </c>
      <c r="C103" s="3141">
        <f>684.27+354.21</f>
        <v>1038.48</v>
      </c>
      <c r="D103" s="3144">
        <f>285/30</f>
        <v>9.5</v>
      </c>
      <c r="E103" s="3270" t="s">
        <v>3950</v>
      </c>
      <c r="F103" s="3144" t="s">
        <v>3244</v>
      </c>
      <c r="G103" s="3166" t="s">
        <v>3951</v>
      </c>
      <c r="J103" s="3141" t="s">
        <v>3435</v>
      </c>
      <c r="K103" s="3166" t="s">
        <v>3955</v>
      </c>
      <c r="L103" s="3166" t="s">
        <v>3956</v>
      </c>
      <c r="M103" s="3302" t="s">
        <v>4272</v>
      </c>
      <c r="N103" s="3302" t="s">
        <v>4273</v>
      </c>
      <c r="O103" s="3302" t="s">
        <v>4274</v>
      </c>
      <c r="P103" s="3302" t="s">
        <v>4275</v>
      </c>
    </row>
    <row r="104" spans="1:17">
      <c r="A104" s="3928" t="s">
        <v>3436</v>
      </c>
      <c r="B104" s="3931">
        <v>2015</v>
      </c>
      <c r="C104" s="3141">
        <f>130195*J104</f>
        <v>128502.465</v>
      </c>
      <c r="D104" s="3144">
        <f>84885747/C104/30</f>
        <v>22.019226635068829</v>
      </c>
      <c r="E104" s="3270"/>
      <c r="F104" s="3144" t="s">
        <v>3240</v>
      </c>
      <c r="G104" s="3166"/>
      <c r="J104" s="3140">
        <v>0.98699999999999999</v>
      </c>
      <c r="K104" s="3166">
        <v>1475000</v>
      </c>
      <c r="L104" s="3140">
        <f>D104*365*C104/10000/K104</f>
        <v>7.001875176271187E-2</v>
      </c>
      <c r="M104" s="3141">
        <f>131560+309552+81603+116712</f>
        <v>639427</v>
      </c>
      <c r="N104" s="3141">
        <f>81203025+75995301+8832294+1920000</f>
        <v>167950620</v>
      </c>
      <c r="O104" s="3144">
        <f>14599000000+14832000000+2250000000+280000000</f>
        <v>31961000000</v>
      </c>
      <c r="P104" s="3140">
        <f>N104*12/O104</f>
        <v>6.3058334845593061E-2</v>
      </c>
      <c r="Q104" s="3141">
        <v>2016</v>
      </c>
    </row>
    <row r="105" spans="1:17">
      <c r="A105" s="3929"/>
      <c r="B105" s="3931"/>
      <c r="C105" s="3141">
        <f>309552*J105</f>
        <v>298098.576</v>
      </c>
      <c r="D105" s="3144">
        <f>79034872/30/C105</f>
        <v>8.8376662803425585</v>
      </c>
      <c r="E105" s="3270"/>
      <c r="F105" s="3144" t="s">
        <v>3244</v>
      </c>
      <c r="G105" s="3166"/>
      <c r="H105" s="3306" t="s">
        <v>4310</v>
      </c>
      <c r="I105" s="3166" t="s">
        <v>4311</v>
      </c>
      <c r="J105" s="3140">
        <v>0.96299999999999997</v>
      </c>
      <c r="K105" s="3166">
        <v>1493000</v>
      </c>
      <c r="L105" s="3140">
        <f t="shared" ref="L105" si="9">D105*365*C105/10000/K105</f>
        <v>6.4406627104264355E-2</v>
      </c>
      <c r="M105" s="3141">
        <f>131344+309768+95601+116712</f>
        <v>653425</v>
      </c>
      <c r="N105" s="3141">
        <f>77348096+84105462+10017834+1999326</f>
        <v>173470718</v>
      </c>
      <c r="O105" s="3144">
        <f>14370000000+14894000000+2560000000+287000000</f>
        <v>32111000000</v>
      </c>
      <c r="P105" s="3140">
        <f t="shared" ref="P105:P108" si="10">N105*12/O105</f>
        <v>6.4826651801563329E-2</v>
      </c>
      <c r="Q105" s="3141">
        <v>2017</v>
      </c>
    </row>
    <row r="106" spans="1:17">
      <c r="A106" s="3929"/>
      <c r="B106" s="3931"/>
      <c r="C106" s="3141">
        <v>116712</v>
      </c>
      <c r="D106" s="3301">
        <f>ROUND(1880000/E106,0)</f>
        <v>1017</v>
      </c>
      <c r="E106" s="3270" t="s">
        <v>3959</v>
      </c>
      <c r="F106" s="3144" t="s">
        <v>3884</v>
      </c>
      <c r="G106" s="3166"/>
      <c r="H106" s="3160"/>
      <c r="I106" s="3160">
        <f>SUMPRODUCT(C104:C106,L104:L106)/(C104+C105+C106)</f>
        <v>5.3341116513956309E-2</v>
      </c>
      <c r="K106" s="3166">
        <v>28000</v>
      </c>
      <c r="L106" s="3140">
        <f>D106*E106/10000/K106</f>
        <v>6.7158321428571425E-3</v>
      </c>
      <c r="M106" s="3141">
        <f>129775+309768+96968+116712</f>
        <v>653223</v>
      </c>
      <c r="N106" s="3141">
        <f>78670247+76217553+10274411+21212000</f>
        <v>186374211</v>
      </c>
      <c r="O106" s="3144">
        <f>14355000000+14973000000+2570000000+290000000</f>
        <v>32188000000</v>
      </c>
      <c r="P106" s="3140">
        <f t="shared" si="10"/>
        <v>6.948212166024606E-2</v>
      </c>
      <c r="Q106" s="3141">
        <v>2018</v>
      </c>
    </row>
    <row r="107" spans="1:17" ht="27">
      <c r="A107" s="3929"/>
      <c r="B107" s="3935">
        <v>2016</v>
      </c>
      <c r="C107" s="3276">
        <f>131560*J107</f>
        <v>131191.63199999998</v>
      </c>
      <c r="D107" s="3277">
        <f>81203025/C107/30</f>
        <v>20.632165777158718</v>
      </c>
      <c r="E107" s="3278"/>
      <c r="F107" s="3277" t="s">
        <v>3437</v>
      </c>
      <c r="G107" s="3276" t="s">
        <v>3438</v>
      </c>
      <c r="H107" s="3160">
        <f>(D107-D104)/D104</f>
        <v>-6.2993168692901058E-2</v>
      </c>
      <c r="I107" s="3157"/>
      <c r="J107" s="3279">
        <v>0.99719999999999998</v>
      </c>
      <c r="K107" s="3276">
        <v>1459900</v>
      </c>
      <c r="L107" s="3279">
        <f>D107*365*C107/10000/K107</f>
        <v>6.7673822693335176E-2</v>
      </c>
      <c r="M107" s="3141">
        <f>132584+309768+107722+118431</f>
        <v>668505</v>
      </c>
      <c r="N107" s="3141">
        <f>80043604+78667753+10356551+2088000</f>
        <v>171155908</v>
      </c>
      <c r="O107" s="3144">
        <f>14261000000+14891000000+2850000000+290000000</f>
        <v>32292000000</v>
      </c>
      <c r="P107" s="3140">
        <f t="shared" si="10"/>
        <v>6.3603087328130803E-2</v>
      </c>
      <c r="Q107" s="3141">
        <v>2019</v>
      </c>
    </row>
    <row r="108" spans="1:17" ht="27">
      <c r="A108" s="3929"/>
      <c r="B108" s="3935"/>
      <c r="C108" s="3276">
        <f>309552*J108</f>
        <v>294229.17599999998</v>
      </c>
      <c r="D108" s="3277">
        <f>73995301/30/C108</f>
        <v>8.3829553100924752</v>
      </c>
      <c r="E108" s="3278"/>
      <c r="F108" s="3277" t="s">
        <v>3418</v>
      </c>
      <c r="G108" s="3276" t="s">
        <v>3439</v>
      </c>
      <c r="H108" s="3160">
        <f>(D108-D105)/D105</f>
        <v>-5.1451475516957196E-2</v>
      </c>
      <c r="I108" s="3157"/>
      <c r="J108" s="3279">
        <v>0.95050000000000001</v>
      </c>
      <c r="K108" s="3276">
        <v>1483200</v>
      </c>
      <c r="L108" s="3279">
        <f t="shared" ref="L108" si="11">D108*365*C108/10000/K108</f>
        <v>6.0698230998291976E-2</v>
      </c>
      <c r="M108" s="3141">
        <f>132584+309768+111308</f>
        <v>553660</v>
      </c>
      <c r="N108" s="3141">
        <f>59500000+72840000+8790000</f>
        <v>141130000</v>
      </c>
      <c r="O108" s="3144">
        <f>13220000000+13995000000+272000000</f>
        <v>27487000000</v>
      </c>
      <c r="P108" s="3140">
        <f t="shared" si="10"/>
        <v>6.1613126205115144E-2</v>
      </c>
      <c r="Q108" s="3141">
        <v>2020</v>
      </c>
    </row>
    <row r="109" spans="1:17">
      <c r="A109" s="3929"/>
      <c r="B109" s="3935"/>
      <c r="C109" s="3276">
        <v>116712</v>
      </c>
      <c r="D109" s="3277">
        <f>ROUND(1920000/1849,0)</f>
        <v>1038</v>
      </c>
      <c r="E109" s="3280" t="s">
        <v>3954</v>
      </c>
      <c r="F109" s="3277" t="s">
        <v>3440</v>
      </c>
      <c r="G109" s="3276"/>
      <c r="H109" s="3160">
        <f>(D109-D106)/D106</f>
        <v>2.0648967551622419E-2</v>
      </c>
      <c r="I109" s="3160">
        <f>SUMPRODUCT(C107:C109,L107:L109)/(C107+C108+C109)</f>
        <v>5.0794625533453278E-2</v>
      </c>
      <c r="J109" s="3276">
        <v>1849</v>
      </c>
      <c r="K109" s="3276">
        <v>28000</v>
      </c>
      <c r="L109" s="3279">
        <f>D109*E109/10000/K109</f>
        <v>6.8545071428571429E-3</v>
      </c>
    </row>
    <row r="110" spans="1:17">
      <c r="A110" s="3929"/>
      <c r="B110" s="3927">
        <v>2017.6</v>
      </c>
      <c r="D110" s="3144">
        <f>1162/30</f>
        <v>38.733333333333334</v>
      </c>
      <c r="E110" s="3147"/>
      <c r="H110" s="3160"/>
      <c r="I110" s="3157"/>
      <c r="J110" s="3140">
        <v>0.97899999999999998</v>
      </c>
      <c r="L110" s="3140"/>
    </row>
    <row r="111" spans="1:17">
      <c r="A111" s="3929"/>
      <c r="B111" s="3927"/>
      <c r="D111" s="3144">
        <f>281/30</f>
        <v>9.3666666666666671</v>
      </c>
      <c r="E111" s="3147"/>
      <c r="H111" s="3160"/>
      <c r="I111" s="3157"/>
      <c r="J111" s="3140">
        <v>0.95199999999999996</v>
      </c>
      <c r="L111" s="3140"/>
    </row>
    <row r="112" spans="1:17">
      <c r="A112" s="3929"/>
      <c r="B112" s="3927"/>
      <c r="E112" s="3270"/>
      <c r="H112" s="3160"/>
      <c r="I112" s="3157"/>
      <c r="L112" s="3140"/>
    </row>
    <row r="113" spans="1:14" ht="27">
      <c r="A113" s="3929"/>
      <c r="B113" s="3935">
        <v>2017</v>
      </c>
      <c r="C113" s="3276">
        <f>131344*J113</f>
        <v>126221.584</v>
      </c>
      <c r="D113" s="3277">
        <f>77348096/30/C113</f>
        <v>20.426537086293155</v>
      </c>
      <c r="E113" s="3278"/>
      <c r="F113" s="3277" t="s">
        <v>3437</v>
      </c>
      <c r="G113" s="3276" t="s">
        <v>3441</v>
      </c>
      <c r="H113" s="3160">
        <f>(D113-D107)/D107</f>
        <v>-9.96641327364714E-3</v>
      </c>
      <c r="I113" s="3157"/>
      <c r="J113" s="3279">
        <v>0.96099999999999997</v>
      </c>
      <c r="K113" s="3276">
        <v>1437000</v>
      </c>
      <c r="L113" s="3279">
        <f>D113*365*C113/10000/K113</f>
        <v>6.5488413453955008E-2</v>
      </c>
    </row>
    <row r="114" spans="1:14" ht="27">
      <c r="A114" s="3929"/>
      <c r="B114" s="3935"/>
      <c r="C114" s="3276">
        <f>309768*J114</f>
        <v>297005.55839999998</v>
      </c>
      <c r="D114" s="3277">
        <f>84105462/30/C114</f>
        <v>9.4392691338937578</v>
      </c>
      <c r="E114" s="3278"/>
      <c r="F114" s="3277" t="s">
        <v>3418</v>
      </c>
      <c r="G114" s="3276" t="s">
        <v>3442</v>
      </c>
      <c r="H114" s="3160">
        <f>(D114-D108)/D108</f>
        <v>0.12600733091461871</v>
      </c>
      <c r="I114" s="3157"/>
      <c r="J114" s="3279">
        <v>0.95879999999999999</v>
      </c>
      <c r="K114" s="3276">
        <v>1489400</v>
      </c>
      <c r="L114" s="3279">
        <f t="shared" ref="L114" si="12">D114*365*C114/10000/K114</f>
        <v>6.8704385725795611E-2</v>
      </c>
      <c r="N114" s="3140"/>
    </row>
    <row r="115" spans="1:14">
      <c r="A115" s="3929"/>
      <c r="B115" s="3935"/>
      <c r="C115" s="3276">
        <v>116712</v>
      </c>
      <c r="D115" s="3277">
        <f>ROUND(1999326/1900,0)</f>
        <v>1052</v>
      </c>
      <c r="E115" s="3280" t="s">
        <v>3953</v>
      </c>
      <c r="F115" s="3277" t="s">
        <v>3884</v>
      </c>
      <c r="G115" s="3276"/>
      <c r="H115" s="3160">
        <f t="shared" ref="H115" si="13">(D115-D109)/D109</f>
        <v>1.348747591522158E-2</v>
      </c>
      <c r="I115" s="3160">
        <f>SUMPRODUCT(C113:C115,L113:L115)/(C113+C114+C115)</f>
        <v>5.4607027827532413E-2</v>
      </c>
      <c r="J115" s="3276">
        <v>1900</v>
      </c>
      <c r="K115" s="3276">
        <v>28700</v>
      </c>
      <c r="L115" s="3279">
        <f>D115*E115/10000/K115</f>
        <v>6.9644599303135884E-3</v>
      </c>
    </row>
    <row r="116" spans="1:14">
      <c r="A116" s="3929"/>
      <c r="B116" s="3927">
        <v>2018</v>
      </c>
      <c r="C116" s="3141">
        <f>129775*J116</f>
        <v>128477.25</v>
      </c>
      <c r="D116" s="3144">
        <f>78670247/C116/30</f>
        <v>20.410940977228783</v>
      </c>
      <c r="E116" s="3147"/>
      <c r="F116" s="3144" t="s">
        <v>3240</v>
      </c>
      <c r="H116" s="3160">
        <f t="shared" ref="H116:H124" si="14">(D116-D113)/D113</f>
        <v>-7.6352193220443709E-4</v>
      </c>
      <c r="I116" s="3157"/>
      <c r="J116" s="3140">
        <v>0.99</v>
      </c>
      <c r="K116" s="3141">
        <v>1435500</v>
      </c>
      <c r="L116" s="3140">
        <f>D116*365*C116/10000/K116</f>
        <v>6.6677441437362137E-2</v>
      </c>
    </row>
    <row r="117" spans="1:14">
      <c r="A117" s="3929"/>
      <c r="B117" s="3927"/>
      <c r="C117" s="3141">
        <f>309768*J117</f>
        <v>296447.97599999997</v>
      </c>
      <c r="D117" s="3144">
        <f>86217553/30/C117</f>
        <v>9.6945119076587432</v>
      </c>
      <c r="E117" s="3147"/>
      <c r="F117" s="3144" t="s">
        <v>3244</v>
      </c>
      <c r="H117" s="3160">
        <f t="shared" si="14"/>
        <v>2.7040522962575614E-2</v>
      </c>
      <c r="I117" s="3157"/>
      <c r="J117" s="3140">
        <v>0.95699999999999996</v>
      </c>
      <c r="K117" s="3141">
        <v>1497300</v>
      </c>
      <c r="L117" s="3140">
        <f t="shared" ref="L117" si="15">D117*365*C117/10000/K117</f>
        <v>7.0058119826799339E-2</v>
      </c>
    </row>
    <row r="118" spans="1:14">
      <c r="A118" s="3929"/>
      <c r="B118" s="3927"/>
      <c r="C118" s="3141">
        <v>116712</v>
      </c>
      <c r="D118" s="3362">
        <f>2121000/E118</f>
        <v>1178.3333333333333</v>
      </c>
      <c r="E118" s="3270" t="s">
        <v>4071</v>
      </c>
      <c r="F118" s="3144" t="s">
        <v>3313</v>
      </c>
      <c r="H118" s="3160">
        <f t="shared" si="14"/>
        <v>0.12008871989860576</v>
      </c>
      <c r="I118" s="3160">
        <f>SUMPRODUCT(C116:C118,L116:L118)/(C116+C117+C118)</f>
        <v>5.5736068551939077E-2</v>
      </c>
      <c r="J118" s="3141">
        <v>1800</v>
      </c>
      <c r="K118" s="3141">
        <v>29000</v>
      </c>
      <c r="L118" s="3140">
        <f>D118*E118/10000/K118</f>
        <v>7.3137931034482758E-3</v>
      </c>
    </row>
    <row r="119" spans="1:14" ht="27">
      <c r="A119" s="3929"/>
      <c r="B119" s="3935">
        <v>2019</v>
      </c>
      <c r="C119" s="3276">
        <f>ROUND(70913*132584/71322,2)</f>
        <v>131823.69</v>
      </c>
      <c r="D119" s="3277">
        <f>80043604/30/C119</f>
        <v>20.240065600753045</v>
      </c>
      <c r="E119" s="3278"/>
      <c r="F119" s="3277" t="s">
        <v>3240</v>
      </c>
      <c r="G119" s="3276" t="s">
        <v>3443</v>
      </c>
      <c r="H119" s="3160">
        <f t="shared" si="14"/>
        <v>-8.3717539855890661E-3</v>
      </c>
      <c r="I119" s="3157"/>
      <c r="J119" s="3279">
        <v>0.99399999999999999</v>
      </c>
      <c r="K119" s="3276">
        <v>1426100</v>
      </c>
      <c r="L119" s="3279">
        <f>D119*365*C119/10000/K119</f>
        <v>6.8288608699717174E-2</v>
      </c>
    </row>
    <row r="120" spans="1:14" ht="27">
      <c r="A120" s="3929"/>
      <c r="B120" s="3935"/>
      <c r="C120" s="3276">
        <v>265218</v>
      </c>
      <c r="D120" s="3277">
        <v>9.8800000000000008</v>
      </c>
      <c r="E120" s="3278"/>
      <c r="F120" s="3277" t="s">
        <v>3244</v>
      </c>
      <c r="G120" s="3276" t="s">
        <v>3444</v>
      </c>
      <c r="H120" s="3160">
        <f t="shared" si="14"/>
        <v>1.9133309042069516E-2</v>
      </c>
      <c r="I120" s="3157"/>
      <c r="J120" s="3279">
        <v>0.85599999999999998</v>
      </c>
      <c r="K120" s="3276">
        <v>1489100</v>
      </c>
      <c r="L120" s="3279">
        <f t="shared" ref="L120" si="16">D120*365*C120/10000/K120</f>
        <v>6.4228671788328529E-2</v>
      </c>
    </row>
    <row r="121" spans="1:14">
      <c r="A121" s="3929"/>
      <c r="B121" s="3935"/>
      <c r="C121" s="3276">
        <v>118431</v>
      </c>
      <c r="D121" s="3277">
        <v>1160</v>
      </c>
      <c r="E121" s="3280" t="s">
        <v>3952</v>
      </c>
      <c r="F121" s="3277" t="s">
        <v>3313</v>
      </c>
      <c r="G121" s="3276"/>
      <c r="H121" s="3160">
        <f t="shared" si="14"/>
        <v>-1.5558698727015496E-2</v>
      </c>
      <c r="I121" s="3160">
        <f>SUMPRODUCT(C119:C121,L119:L121)/(C119+C120+C121)</f>
        <v>5.2164469582510253E-2</v>
      </c>
      <c r="J121" s="3276"/>
      <c r="K121" s="3276">
        <v>29000</v>
      </c>
      <c r="L121" s="3279">
        <f>D121*E121/10000/K121</f>
        <v>7.2000000000000007E-3</v>
      </c>
    </row>
    <row r="122" spans="1:14" ht="27">
      <c r="A122" s="3929"/>
      <c r="B122" s="3927">
        <v>2020</v>
      </c>
      <c r="C122" s="3141">
        <f>132584*J122</f>
        <v>121314.36</v>
      </c>
      <c r="D122" s="3144">
        <f>59500000/30/C122</f>
        <v>16.348710353278321</v>
      </c>
      <c r="E122" s="3147"/>
      <c r="F122" s="3144" t="s">
        <v>3437</v>
      </c>
      <c r="G122" s="3141" t="s">
        <v>3445</v>
      </c>
      <c r="H122" s="3160">
        <f t="shared" si="14"/>
        <v>-0.19226001161428763</v>
      </c>
      <c r="I122" s="3157"/>
      <c r="J122" s="3140">
        <v>0.91500000000000004</v>
      </c>
      <c r="K122" s="3141">
        <v>1322000</v>
      </c>
      <c r="L122" s="3140">
        <f>D122*365*C122/10000/K122</f>
        <v>5.4759203227433183E-2</v>
      </c>
    </row>
    <row r="123" spans="1:14" ht="27">
      <c r="A123" s="3929"/>
      <c r="B123" s="3927"/>
      <c r="C123" s="3141">
        <f>309768*J123</f>
        <v>269498.15999999997</v>
      </c>
      <c r="D123" s="3144">
        <f>72840000/30/C123</f>
        <v>9.0093379487266265</v>
      </c>
      <c r="E123" s="3147"/>
      <c r="F123" s="3144" t="s">
        <v>3418</v>
      </c>
      <c r="G123" s="3141" t="s">
        <v>3446</v>
      </c>
      <c r="H123" s="3160">
        <f t="shared" si="14"/>
        <v>-8.8123689400139094E-2</v>
      </c>
      <c r="I123" s="3157"/>
      <c r="J123" s="3153">
        <v>0.87</v>
      </c>
      <c r="K123" s="3141">
        <v>1399500</v>
      </c>
      <c r="L123" s="3140">
        <f t="shared" ref="L123" si="17">D123*365*C123/10000/K123</f>
        <v>6.332404430153625E-2</v>
      </c>
    </row>
    <row r="124" spans="1:14">
      <c r="A124" s="3930"/>
      <c r="B124" s="3927"/>
      <c r="C124" s="3141">
        <v>118431</v>
      </c>
      <c r="D124" s="3144">
        <f>ROUND(1830000/J124,0)</f>
        <v>1017</v>
      </c>
      <c r="E124" s="3270" t="s">
        <v>3952</v>
      </c>
      <c r="F124" s="3144" t="s">
        <v>3313</v>
      </c>
      <c r="H124" s="3160">
        <f t="shared" si="14"/>
        <v>-0.12327586206896551</v>
      </c>
      <c r="I124" s="3160">
        <f>SUMPRODUCT(C122:C124,L122:L124)/(C122+C123+C124)</f>
        <v>4.8099380031587397E-2</v>
      </c>
      <c r="J124" s="3141">
        <v>1800</v>
      </c>
      <c r="K124" s="3141">
        <v>27600</v>
      </c>
      <c r="L124" s="3140">
        <f>D124*E124/10000/K124</f>
        <v>6.6326086956521738E-3</v>
      </c>
    </row>
    <row r="125" spans="1:14" ht="27">
      <c r="A125" s="3934" t="s">
        <v>3447</v>
      </c>
      <c r="B125" s="3141" t="s">
        <v>3448</v>
      </c>
      <c r="C125" s="3141">
        <v>291.27999999999997</v>
      </c>
      <c r="D125" s="3144">
        <v>10</v>
      </c>
      <c r="E125" s="3147" t="s">
        <v>3449</v>
      </c>
      <c r="F125" s="3144" t="s">
        <v>3418</v>
      </c>
      <c r="G125" s="3141" t="s">
        <v>3450</v>
      </c>
      <c r="K125" s="3141">
        <f>29625307/92475</f>
        <v>320.36017301973504</v>
      </c>
    </row>
    <row r="126" spans="1:14" ht="27">
      <c r="A126" s="3934"/>
      <c r="B126" s="3141" t="s">
        <v>3451</v>
      </c>
      <c r="C126" s="3141">
        <v>1154.26</v>
      </c>
      <c r="D126" s="3144">
        <v>9</v>
      </c>
      <c r="E126" s="3147" t="s">
        <v>3452</v>
      </c>
      <c r="F126" s="3144" t="s">
        <v>3418</v>
      </c>
      <c r="G126" s="3141" t="s">
        <v>3453</v>
      </c>
    </row>
    <row r="127" spans="1:14" ht="27">
      <c r="A127" s="3934"/>
      <c r="B127" s="3141" t="s">
        <v>3454</v>
      </c>
      <c r="C127" s="3141">
        <v>1047.92</v>
      </c>
      <c r="D127" s="3144">
        <v>9</v>
      </c>
      <c r="E127" s="3147" t="s">
        <v>3455</v>
      </c>
      <c r="F127" s="3144" t="s">
        <v>3418</v>
      </c>
      <c r="G127" s="3141" t="s">
        <v>3456</v>
      </c>
    </row>
    <row r="128" spans="1:14" ht="27">
      <c r="A128" s="3934"/>
      <c r="B128" s="3141" t="s">
        <v>3448</v>
      </c>
      <c r="C128" s="3141">
        <v>1513.52</v>
      </c>
      <c r="D128" s="3144">
        <f>285/30</f>
        <v>9.5</v>
      </c>
      <c r="E128" s="3147" t="s">
        <v>3425</v>
      </c>
      <c r="F128" s="3144" t="s">
        <v>3418</v>
      </c>
      <c r="G128" s="3141" t="s">
        <v>3450</v>
      </c>
    </row>
    <row r="129" spans="1:15" ht="27">
      <c r="A129" s="3934"/>
      <c r="B129" s="3141" t="s">
        <v>3457</v>
      </c>
      <c r="C129" s="3141">
        <v>83.71</v>
      </c>
      <c r="D129" s="3144">
        <f>456.25/30</f>
        <v>15.208333333333334</v>
      </c>
      <c r="E129" s="3147" t="s">
        <v>3458</v>
      </c>
      <c r="F129" s="3144" t="s">
        <v>3437</v>
      </c>
      <c r="G129" s="3141" t="s">
        <v>3459</v>
      </c>
    </row>
    <row r="130" spans="1:15" ht="27">
      <c r="A130" s="3934"/>
      <c r="B130" s="3138" t="s">
        <v>3448</v>
      </c>
      <c r="C130" s="3138">
        <v>170</v>
      </c>
      <c r="D130" s="3139">
        <f>D129</f>
        <v>15.208333333333334</v>
      </c>
      <c r="E130" s="3146" t="s">
        <v>3458</v>
      </c>
      <c r="F130" s="3139" t="s">
        <v>3437</v>
      </c>
      <c r="G130" s="3138" t="s">
        <v>3460</v>
      </c>
    </row>
    <row r="131" spans="1:15" ht="27">
      <c r="A131" s="3932" t="s">
        <v>3464</v>
      </c>
      <c r="B131" s="3141" t="s">
        <v>3465</v>
      </c>
      <c r="C131" s="3141">
        <v>122.88</v>
      </c>
      <c r="D131" s="3144">
        <v>5.39</v>
      </c>
      <c r="E131" s="3147" t="s">
        <v>3466</v>
      </c>
      <c r="F131" s="3144" t="s">
        <v>3244</v>
      </c>
      <c r="G131" s="3141" t="s">
        <v>3467</v>
      </c>
      <c r="O131" s="3141"/>
    </row>
    <row r="132" spans="1:15" ht="27">
      <c r="A132" s="3932"/>
      <c r="B132" s="3141" t="s">
        <v>3468</v>
      </c>
      <c r="C132" s="3141">
        <v>637.26</v>
      </c>
      <c r="D132" s="3144">
        <v>5.39</v>
      </c>
      <c r="E132" s="3147" t="s">
        <v>3466</v>
      </c>
      <c r="F132" s="3144" t="s">
        <v>3244</v>
      </c>
      <c r="G132" s="3141" t="s">
        <v>3469</v>
      </c>
      <c r="O132" s="3141"/>
    </row>
    <row r="133" spans="1:15" ht="27">
      <c r="A133" s="3932"/>
      <c r="B133" s="3141" t="s">
        <v>3470</v>
      </c>
      <c r="C133" s="3141">
        <v>305.88</v>
      </c>
      <c r="D133" s="3144">
        <v>5.08</v>
      </c>
      <c r="E133" s="3147" t="s">
        <v>3471</v>
      </c>
      <c r="F133" s="3144" t="s">
        <v>3244</v>
      </c>
      <c r="G133" s="3141" t="s">
        <v>3472</v>
      </c>
      <c r="O133" s="3141"/>
    </row>
    <row r="134" spans="1:15" ht="40.5">
      <c r="A134" s="3926" t="s">
        <v>3960</v>
      </c>
      <c r="B134" s="3166" t="s">
        <v>3924</v>
      </c>
      <c r="C134" s="3141">
        <v>3589.42</v>
      </c>
      <c r="D134" s="3144">
        <f>(118450.86+381549.14)/30/C134</f>
        <v>4.6432757009953329</v>
      </c>
      <c r="E134" s="3270" t="s">
        <v>3921</v>
      </c>
      <c r="F134" s="3144" t="s">
        <v>3882</v>
      </c>
      <c r="G134" s="3166" t="s">
        <v>3929</v>
      </c>
      <c r="J134" s="3166" t="s">
        <v>3925</v>
      </c>
      <c r="K134" s="3166" t="s">
        <v>3933</v>
      </c>
      <c r="O134" s="3141"/>
    </row>
    <row r="135" spans="1:15" s="3243" customFormat="1" ht="67.5">
      <c r="A135" s="3901"/>
      <c r="B135" s="3243" t="s">
        <v>3515</v>
      </c>
      <c r="C135" s="3243">
        <v>1410.95</v>
      </c>
      <c r="D135" s="3181">
        <v>9</v>
      </c>
      <c r="E135" s="3243" t="s">
        <v>3516</v>
      </c>
      <c r="F135" s="3181" t="s">
        <v>3240</v>
      </c>
      <c r="G135" s="3243" t="s">
        <v>3517</v>
      </c>
      <c r="H135" s="3182" t="s">
        <v>3518</v>
      </c>
      <c r="I135" s="3243" t="s">
        <v>3519</v>
      </c>
      <c r="J135" s="3274" t="s">
        <v>3927</v>
      </c>
    </row>
    <row r="136" spans="1:15" s="3243" customFormat="1" ht="27">
      <c r="A136" s="3901"/>
      <c r="B136" s="3243" t="s">
        <v>3424</v>
      </c>
      <c r="C136" s="3243">
        <v>231.34</v>
      </c>
      <c r="D136" s="3181">
        <v>33.46</v>
      </c>
      <c r="E136" s="3243">
        <v>1</v>
      </c>
      <c r="F136" s="3181" t="s">
        <v>3240</v>
      </c>
      <c r="G136" s="3243" t="s">
        <v>3509</v>
      </c>
      <c r="H136" s="3182" t="s">
        <v>3507</v>
      </c>
      <c r="I136" s="3243" t="s">
        <v>3510</v>
      </c>
    </row>
    <row r="137" spans="1:15" s="3243" customFormat="1" ht="27">
      <c r="A137" s="3901"/>
      <c r="B137" s="3243" t="s">
        <v>3424</v>
      </c>
      <c r="C137" s="3243">
        <v>2402.0500000000002</v>
      </c>
      <c r="D137" s="3181">
        <v>5.9</v>
      </c>
      <c r="E137" s="3243" t="s">
        <v>3516</v>
      </c>
      <c r="F137" s="3181" t="s">
        <v>3240</v>
      </c>
      <c r="G137" s="3243" t="s">
        <v>3520</v>
      </c>
      <c r="H137" s="3182" t="s">
        <v>3507</v>
      </c>
      <c r="I137" s="3243" t="s">
        <v>3521</v>
      </c>
      <c r="J137" s="3274" t="s">
        <v>3928</v>
      </c>
      <c r="K137" s="3274" t="s">
        <v>3931</v>
      </c>
    </row>
    <row r="138" spans="1:15" s="3243" customFormat="1" ht="27">
      <c r="A138" s="3901"/>
      <c r="B138" s="3243" t="s">
        <v>3534</v>
      </c>
      <c r="C138" s="3243">
        <v>197.05</v>
      </c>
      <c r="D138" s="3181">
        <v>25.07</v>
      </c>
      <c r="E138" s="3243">
        <v>1</v>
      </c>
      <c r="F138" s="3181" t="s">
        <v>3240</v>
      </c>
      <c r="G138" s="3243" t="s">
        <v>3535</v>
      </c>
      <c r="H138" s="3182" t="s">
        <v>3507</v>
      </c>
      <c r="I138" s="3243" t="s">
        <v>3536</v>
      </c>
      <c r="J138" s="3901" t="s">
        <v>3943</v>
      </c>
      <c r="K138" s="3901" t="s">
        <v>3944</v>
      </c>
    </row>
    <row r="139" spans="1:15" s="3243" customFormat="1" ht="27">
      <c r="A139" s="3901"/>
      <c r="B139" s="3243" t="s">
        <v>3534</v>
      </c>
      <c r="C139" s="3243">
        <v>191.84</v>
      </c>
      <c r="D139" s="3181">
        <v>20</v>
      </c>
      <c r="E139" s="3243">
        <v>2</v>
      </c>
      <c r="F139" s="3181" t="s">
        <v>3240</v>
      </c>
      <c r="G139" s="3243" t="s">
        <v>3535</v>
      </c>
      <c r="H139" s="3182" t="s">
        <v>3507</v>
      </c>
      <c r="I139" s="3243" t="s">
        <v>3536</v>
      </c>
      <c r="J139" s="3901"/>
      <c r="K139" s="3927"/>
    </row>
    <row r="140" spans="1:15" s="3243" customFormat="1" ht="27">
      <c r="A140" s="3901"/>
      <c r="B140" s="3243" t="s">
        <v>3303</v>
      </c>
      <c r="C140" s="3243">
        <v>213.76</v>
      </c>
      <c r="D140" s="3181">
        <v>30</v>
      </c>
      <c r="E140" s="3243">
        <v>1</v>
      </c>
      <c r="F140" s="3181" t="s">
        <v>3240</v>
      </c>
      <c r="G140" s="3243" t="s">
        <v>3506</v>
      </c>
      <c r="H140" s="3182" t="s">
        <v>3507</v>
      </c>
      <c r="I140" s="3243" t="s">
        <v>3508</v>
      </c>
      <c r="J140" s="3274" t="s">
        <v>3926</v>
      </c>
      <c r="K140" s="3274" t="s">
        <v>3922</v>
      </c>
    </row>
    <row r="141" spans="1:15" s="3243" customFormat="1" ht="27">
      <c r="A141" s="3901"/>
      <c r="B141" s="3243" t="s">
        <v>3291</v>
      </c>
      <c r="C141" s="3243">
        <v>1796.03</v>
      </c>
      <c r="D141" s="3181">
        <v>11.81</v>
      </c>
      <c r="E141" s="3243" t="s">
        <v>3512</v>
      </c>
      <c r="F141" s="3181" t="s">
        <v>3240</v>
      </c>
      <c r="G141" s="3243" t="s">
        <v>3513</v>
      </c>
      <c r="H141" s="3182" t="s">
        <v>3507</v>
      </c>
      <c r="I141" s="3243" t="s">
        <v>3514</v>
      </c>
    </row>
    <row r="142" spans="1:15" s="3243" customFormat="1" ht="27">
      <c r="A142" s="3901"/>
      <c r="B142" s="3180" t="s">
        <v>3291</v>
      </c>
      <c r="C142" s="3180">
        <v>3252.22</v>
      </c>
      <c r="D142" s="3181">
        <v>7.18</v>
      </c>
      <c r="E142" s="3180">
        <v>-1</v>
      </c>
      <c r="F142" s="3181" t="s">
        <v>3240</v>
      </c>
      <c r="G142" s="3180" t="s">
        <v>3513</v>
      </c>
      <c r="H142" s="3182" t="s">
        <v>3507</v>
      </c>
      <c r="I142" s="3180" t="s">
        <v>3526</v>
      </c>
      <c r="J142" s="3274" t="s">
        <v>3930</v>
      </c>
      <c r="K142" s="3274" t="s">
        <v>3936</v>
      </c>
    </row>
    <row r="143" spans="1:15" s="3243" customFormat="1" ht="27">
      <c r="A143" s="3901"/>
      <c r="B143" s="3180" t="s">
        <v>3527</v>
      </c>
      <c r="C143" s="3180">
        <v>189.52</v>
      </c>
      <c r="D143" s="3181">
        <v>21.04</v>
      </c>
      <c r="E143" s="3180">
        <v>1</v>
      </c>
      <c r="F143" s="3181" t="s">
        <v>3240</v>
      </c>
      <c r="G143" s="3180" t="s">
        <v>3528</v>
      </c>
      <c r="H143" s="3182" t="s">
        <v>3507</v>
      </c>
      <c r="I143" s="3180"/>
      <c r="J143" s="3274" t="s">
        <v>3937</v>
      </c>
      <c r="K143" s="3274" t="s">
        <v>3938</v>
      </c>
    </row>
    <row r="144" spans="1:15" s="3243" customFormat="1" ht="27">
      <c r="A144" s="3901"/>
      <c r="B144" s="3180" t="s">
        <v>3527</v>
      </c>
      <c r="C144" s="3180">
        <v>302.81</v>
      </c>
      <c r="D144" s="3181">
        <v>22.5</v>
      </c>
      <c r="E144" s="3180" t="s">
        <v>3421</v>
      </c>
      <c r="F144" s="3181" t="s">
        <v>3240</v>
      </c>
      <c r="G144" s="3180" t="s">
        <v>3533</v>
      </c>
      <c r="H144" s="3182" t="s">
        <v>3507</v>
      </c>
      <c r="I144" s="3180"/>
      <c r="J144" s="3274" t="s">
        <v>3942</v>
      </c>
      <c r="K144" s="3274" t="s">
        <v>3941</v>
      </c>
    </row>
    <row r="145" spans="1:11" s="3243" customFormat="1" ht="27">
      <c r="A145" s="3901"/>
      <c r="B145" s="3281" t="s">
        <v>3427</v>
      </c>
      <c r="C145" s="3281">
        <v>381.99</v>
      </c>
      <c r="D145" s="3282">
        <v>20.58</v>
      </c>
      <c r="E145" s="3281">
        <v>1</v>
      </c>
      <c r="F145" s="3282" t="s">
        <v>3240</v>
      </c>
      <c r="G145" s="3281" t="s">
        <v>3511</v>
      </c>
      <c r="H145" s="3283" t="s">
        <v>3507</v>
      </c>
      <c r="I145" s="3281"/>
      <c r="J145" s="3284" t="s">
        <v>3923</v>
      </c>
      <c r="K145" s="3284" t="s">
        <v>3932</v>
      </c>
    </row>
    <row r="146" spans="1:11" s="3243" customFormat="1" ht="27">
      <c r="A146" s="3901"/>
      <c r="B146" s="3180" t="s">
        <v>3529</v>
      </c>
      <c r="C146" s="3180">
        <v>500.98</v>
      </c>
      <c r="D146" s="3181">
        <f>16.39-0.82</f>
        <v>15.57</v>
      </c>
      <c r="E146" s="3180" t="s">
        <v>3512</v>
      </c>
      <c r="F146" s="3181" t="s">
        <v>3240</v>
      </c>
      <c r="G146" s="3180" t="s">
        <v>3530</v>
      </c>
      <c r="H146" s="3182" t="s">
        <v>3507</v>
      </c>
      <c r="I146" s="3180"/>
      <c r="J146" s="3274" t="s">
        <v>3930</v>
      </c>
      <c r="K146" s="3274" t="s">
        <v>3939</v>
      </c>
    </row>
    <row r="147" spans="1:11" s="3243" customFormat="1" ht="27">
      <c r="A147" s="3901"/>
      <c r="B147" s="3180" t="s">
        <v>3531</v>
      </c>
      <c r="C147" s="3180">
        <v>207.99</v>
      </c>
      <c r="D147" s="3181">
        <f>26.02-1.3</f>
        <v>24.72</v>
      </c>
      <c r="E147" s="3180" t="s">
        <v>3421</v>
      </c>
      <c r="F147" s="3181" t="s">
        <v>3240</v>
      </c>
      <c r="G147" s="3180" t="s">
        <v>3532</v>
      </c>
      <c r="H147" s="3182" t="s">
        <v>3507</v>
      </c>
      <c r="I147" s="3180"/>
      <c r="J147" s="3274" t="s">
        <v>3940</v>
      </c>
      <c r="K147" s="3274" t="s">
        <v>3941</v>
      </c>
    </row>
    <row r="148" spans="1:11" s="3180" customFormat="1" ht="27">
      <c r="A148" s="3901"/>
      <c r="B148" s="3180" t="s">
        <v>3523</v>
      </c>
      <c r="C148" s="3180">
        <v>1096.76</v>
      </c>
      <c r="D148" s="3181">
        <v>7</v>
      </c>
      <c r="E148" s="3180" t="s">
        <v>3516</v>
      </c>
      <c r="F148" s="3181" t="s">
        <v>3240</v>
      </c>
      <c r="G148" s="3180" t="s">
        <v>3524</v>
      </c>
      <c r="H148" s="3182" t="s">
        <v>3507</v>
      </c>
      <c r="I148" s="3180" t="s">
        <v>3525</v>
      </c>
      <c r="J148" s="3274" t="s">
        <v>3934</v>
      </c>
      <c r="K148" s="3274" t="s">
        <v>3935</v>
      </c>
    </row>
    <row r="149" spans="1:11" s="3180" customFormat="1" ht="27">
      <c r="A149" s="3901"/>
      <c r="B149" s="3180" t="s">
        <v>3370</v>
      </c>
      <c r="C149" s="3180">
        <v>151.72</v>
      </c>
      <c r="D149" s="3181">
        <f>27.14-1.36</f>
        <v>25.78</v>
      </c>
      <c r="E149" s="3180">
        <v>1</v>
      </c>
      <c r="F149" s="3181" t="s">
        <v>3240</v>
      </c>
      <c r="G149" s="3180" t="s">
        <v>3522</v>
      </c>
      <c r="H149" s="3182"/>
    </row>
    <row r="150" spans="1:11" s="3180" customFormat="1" ht="27">
      <c r="A150" s="3927" t="s">
        <v>3537</v>
      </c>
      <c r="B150" s="3180" t="s">
        <v>3311</v>
      </c>
      <c r="D150" s="3181">
        <v>1200</v>
      </c>
      <c r="F150" s="3181" t="s">
        <v>3313</v>
      </c>
      <c r="G150" s="3180" t="s">
        <v>3538</v>
      </c>
      <c r="H150" s="3182" t="s">
        <v>3539</v>
      </c>
    </row>
    <row r="151" spans="1:11" s="3180" customFormat="1" ht="27">
      <c r="A151" s="3927"/>
      <c r="B151" s="3180" t="s">
        <v>3540</v>
      </c>
      <c r="D151" s="3181">
        <v>1080</v>
      </c>
      <c r="F151" s="3181" t="s">
        <v>3313</v>
      </c>
      <c r="G151" s="3180" t="s">
        <v>3541</v>
      </c>
      <c r="H151" s="3182" t="s">
        <v>3539</v>
      </c>
    </row>
    <row r="152" spans="1:11" s="3180" customFormat="1" ht="27">
      <c r="A152" s="3927"/>
      <c r="B152" s="3180" t="s">
        <v>3542</v>
      </c>
      <c r="D152" s="3181">
        <v>1200</v>
      </c>
      <c r="F152" s="3181" t="s">
        <v>3313</v>
      </c>
      <c r="G152" s="3180" t="s">
        <v>3543</v>
      </c>
      <c r="H152" s="3182" t="s">
        <v>3539</v>
      </c>
    </row>
    <row r="153" spans="1:11" s="3180" customFormat="1" ht="27">
      <c r="A153" s="3927"/>
      <c r="B153" s="3180" t="s">
        <v>3258</v>
      </c>
      <c r="D153" s="3181">
        <v>1200</v>
      </c>
      <c r="F153" s="3181" t="s">
        <v>3313</v>
      </c>
      <c r="G153" s="3180" t="s">
        <v>3544</v>
      </c>
      <c r="H153" s="3182" t="s">
        <v>3539</v>
      </c>
    </row>
    <row r="154" spans="1:11" s="3180" customFormat="1" ht="27">
      <c r="A154" s="3927"/>
      <c r="B154" s="3180" t="s">
        <v>3545</v>
      </c>
      <c r="D154" s="3181">
        <v>1200</v>
      </c>
      <c r="F154" s="3181" t="s">
        <v>3313</v>
      </c>
      <c r="G154" s="3180" t="s">
        <v>3546</v>
      </c>
      <c r="H154" s="3182" t="s">
        <v>3539</v>
      </c>
    </row>
    <row r="155" spans="1:11" s="3180" customFormat="1" ht="27">
      <c r="A155" s="3927"/>
      <c r="B155" s="3180" t="s">
        <v>3547</v>
      </c>
      <c r="D155" s="3181">
        <v>1200</v>
      </c>
      <c r="F155" s="3181" t="s">
        <v>3313</v>
      </c>
      <c r="G155" s="3180" t="s">
        <v>3548</v>
      </c>
      <c r="H155" s="3182" t="s">
        <v>3539</v>
      </c>
    </row>
    <row r="156" spans="1:11" s="3180" customFormat="1" ht="27">
      <c r="A156" s="3927"/>
      <c r="B156" s="3180" t="s">
        <v>3549</v>
      </c>
      <c r="D156" s="3181">
        <v>1200</v>
      </c>
      <c r="F156" s="3181" t="s">
        <v>3313</v>
      </c>
      <c r="G156" s="3180" t="s">
        <v>3550</v>
      </c>
      <c r="H156" s="3182" t="s">
        <v>3539</v>
      </c>
    </row>
    <row r="157" spans="1:11" s="3180" customFormat="1" ht="27">
      <c r="A157" s="3927"/>
      <c r="B157" s="3180" t="s">
        <v>3551</v>
      </c>
      <c r="C157" s="3180">
        <v>1000.86</v>
      </c>
      <c r="D157" s="3181">
        <v>7</v>
      </c>
      <c r="E157" s="3180">
        <v>13</v>
      </c>
      <c r="F157" s="3181" t="s">
        <v>3244</v>
      </c>
      <c r="G157" s="3180" t="s">
        <v>3552</v>
      </c>
      <c r="H157" s="3182" t="s">
        <v>3553</v>
      </c>
    </row>
    <row r="158" spans="1:11" s="3180" customFormat="1" ht="27">
      <c r="A158" s="3927"/>
      <c r="B158" s="3180" t="s">
        <v>3554</v>
      </c>
      <c r="C158" s="3180">
        <v>2026.24</v>
      </c>
      <c r="D158" s="3181">
        <v>10</v>
      </c>
      <c r="E158" s="3180">
        <v>21</v>
      </c>
      <c r="F158" s="3181" t="s">
        <v>3244</v>
      </c>
      <c r="G158" s="3180" t="s">
        <v>3555</v>
      </c>
      <c r="H158" s="3182" t="s">
        <v>3553</v>
      </c>
    </row>
  </sheetData>
  <autoFilter ref="A1:R130" xr:uid="{00000000-0009-0000-0000-00002B000000}"/>
  <mergeCells count="29">
    <mergeCell ref="A42:A43"/>
    <mergeCell ref="A64:A75"/>
    <mergeCell ref="A2:A9"/>
    <mergeCell ref="A10:A21"/>
    <mergeCell ref="A22:A29"/>
    <mergeCell ref="A30:A38"/>
    <mergeCell ref="A40:A41"/>
    <mergeCell ref="A44:A63"/>
    <mergeCell ref="A150:A158"/>
    <mergeCell ref="A131:A133"/>
    <mergeCell ref="C64:C70"/>
    <mergeCell ref="C71:C74"/>
    <mergeCell ref="E71:E74"/>
    <mergeCell ref="A125:A130"/>
    <mergeCell ref="A94:A103"/>
    <mergeCell ref="B107:B109"/>
    <mergeCell ref="B113:B115"/>
    <mergeCell ref="B116:B118"/>
    <mergeCell ref="B119:B121"/>
    <mergeCell ref="B122:B124"/>
    <mergeCell ref="A76:A93"/>
    <mergeCell ref="B47:B49"/>
    <mergeCell ref="G47:G49"/>
    <mergeCell ref="A134:A149"/>
    <mergeCell ref="J138:J139"/>
    <mergeCell ref="K138:K139"/>
    <mergeCell ref="A104:A124"/>
    <mergeCell ref="B104:B106"/>
    <mergeCell ref="B110:B112"/>
  </mergeCells>
  <phoneticPr fontId="141"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CF119"/>
  <sheetViews>
    <sheetView topLeftCell="B1" workbookViewId="0">
      <pane xSplit="1" ySplit="1" topLeftCell="C2" activePane="bottomRight" state="frozen"/>
      <selection activeCell="B1" sqref="B1"/>
      <selection pane="topRight" activeCell="C1" sqref="C1"/>
      <selection pane="bottomLeft" activeCell="B2" sqref="B2"/>
      <selection pane="bottomRight" activeCell="AA39" sqref="AA39"/>
    </sheetView>
  </sheetViews>
  <sheetFormatPr defaultColWidth="8.875" defaultRowHeight="13.5"/>
  <cols>
    <col min="1" max="1" width="0" hidden="1" customWidth="1"/>
    <col min="2" max="2" width="10.625" customWidth="1"/>
    <col min="3" max="3" width="7" customWidth="1"/>
    <col min="4" max="4" width="9.125" customWidth="1"/>
    <col min="5" max="5" width="6.75" customWidth="1"/>
    <col min="6" max="6" width="5.375" customWidth="1"/>
    <col min="7" max="7" width="9.5" customWidth="1"/>
    <col min="8" max="8" width="9" customWidth="1"/>
    <col min="9" max="9" width="11.625" style="3339" customWidth="1"/>
    <col min="10" max="10" width="12" customWidth="1"/>
    <col min="11" max="11" width="14.125" customWidth="1"/>
    <col min="12" max="12" width="11.75" customWidth="1"/>
    <col min="13" max="13" width="13" style="3215" customWidth="1"/>
    <col min="14" max="14" width="8.875" style="3402"/>
    <col min="15" max="15" width="11.125" customWidth="1"/>
    <col min="16" max="16" width="15.25" customWidth="1"/>
    <col min="17" max="17" width="27.5" customWidth="1"/>
    <col min="19" max="19" width="8.75" customWidth="1"/>
    <col min="20" max="22" width="6.125" customWidth="1"/>
    <col min="24" max="24" width="8.875" style="3247"/>
  </cols>
  <sheetData>
    <row r="1" spans="1:84" s="3377" customFormat="1" ht="28.15" customHeight="1">
      <c r="A1" s="3374" t="s">
        <v>608</v>
      </c>
      <c r="B1" s="3374" t="s">
        <v>3129</v>
      </c>
      <c r="C1" s="3374" t="s">
        <v>4077</v>
      </c>
      <c r="D1" s="3374" t="s">
        <v>4078</v>
      </c>
      <c r="E1" s="3374" t="s">
        <v>4079</v>
      </c>
      <c r="F1" s="3374" t="s">
        <v>4080</v>
      </c>
      <c r="G1" s="3374" t="s">
        <v>557</v>
      </c>
      <c r="H1" s="3374" t="s">
        <v>4081</v>
      </c>
      <c r="I1" s="3374" t="s">
        <v>4082</v>
      </c>
      <c r="J1" s="3375" t="s">
        <v>4083</v>
      </c>
      <c r="K1" s="3374" t="s">
        <v>4084</v>
      </c>
      <c r="L1" s="3374" t="s">
        <v>4085</v>
      </c>
      <c r="M1" s="3403" t="s">
        <v>4086</v>
      </c>
      <c r="N1" s="3374" t="s">
        <v>4087</v>
      </c>
      <c r="O1" s="3374" t="s">
        <v>4088</v>
      </c>
      <c r="P1" s="3376" t="s">
        <v>4089</v>
      </c>
      <c r="Q1" s="3374" t="s">
        <v>4090</v>
      </c>
      <c r="R1" s="3374" t="s">
        <v>4091</v>
      </c>
      <c r="S1" s="3374" t="s">
        <v>4092</v>
      </c>
      <c r="T1" s="3374" t="s">
        <v>4093</v>
      </c>
      <c r="U1" s="3374" t="s">
        <v>4094</v>
      </c>
      <c r="V1" s="3374" t="s">
        <v>4095</v>
      </c>
      <c r="W1" s="3374" t="s">
        <v>1069</v>
      </c>
      <c r="X1" s="3380"/>
    </row>
    <row r="2" spans="1:84" s="3387" customFormat="1" ht="18.75" customHeight="1">
      <c r="A2" s="3381">
        <v>106</v>
      </c>
      <c r="B2" s="3381" t="s">
        <v>4096</v>
      </c>
      <c r="C2" s="3381" t="s">
        <v>4097</v>
      </c>
      <c r="D2" s="3381" t="s">
        <v>678</v>
      </c>
      <c r="E2" s="3411" t="s">
        <v>4098</v>
      </c>
      <c r="F2" s="3411" t="s">
        <v>4099</v>
      </c>
      <c r="G2" s="3381" t="s">
        <v>183</v>
      </c>
      <c r="H2" s="3411"/>
      <c r="I2" s="3411">
        <v>36026.080000000002</v>
      </c>
      <c r="J2" s="3382">
        <v>25431.29</v>
      </c>
      <c r="K2" s="3382">
        <f>I2-J2</f>
        <v>10594.79</v>
      </c>
      <c r="L2" s="3411">
        <v>121212</v>
      </c>
      <c r="M2" s="3405">
        <f>ROUND(L2/I2*10000,0)</f>
        <v>33646</v>
      </c>
      <c r="N2" s="3411">
        <f t="shared" ref="N2" si="0">ROUND(L2/J2*10000,0)</f>
        <v>47663</v>
      </c>
      <c r="O2" s="3381" t="s">
        <v>4100</v>
      </c>
      <c r="P2" s="3383" t="s">
        <v>4101</v>
      </c>
      <c r="Q2" s="3384" t="s">
        <v>4102</v>
      </c>
      <c r="R2" s="3385" t="s">
        <v>4103</v>
      </c>
      <c r="S2" s="3411"/>
      <c r="T2" s="3411"/>
      <c r="U2" s="3411"/>
      <c r="V2" s="3411"/>
      <c r="W2" s="3411"/>
      <c r="X2" s="3444"/>
    </row>
    <row r="3" spans="1:84" s="3387" customFormat="1" ht="26.25" customHeight="1">
      <c r="A3" s="3381">
        <v>107</v>
      </c>
      <c r="B3" s="3381" t="s">
        <v>4104</v>
      </c>
      <c r="C3" s="3381" t="s">
        <v>4105</v>
      </c>
      <c r="D3" s="3381" t="s">
        <v>678</v>
      </c>
      <c r="E3" s="3411" t="s">
        <v>4106</v>
      </c>
      <c r="F3" s="3411" t="s">
        <v>4107</v>
      </c>
      <c r="G3" s="3381" t="s">
        <v>4108</v>
      </c>
      <c r="H3" s="3411"/>
      <c r="I3" s="3382">
        <f>J3+K3</f>
        <v>18636.57</v>
      </c>
      <c r="J3" s="3382">
        <v>17544.990000000002</v>
      </c>
      <c r="K3" s="3382">
        <v>1091.58</v>
      </c>
      <c r="L3" s="3388">
        <v>98000</v>
      </c>
      <c r="M3" s="3381">
        <f>ROUND(L3/I3*10000,0)</f>
        <v>52585</v>
      </c>
      <c r="N3" s="3411">
        <f>ROUND(L3/J3*10000,0)</f>
        <v>55856</v>
      </c>
      <c r="O3" s="3381" t="s">
        <v>4109</v>
      </c>
      <c r="P3" s="3383" t="s">
        <v>4101</v>
      </c>
      <c r="Q3" s="3384" t="s">
        <v>4167</v>
      </c>
      <c r="R3" s="3385" t="s">
        <v>4110</v>
      </c>
      <c r="S3" s="3411"/>
      <c r="T3" s="3411"/>
      <c r="U3" s="3411"/>
      <c r="V3" s="3411"/>
      <c r="W3" s="3411"/>
      <c r="X3" s="3444">
        <v>5.5E-2</v>
      </c>
    </row>
    <row r="4" spans="1:84" s="3387" customFormat="1" ht="27" customHeight="1">
      <c r="A4" s="3381">
        <v>123</v>
      </c>
      <c r="B4" s="3381" t="s">
        <v>4111</v>
      </c>
      <c r="C4" s="3381" t="s">
        <v>4112</v>
      </c>
      <c r="D4" s="3381" t="s">
        <v>678</v>
      </c>
      <c r="E4" s="3411" t="s">
        <v>4113</v>
      </c>
      <c r="F4" s="3381" t="s">
        <v>4114</v>
      </c>
      <c r="G4" s="3381" t="s">
        <v>4115</v>
      </c>
      <c r="H4" s="3411"/>
      <c r="I4" s="3382">
        <v>48720.73</v>
      </c>
      <c r="J4" s="3382">
        <v>42600</v>
      </c>
      <c r="K4" s="3382"/>
      <c r="L4" s="3411">
        <v>183000</v>
      </c>
      <c r="M4" s="3405">
        <f t="shared" ref="M4" si="1">ROUND(L4/I4*10000,0)</f>
        <v>37561</v>
      </c>
      <c r="N4" s="3411">
        <f t="shared" ref="N4" si="2">ROUND(L4/J4*10000,0)</f>
        <v>42958</v>
      </c>
      <c r="O4" s="3381" t="s">
        <v>4116</v>
      </c>
      <c r="P4" s="3383" t="s">
        <v>4117</v>
      </c>
      <c r="Q4" s="3384" t="s">
        <v>4154</v>
      </c>
      <c r="R4" s="3385" t="s">
        <v>4118</v>
      </c>
      <c r="S4" s="3411"/>
      <c r="T4" s="3411"/>
      <c r="U4" s="3411"/>
      <c r="V4" s="3411"/>
      <c r="W4" s="3411"/>
      <c r="X4" s="3444"/>
    </row>
    <row r="5" spans="1:84" s="3352" customFormat="1" ht="27" customHeight="1">
      <c r="A5" s="3381">
        <v>160</v>
      </c>
      <c r="B5" s="3381" t="s">
        <v>4119</v>
      </c>
      <c r="C5" s="3381" t="s">
        <v>4120</v>
      </c>
      <c r="D5" s="3381" t="s">
        <v>645</v>
      </c>
      <c r="E5" s="3352" t="s">
        <v>4121</v>
      </c>
      <c r="F5" s="3381" t="s">
        <v>4122</v>
      </c>
      <c r="G5" s="3381" t="s">
        <v>183</v>
      </c>
      <c r="H5" s="3352">
        <v>9280</v>
      </c>
      <c r="I5" s="3382">
        <v>26891.39</v>
      </c>
      <c r="J5" s="3382">
        <v>17646.37</v>
      </c>
      <c r="K5" s="3382">
        <v>9245.02</v>
      </c>
      <c r="L5" s="3352">
        <v>70000</v>
      </c>
      <c r="M5" s="3381">
        <f>ROUND(L5/I5*10000,0)</f>
        <v>26031</v>
      </c>
      <c r="N5" s="3358">
        <f>ROUND(L5/J5*10000,0)</f>
        <v>39668</v>
      </c>
      <c r="O5" s="3381" t="s">
        <v>4123</v>
      </c>
      <c r="P5" s="3383">
        <v>42773</v>
      </c>
      <c r="Q5" s="3384" t="s">
        <v>4196</v>
      </c>
      <c r="R5" s="3385"/>
      <c r="W5" s="3352" t="s">
        <v>4124</v>
      </c>
      <c r="X5" s="3445"/>
    </row>
    <row r="6" spans="1:84" s="3414" customFormat="1" ht="30.6" customHeight="1">
      <c r="A6" s="3413">
        <v>129</v>
      </c>
      <c r="B6" s="3413" t="s">
        <v>4125</v>
      </c>
      <c r="C6" s="3413"/>
      <c r="D6" s="3413" t="s">
        <v>614</v>
      </c>
      <c r="E6" s="3414" t="s">
        <v>4126</v>
      </c>
      <c r="F6" s="3413" t="s">
        <v>4127</v>
      </c>
      <c r="G6" s="3413" t="s">
        <v>4108</v>
      </c>
      <c r="I6" s="3415">
        <v>85690.34</v>
      </c>
      <c r="J6" s="3415">
        <v>48841</v>
      </c>
      <c r="K6" s="3415">
        <f>I6-J6</f>
        <v>36849.339999999997</v>
      </c>
      <c r="L6" s="3414">
        <v>300000</v>
      </c>
      <c r="M6" s="3416">
        <f>ROUND(L6/I6*10000,0)</f>
        <v>35010</v>
      </c>
      <c r="N6" s="3414">
        <f>ROUND(L6/J6*10000,0)</f>
        <v>61424</v>
      </c>
      <c r="O6" s="3413" t="s">
        <v>4128</v>
      </c>
      <c r="P6" s="3417">
        <v>42705</v>
      </c>
      <c r="Q6" s="3418"/>
      <c r="R6" s="3419"/>
      <c r="X6" s="3446"/>
      <c r="Y6" s="3420"/>
      <c r="Z6" s="3420"/>
      <c r="AA6" s="3420"/>
      <c r="AB6" s="3420"/>
      <c r="AC6" s="3420"/>
      <c r="AD6" s="3420"/>
      <c r="AE6" s="3420"/>
      <c r="AF6" s="3420"/>
      <c r="AG6" s="3420"/>
      <c r="AH6" s="3420"/>
      <c r="AI6" s="3420"/>
      <c r="AJ6" s="3420"/>
      <c r="AK6" s="3420"/>
      <c r="AL6" s="3420"/>
      <c r="AM6" s="3420"/>
      <c r="AN6" s="3420"/>
      <c r="AO6" s="3420"/>
      <c r="AP6" s="3420"/>
      <c r="AQ6" s="3420"/>
      <c r="AR6" s="3420"/>
      <c r="AS6" s="3420"/>
      <c r="AT6" s="3420"/>
      <c r="AU6" s="3420"/>
      <c r="AV6" s="3420"/>
      <c r="AW6" s="3420"/>
      <c r="AX6" s="3420"/>
      <c r="AY6" s="3420"/>
      <c r="AZ6" s="3420"/>
      <c r="BA6" s="3420"/>
      <c r="BB6" s="3420"/>
      <c r="BC6" s="3420"/>
      <c r="BD6" s="3420"/>
      <c r="BE6" s="3420"/>
      <c r="BF6" s="3420"/>
      <c r="BG6" s="3420"/>
      <c r="BH6" s="3420"/>
      <c r="BI6" s="3420"/>
      <c r="BJ6" s="3420"/>
      <c r="BK6" s="3420"/>
      <c r="BL6" s="3420"/>
      <c r="BM6" s="3420"/>
      <c r="BN6" s="3420"/>
      <c r="BO6" s="3420"/>
      <c r="BP6" s="3420"/>
      <c r="BQ6" s="3420"/>
      <c r="BR6" s="3420"/>
      <c r="BS6" s="3420"/>
      <c r="BT6" s="3420"/>
      <c r="BU6" s="3420"/>
      <c r="BV6" s="3420"/>
      <c r="BW6" s="3420"/>
      <c r="BX6" s="3420"/>
      <c r="BY6" s="3420"/>
      <c r="BZ6" s="3420"/>
      <c r="CA6" s="3420"/>
      <c r="CB6" s="3420"/>
      <c r="CC6" s="3420"/>
      <c r="CD6" s="3420"/>
      <c r="CE6" s="3420"/>
      <c r="CF6" s="3421"/>
    </row>
    <row r="7" spans="1:84" s="3352" customFormat="1" ht="48.75" customHeight="1">
      <c r="A7" s="3381">
        <v>153</v>
      </c>
      <c r="B7" s="3381" t="s">
        <v>4129</v>
      </c>
      <c r="C7" s="3381" t="s">
        <v>4130</v>
      </c>
      <c r="D7" s="3381" t="s">
        <v>614</v>
      </c>
      <c r="E7" s="3352" t="s">
        <v>4131</v>
      </c>
      <c r="F7" s="3381" t="s">
        <v>4132</v>
      </c>
      <c r="G7" s="3381" t="s">
        <v>183</v>
      </c>
      <c r="H7" s="3352">
        <v>1187.74</v>
      </c>
      <c r="I7" s="3382">
        <v>7255.7</v>
      </c>
      <c r="J7" s="3382">
        <f>I7-K7</f>
        <v>5141.2199999999993</v>
      </c>
      <c r="K7" s="3382">
        <v>2114.48</v>
      </c>
      <c r="L7" s="3352">
        <v>30804.563200000001</v>
      </c>
      <c r="M7" s="3381">
        <f>ROUND(L7/I7*10000,0)</f>
        <v>42456</v>
      </c>
      <c r="N7" s="3358">
        <f>ROUND(L7/J7*10000,0)</f>
        <v>59917</v>
      </c>
      <c r="O7" s="3381" t="s">
        <v>4133</v>
      </c>
      <c r="P7" s="3383">
        <v>42871</v>
      </c>
      <c r="Q7" s="3384" t="s">
        <v>4197</v>
      </c>
      <c r="R7" s="3385" t="s">
        <v>4134</v>
      </c>
      <c r="W7" s="3352" t="s">
        <v>4124</v>
      </c>
      <c r="X7" s="3445"/>
    </row>
    <row r="8" spans="1:84" s="3322" customFormat="1" ht="74.25" customHeight="1">
      <c r="B8" s="3389" t="s">
        <v>4139</v>
      </c>
      <c r="C8" s="3389" t="s">
        <v>4140</v>
      </c>
      <c r="D8" s="3389" t="s">
        <v>645</v>
      </c>
      <c r="E8" s="3390" t="s">
        <v>4141</v>
      </c>
      <c r="F8" s="3389"/>
      <c r="G8" s="3389" t="s">
        <v>4108</v>
      </c>
      <c r="H8" s="3390"/>
      <c r="I8" s="3391">
        <v>17558</v>
      </c>
      <c r="J8" s="3391">
        <v>11438</v>
      </c>
      <c r="K8" s="3391"/>
      <c r="L8" s="3390">
        <v>77000</v>
      </c>
      <c r="M8" s="3404">
        <f>ROUND(L8/I8*10000,0)</f>
        <v>43855</v>
      </c>
      <c r="N8" s="3390">
        <f>ROUND(L8/J8*10000,0)</f>
        <v>67319</v>
      </c>
      <c r="O8" s="3389" t="s">
        <v>4152</v>
      </c>
      <c r="P8" s="3392" t="s">
        <v>4135</v>
      </c>
      <c r="Q8" s="3393" t="s">
        <v>4143</v>
      </c>
      <c r="R8" s="3385"/>
      <c r="S8" s="3352"/>
      <c r="T8" s="3352"/>
      <c r="U8" s="3352"/>
      <c r="V8" s="3352"/>
      <c r="W8" s="3352" t="s">
        <v>4142</v>
      </c>
      <c r="X8" s="3447">
        <v>3.5999999999999997E-2</v>
      </c>
    </row>
    <row r="9" spans="1:84" s="3322" customFormat="1" ht="19.149999999999999" customHeight="1">
      <c r="B9" s="3381" t="s">
        <v>4144</v>
      </c>
      <c r="C9" s="3381"/>
      <c r="D9" s="3381" t="s">
        <v>678</v>
      </c>
      <c r="E9" s="3352" t="s">
        <v>4145</v>
      </c>
      <c r="F9" s="3381"/>
      <c r="G9" s="3381"/>
      <c r="H9" s="3352"/>
      <c r="I9" s="3382">
        <v>181402</v>
      </c>
      <c r="J9" s="3382">
        <f>L9/N9*10000</f>
        <v>117618.96852420895</v>
      </c>
      <c r="K9" s="3382"/>
      <c r="L9" s="3352">
        <v>566500</v>
      </c>
      <c r="M9" s="3405"/>
      <c r="N9" s="3358">
        <v>48164</v>
      </c>
      <c r="O9" s="3381" t="s">
        <v>4151</v>
      </c>
      <c r="P9" s="3383" t="s">
        <v>4146</v>
      </c>
      <c r="Q9" s="3384"/>
      <c r="R9" s="3385"/>
      <c r="S9" s="3352"/>
      <c r="T9" s="3352"/>
      <c r="U9" s="3352"/>
      <c r="V9" s="3352"/>
      <c r="W9" s="3352" t="s">
        <v>4142</v>
      </c>
      <c r="X9" s="3447">
        <v>3.4000000000000002E-2</v>
      </c>
    </row>
    <row r="10" spans="1:84" s="3322" customFormat="1" ht="19.149999999999999" customHeight="1">
      <c r="B10" s="3381" t="s">
        <v>4147</v>
      </c>
      <c r="C10" s="3381"/>
      <c r="D10" s="3381" t="s">
        <v>678</v>
      </c>
      <c r="E10" s="3352" t="s">
        <v>4145</v>
      </c>
      <c r="F10" s="3381"/>
      <c r="G10" s="3381"/>
      <c r="H10" s="3352"/>
      <c r="I10" s="3382"/>
      <c r="J10" s="3382">
        <v>23224</v>
      </c>
      <c r="K10" s="3382"/>
      <c r="L10" s="3352">
        <v>115800</v>
      </c>
      <c r="M10" s="3405"/>
      <c r="N10" s="3358">
        <f>ROUND(L10/J10*10000,0)</f>
        <v>49862</v>
      </c>
      <c r="O10" s="3381" t="s">
        <v>4150</v>
      </c>
      <c r="P10" s="3383" t="s">
        <v>4148</v>
      </c>
      <c r="Q10" s="3384"/>
      <c r="R10" s="3385"/>
      <c r="S10" s="3352"/>
      <c r="T10" s="3352"/>
      <c r="U10" s="3352"/>
      <c r="V10" s="3352"/>
      <c r="W10" s="3352" t="s">
        <v>4149</v>
      </c>
      <c r="X10" s="3447">
        <v>4.4999999999999998E-2</v>
      </c>
    </row>
    <row r="11" spans="1:84" s="3427" customFormat="1" ht="168">
      <c r="A11" s="3374">
        <v>131</v>
      </c>
      <c r="B11" s="3413" t="s">
        <v>4216</v>
      </c>
      <c r="C11" s="3413" t="s">
        <v>4217</v>
      </c>
      <c r="D11" s="3413" t="s">
        <v>678</v>
      </c>
      <c r="E11" s="3414" t="s">
        <v>4131</v>
      </c>
      <c r="F11" s="3413" t="s">
        <v>4218</v>
      </c>
      <c r="G11" s="3413" t="s">
        <v>4115</v>
      </c>
      <c r="H11" s="3414">
        <v>6746.29</v>
      </c>
      <c r="I11" s="3415">
        <v>62805</v>
      </c>
      <c r="J11" s="3415"/>
      <c r="K11" s="3415"/>
      <c r="L11" s="3414">
        <f>ROUND(136000+89.56+62300,-2)</f>
        <v>198400</v>
      </c>
      <c r="M11" s="3442">
        <f>ROUND(L11/I11*10000,0)</f>
        <v>31590</v>
      </c>
      <c r="N11" s="3443" t="e">
        <f>ROUND(L11/J11*10000,0)</f>
        <v>#DIV/0!</v>
      </c>
      <c r="O11" s="3413" t="s">
        <v>4219</v>
      </c>
      <c r="P11" s="3417">
        <v>42826</v>
      </c>
      <c r="Q11" s="3418" t="s">
        <v>4220</v>
      </c>
      <c r="R11" s="3419" t="s">
        <v>4221</v>
      </c>
      <c r="S11" s="3414">
        <v>24.244700000000002</v>
      </c>
      <c r="T11" s="3441"/>
      <c r="U11" s="3441"/>
      <c r="V11" s="3441"/>
      <c r="W11" s="3441" t="s">
        <v>4222</v>
      </c>
      <c r="X11" s="3448"/>
    </row>
    <row r="13" spans="1:84" ht="33">
      <c r="B13" s="3187" t="s">
        <v>3569</v>
      </c>
      <c r="C13" s="3187" t="s">
        <v>3570</v>
      </c>
      <c r="D13" s="3187" t="s">
        <v>3571</v>
      </c>
      <c r="E13" s="3187" t="s">
        <v>3333</v>
      </c>
      <c r="F13" s="3187" t="s">
        <v>3572</v>
      </c>
      <c r="G13" s="3187" t="s">
        <v>3573</v>
      </c>
      <c r="H13" s="3187" t="s">
        <v>3574</v>
      </c>
      <c r="I13" s="3335" t="s">
        <v>3575</v>
      </c>
      <c r="J13" s="3188" t="s">
        <v>3576</v>
      </c>
      <c r="K13" s="3188" t="s">
        <v>1320</v>
      </c>
      <c r="L13" s="3188" t="s">
        <v>3577</v>
      </c>
      <c r="M13" s="3406" t="s">
        <v>3578</v>
      </c>
      <c r="N13" s="3402" t="s">
        <v>3579</v>
      </c>
      <c r="O13" s="3428"/>
    </row>
    <row r="14" spans="1:84" ht="33">
      <c r="B14" s="3937" t="s">
        <v>3580</v>
      </c>
      <c r="C14" s="3190">
        <v>1</v>
      </c>
      <c r="D14" s="3191" t="s">
        <v>3581</v>
      </c>
      <c r="E14" s="3191" t="s">
        <v>3582</v>
      </c>
      <c r="F14" s="3191" t="s">
        <v>27</v>
      </c>
      <c r="G14" s="3192">
        <v>54000</v>
      </c>
      <c r="H14" s="3193">
        <v>49.29</v>
      </c>
      <c r="I14" s="3336">
        <f>H14*10000/G14</f>
        <v>9.1277777777777782</v>
      </c>
      <c r="J14" s="3194">
        <v>43070</v>
      </c>
      <c r="K14" s="3195">
        <v>12.9</v>
      </c>
      <c r="L14" s="3196">
        <f>K14*G14*365/100000000/H14</f>
        <v>5.1584297017650646E-2</v>
      </c>
      <c r="M14" s="3203" t="s">
        <v>3583</v>
      </c>
      <c r="N14" s="3402" t="s">
        <v>27</v>
      </c>
      <c r="O14">
        <f>SUMIF(F14:F47,N14,G14:G119)</f>
        <v>508438.27</v>
      </c>
      <c r="P14" s="3197">
        <f>O14/$O$18</f>
        <v>0.44164657459196627</v>
      </c>
      <c r="X14" s="3449" t="s">
        <v>4223</v>
      </c>
      <c r="Y14" s="3189" t="s">
        <v>4224</v>
      </c>
      <c r="Z14" s="3189" t="s">
        <v>4225</v>
      </c>
      <c r="AA14" s="3189" t="s">
        <v>4226</v>
      </c>
    </row>
    <row r="15" spans="1:84" ht="40.5">
      <c r="B15" s="3937"/>
      <c r="C15" s="3190">
        <v>2</v>
      </c>
      <c r="D15" s="3191" t="s">
        <v>3584</v>
      </c>
      <c r="E15" s="3191" t="s">
        <v>3585</v>
      </c>
      <c r="F15" s="3191" t="s">
        <v>27</v>
      </c>
      <c r="G15" s="3192">
        <v>50123</v>
      </c>
      <c r="H15" s="3193">
        <v>26.22</v>
      </c>
      <c r="I15" s="3336">
        <f t="shared" ref="I15:I21" si="3">H15*10000/G15</f>
        <v>5.2311314167148817</v>
      </c>
      <c r="J15" s="3194">
        <v>43070</v>
      </c>
      <c r="K15" s="3195">
        <v>3.5</v>
      </c>
      <c r="L15" s="3196">
        <f>K15*G15*365/100000000/H15</f>
        <v>2.4421103165522505E-2</v>
      </c>
      <c r="M15" s="3203" t="s">
        <v>3583</v>
      </c>
      <c r="N15" s="3402" t="s">
        <v>1343</v>
      </c>
      <c r="O15">
        <f>SUMIF(F14:F47,N15,G14:G119)</f>
        <v>363101.75000000006</v>
      </c>
      <c r="P15" s="3197">
        <f>O15/$O$18</f>
        <v>0.3154023872275557</v>
      </c>
      <c r="W15" s="3189" t="s">
        <v>4231</v>
      </c>
      <c r="X15" s="3247" t="str">
        <f>B3</f>
        <v>招商局大厦20-28层</v>
      </c>
      <c r="Y15">
        <f>M3</f>
        <v>52585</v>
      </c>
      <c r="AA15" s="3212">
        <f>X3</f>
        <v>5.5E-2</v>
      </c>
    </row>
    <row r="16" spans="1:84" ht="33">
      <c r="B16" s="3937"/>
      <c r="C16" s="3190">
        <v>3</v>
      </c>
      <c r="D16" s="3191" t="s">
        <v>3586</v>
      </c>
      <c r="E16" s="3191" t="s">
        <v>3587</v>
      </c>
      <c r="F16" s="3191" t="s">
        <v>27</v>
      </c>
      <c r="G16" s="3192">
        <v>62557</v>
      </c>
      <c r="H16" s="3193">
        <v>23.15</v>
      </c>
      <c r="I16" s="3336">
        <f t="shared" si="3"/>
        <v>3.7006250299726648</v>
      </c>
      <c r="J16" s="3194">
        <v>42795</v>
      </c>
      <c r="K16" s="3195">
        <v>7.2</v>
      </c>
      <c r="L16" s="3196">
        <f>K16*G16*365/100000000/H16</f>
        <v>7.1015030669546439E-2</v>
      </c>
      <c r="M16" s="3203" t="s">
        <v>3583</v>
      </c>
      <c r="N16" s="3402" t="s">
        <v>3588</v>
      </c>
      <c r="O16">
        <f>SUMIF(F14:F47,N16,G14:G119)</f>
        <v>279693.34000000003</v>
      </c>
      <c r="P16" s="3197">
        <f>O16/$O$18</f>
        <v>0.24295103818047803</v>
      </c>
      <c r="W16" s="3452" t="s">
        <v>4228</v>
      </c>
      <c r="X16" s="3453" t="str">
        <f>B8</f>
        <v>九和大厦</v>
      </c>
      <c r="Y16" s="3454"/>
      <c r="Z16" s="3454"/>
      <c r="AA16" s="3474" t="s">
        <v>4309</v>
      </c>
    </row>
    <row r="17" spans="2:33" ht="33">
      <c r="B17" s="3937"/>
      <c r="C17" s="3190">
        <v>4</v>
      </c>
      <c r="D17" s="3191" t="s">
        <v>3589</v>
      </c>
      <c r="E17" s="3191" t="s">
        <v>3590</v>
      </c>
      <c r="F17" s="3191" t="s">
        <v>27</v>
      </c>
      <c r="G17" s="3192">
        <v>43962</v>
      </c>
      <c r="H17" s="3193">
        <v>19.440000000000001</v>
      </c>
      <c r="I17" s="3336">
        <v>4.42</v>
      </c>
      <c r="J17" s="3194">
        <v>42826</v>
      </c>
      <c r="K17" s="3195">
        <v>3.5</v>
      </c>
      <c r="L17" s="3196">
        <f>K17*G17*365/100000000/H17</f>
        <v>2.8889637345679012E-2</v>
      </c>
      <c r="M17" s="3203" t="s">
        <v>3583</v>
      </c>
      <c r="N17" s="3402" t="s">
        <v>3591</v>
      </c>
      <c r="O17">
        <f>SUMIF(F14:F47,N17,G14:G119)</f>
        <v>0</v>
      </c>
      <c r="P17" s="3197">
        <f>O17/$O$18</f>
        <v>0</v>
      </c>
      <c r="W17" s="3189" t="s">
        <v>4229</v>
      </c>
      <c r="X17" s="3247" t="str">
        <f>B9</f>
        <v>融新科技中心</v>
      </c>
      <c r="AA17" s="3267" t="s">
        <v>4312</v>
      </c>
    </row>
    <row r="18" spans="2:33" ht="49.5">
      <c r="B18" s="3937"/>
      <c r="C18" s="3190">
        <v>5</v>
      </c>
      <c r="D18" s="3191" t="s">
        <v>3592</v>
      </c>
      <c r="E18" s="3191" t="s">
        <v>3593</v>
      </c>
      <c r="F18" s="3191" t="s">
        <v>27</v>
      </c>
      <c r="G18" s="3192">
        <v>34993.54</v>
      </c>
      <c r="H18" s="3193">
        <v>18</v>
      </c>
      <c r="I18" s="3336">
        <f t="shared" si="3"/>
        <v>5.1438065425790018</v>
      </c>
      <c r="J18" s="3194"/>
      <c r="K18" s="3195"/>
      <c r="L18" s="3196"/>
      <c r="M18" s="3203"/>
      <c r="O18">
        <f>SUM(O14:O17)</f>
        <v>1151233.3600000001</v>
      </c>
      <c r="W18" s="3189" t="s">
        <v>4229</v>
      </c>
      <c r="X18" s="3247" t="str">
        <f>B10</f>
        <v>方恒时代中心</v>
      </c>
      <c r="AA18" s="3212">
        <f>X10</f>
        <v>4.4999999999999998E-2</v>
      </c>
    </row>
    <row r="19" spans="2:33" ht="33">
      <c r="B19" s="3937"/>
      <c r="C19" s="3190">
        <v>6</v>
      </c>
      <c r="D19" s="3191" t="s">
        <v>3594</v>
      </c>
      <c r="E19" s="3191" t="s">
        <v>3585</v>
      </c>
      <c r="F19" s="3191" t="s">
        <v>27</v>
      </c>
      <c r="G19" s="3192">
        <v>28870</v>
      </c>
      <c r="H19" s="3193">
        <v>16.22</v>
      </c>
      <c r="I19" s="3336">
        <f t="shared" si="3"/>
        <v>5.6182888811915479</v>
      </c>
      <c r="J19" s="3194"/>
      <c r="K19" s="3195"/>
      <c r="L19" s="3196"/>
      <c r="M19" s="3203"/>
      <c r="Q19" s="3322"/>
      <c r="R19" s="3322"/>
      <c r="S19" s="3322"/>
      <c r="T19" s="3322"/>
      <c r="U19" s="3322"/>
      <c r="V19" s="3322"/>
      <c r="W19" s="3432" t="s">
        <v>4230</v>
      </c>
      <c r="X19" s="3447" t="str">
        <f>D14</f>
        <v>骏豪中央公园广场</v>
      </c>
      <c r="AA19" s="3212">
        <f>L14</f>
        <v>5.1584297017650646E-2</v>
      </c>
    </row>
    <row r="20" spans="2:33" ht="33">
      <c r="B20" s="3937"/>
      <c r="C20" s="3190">
        <v>7</v>
      </c>
      <c r="D20" s="3191" t="s">
        <v>3595</v>
      </c>
      <c r="E20" s="3191" t="s">
        <v>3585</v>
      </c>
      <c r="F20" s="3191" t="s">
        <v>27</v>
      </c>
      <c r="G20" s="3192">
        <v>34420</v>
      </c>
      <c r="H20" s="3193">
        <v>15.59</v>
      </c>
      <c r="I20" s="3336">
        <f t="shared" si="3"/>
        <v>4.5293434049970944</v>
      </c>
      <c r="J20" s="3194">
        <v>42795</v>
      </c>
      <c r="K20" s="3195">
        <v>3.5</v>
      </c>
      <c r="L20" s="3196">
        <f>K20*G20*365/100000000/H20</f>
        <v>2.8204971135343166E-2</v>
      </c>
      <c r="M20" s="3203" t="s">
        <v>3583</v>
      </c>
      <c r="Q20" s="3322"/>
      <c r="R20" s="3322"/>
      <c r="S20" s="3322"/>
      <c r="T20" s="3322"/>
      <c r="U20" s="3322"/>
      <c r="V20" s="3322"/>
      <c r="W20" s="3432" t="s">
        <v>4227</v>
      </c>
      <c r="X20" s="3447" t="str">
        <f>D15</f>
        <v>复地金融中心A座</v>
      </c>
      <c r="AA20" s="3267" t="s">
        <v>4309</v>
      </c>
      <c r="AC20" s="3432" t="s">
        <v>3590</v>
      </c>
      <c r="AD20" s="3447" t="s">
        <v>3584</v>
      </c>
      <c r="AG20" s="3212">
        <v>2.4421103165522505E-2</v>
      </c>
    </row>
    <row r="21" spans="2:33" ht="33">
      <c r="B21" s="3937"/>
      <c r="C21" s="3190">
        <v>8</v>
      </c>
      <c r="D21" s="3191" t="s">
        <v>3596</v>
      </c>
      <c r="E21" s="3191" t="s">
        <v>3597</v>
      </c>
      <c r="F21" s="3191" t="s">
        <v>27</v>
      </c>
      <c r="G21" s="3192">
        <v>14949</v>
      </c>
      <c r="H21" s="3193">
        <v>11.3</v>
      </c>
      <c r="I21" s="3336">
        <f t="shared" si="3"/>
        <v>7.5590340491002745</v>
      </c>
      <c r="J21" s="3194"/>
      <c r="K21" s="3195">
        <v>6.5</v>
      </c>
      <c r="L21" s="3196">
        <f>K21*G21*365/100000000/H21</f>
        <v>3.1386285398230088E-2</v>
      </c>
      <c r="M21" s="3203" t="s">
        <v>3598</v>
      </c>
      <c r="O21" s="3189" t="s">
        <v>3780</v>
      </c>
      <c r="Q21" s="3322"/>
      <c r="R21" s="3322"/>
      <c r="S21" s="3432"/>
      <c r="T21" s="3322"/>
      <c r="U21" s="3432"/>
      <c r="V21" s="3322"/>
      <c r="W21" s="3432" t="s">
        <v>4232</v>
      </c>
      <c r="X21" s="3447" t="str">
        <f t="shared" ref="X21:X22" si="4">D16</f>
        <v>北京文化创意大厦</v>
      </c>
      <c r="AA21" s="3212">
        <f t="shared" ref="AA21" si="5">L16</f>
        <v>7.1015030669546439E-2</v>
      </c>
    </row>
    <row r="22" spans="2:33" ht="33">
      <c r="B22" s="3937"/>
      <c r="C22" s="3190">
        <v>9</v>
      </c>
      <c r="D22" s="3191" t="s">
        <v>3599</v>
      </c>
      <c r="E22" s="3191" t="s">
        <v>3600</v>
      </c>
      <c r="F22" s="3191" t="s">
        <v>27</v>
      </c>
      <c r="G22" s="3192">
        <v>22667</v>
      </c>
      <c r="H22" s="3193">
        <v>8.0299999999999994</v>
      </c>
      <c r="I22" s="3336">
        <v>3.54</v>
      </c>
      <c r="J22" s="3194"/>
      <c r="K22" s="3213">
        <v>5.6</v>
      </c>
      <c r="L22" s="3214">
        <f>K22*G22*365/100000000/H22</f>
        <v>5.7697818181818183E-2</v>
      </c>
      <c r="M22" s="3203"/>
      <c r="P22" s="3189" t="s">
        <v>3244</v>
      </c>
      <c r="Q22" s="3386"/>
      <c r="R22" s="3322"/>
      <c r="S22" s="3323"/>
      <c r="T22" s="3322"/>
      <c r="U22" s="3323"/>
      <c r="V22" s="3322"/>
      <c r="W22" s="3432" t="s">
        <v>4227</v>
      </c>
      <c r="X22" s="3447" t="str">
        <f t="shared" si="4"/>
        <v>世界侨商中心</v>
      </c>
      <c r="AA22" s="3267" t="s">
        <v>4309</v>
      </c>
      <c r="AC22" t="s">
        <v>3590</v>
      </c>
      <c r="AD22" t="s">
        <v>3589</v>
      </c>
      <c r="AG22">
        <v>2.8889637345679012E-2</v>
      </c>
    </row>
    <row r="23" spans="2:33" ht="33">
      <c r="B23" s="3937"/>
      <c r="C23" s="3190">
        <v>10</v>
      </c>
      <c r="D23" s="3191" t="s">
        <v>3601</v>
      </c>
      <c r="E23" s="3191" t="s">
        <v>3600</v>
      </c>
      <c r="F23" s="3191" t="s">
        <v>27</v>
      </c>
      <c r="G23" s="3192">
        <v>19500</v>
      </c>
      <c r="H23" s="3193">
        <v>7.31</v>
      </c>
      <c r="I23" s="3336">
        <f>H23*10000/G23</f>
        <v>3.7487179487179487</v>
      </c>
      <c r="J23" s="3194">
        <v>42887</v>
      </c>
      <c r="K23" s="3195">
        <v>5.8</v>
      </c>
      <c r="L23" s="3196">
        <f>K23*G23*365/100000000/H23</f>
        <v>5.6472640218878253E-2</v>
      </c>
      <c r="M23" s="3203" t="s">
        <v>3598</v>
      </c>
      <c r="P23" s="3189" t="s">
        <v>3240</v>
      </c>
      <c r="Q23" s="3386"/>
      <c r="R23" s="3322"/>
      <c r="S23" s="3323"/>
      <c r="T23" s="3322"/>
      <c r="U23" s="3323"/>
      <c r="V23" s="3322"/>
      <c r="W23" s="3432" t="s">
        <v>4227</v>
      </c>
      <c r="X23" s="3447" t="str">
        <f>D20</f>
        <v>通州富力中心</v>
      </c>
      <c r="AA23" s="3267" t="s">
        <v>4309</v>
      </c>
      <c r="AC23" t="s">
        <v>3590</v>
      </c>
      <c r="AD23" t="s">
        <v>3595</v>
      </c>
      <c r="AG23">
        <v>2.8204971135343166E-2</v>
      </c>
    </row>
    <row r="24" spans="2:33" ht="49.5">
      <c r="B24" s="3937"/>
      <c r="C24" s="3190">
        <v>11</v>
      </c>
      <c r="D24" s="3191" t="s">
        <v>3602</v>
      </c>
      <c r="E24" s="3191" t="s">
        <v>3603</v>
      </c>
      <c r="F24" s="3191" t="s">
        <v>27</v>
      </c>
      <c r="G24" s="3192">
        <v>17337</v>
      </c>
      <c r="H24" s="3193">
        <v>7.15</v>
      </c>
      <c r="I24" s="3336">
        <v>4.12</v>
      </c>
      <c r="J24" s="3194"/>
      <c r="K24" s="3195"/>
      <c r="L24" s="3196"/>
      <c r="M24" s="3203"/>
      <c r="P24" s="3189" t="s">
        <v>3313</v>
      </c>
      <c r="Q24" s="3322"/>
      <c r="R24" s="3322"/>
      <c r="S24" s="3322"/>
      <c r="T24" s="3322"/>
      <c r="U24" s="3322"/>
      <c r="V24" s="3322"/>
      <c r="W24" s="3432" t="s">
        <v>4233</v>
      </c>
      <c r="X24" s="3447" t="str">
        <f t="shared" ref="X24:X26" si="6">D21</f>
        <v>新华联大厦</v>
      </c>
      <c r="AA24" s="3212">
        <f t="shared" ref="AA24:AA26" si="7">L21</f>
        <v>3.1386285398230088E-2</v>
      </c>
    </row>
    <row r="25" spans="2:33" ht="16.5">
      <c r="B25" s="3937"/>
      <c r="C25" s="3190">
        <v>12</v>
      </c>
      <c r="D25" s="3191" t="s">
        <v>3604</v>
      </c>
      <c r="E25" s="3191" t="s">
        <v>3605</v>
      </c>
      <c r="F25" s="3191" t="s">
        <v>27</v>
      </c>
      <c r="G25" s="3192">
        <v>11438</v>
      </c>
      <c r="H25" s="3193">
        <v>7.1</v>
      </c>
      <c r="I25" s="3336">
        <v>6.4</v>
      </c>
      <c r="J25" s="3194">
        <v>42917</v>
      </c>
      <c r="K25" s="3195">
        <v>12</v>
      </c>
      <c r="L25" s="3196">
        <f>K25*G25*365/100000000/H25</f>
        <v>7.0561183098591551E-2</v>
      </c>
      <c r="M25" s="3203" t="s">
        <v>3598</v>
      </c>
      <c r="Q25" s="3322"/>
      <c r="R25" s="3322"/>
      <c r="S25" s="3322"/>
      <c r="T25" s="3322"/>
      <c r="U25" s="3322"/>
      <c r="V25" s="3322"/>
      <c r="W25" s="3432" t="s">
        <v>4234</v>
      </c>
      <c r="X25" s="3447" t="str">
        <f t="shared" si="6"/>
        <v>钻石大厦</v>
      </c>
      <c r="AA25" s="3212">
        <f t="shared" si="7"/>
        <v>5.7697818181818183E-2</v>
      </c>
    </row>
    <row r="26" spans="2:33" ht="33">
      <c r="B26" s="3937"/>
      <c r="C26" s="3190">
        <v>13</v>
      </c>
      <c r="D26" s="3191" t="s">
        <v>3606</v>
      </c>
      <c r="E26" s="3191" t="s">
        <v>3607</v>
      </c>
      <c r="F26" s="3191" t="s">
        <v>27</v>
      </c>
      <c r="G26" s="3192">
        <v>28167</v>
      </c>
      <c r="H26" s="3193">
        <f>28170*22932/100000000</f>
        <v>6.4599444000000004</v>
      </c>
      <c r="I26" s="3336">
        <f>H26*10000/G26</f>
        <v>2.2934442432633935</v>
      </c>
      <c r="J26" s="3194"/>
      <c r="K26" s="3195"/>
      <c r="L26" s="3196"/>
      <c r="M26" s="3203"/>
      <c r="W26" s="3432" t="s">
        <v>4234</v>
      </c>
      <c r="X26" s="3447" t="str">
        <f t="shared" si="6"/>
        <v>首创空间大厦</v>
      </c>
      <c r="AA26" s="3212">
        <f t="shared" si="7"/>
        <v>5.6472640218878253E-2</v>
      </c>
    </row>
    <row r="27" spans="2:33" ht="49.5">
      <c r="B27" s="3937"/>
      <c r="C27" s="3190">
        <v>14</v>
      </c>
      <c r="D27" s="3191" t="s">
        <v>3608</v>
      </c>
      <c r="E27" s="3191" t="s">
        <v>3607</v>
      </c>
      <c r="F27" s="3191" t="s">
        <v>27</v>
      </c>
      <c r="G27" s="3192">
        <v>16906</v>
      </c>
      <c r="H27" s="3193">
        <v>3.68</v>
      </c>
      <c r="I27" s="3336">
        <f>H27*10000/G27</f>
        <v>2.1767419850940493</v>
      </c>
      <c r="J27" s="3194">
        <v>42826</v>
      </c>
      <c r="K27" s="3195">
        <v>4</v>
      </c>
      <c r="L27" s="3196">
        <f>K27*G27*365/100000000/H27</f>
        <v>6.7072717391304354E-2</v>
      </c>
      <c r="M27" s="3203" t="s">
        <v>3583</v>
      </c>
      <c r="O27" s="3189" t="s">
        <v>3781</v>
      </c>
      <c r="P27" s="3189" t="s">
        <v>3808</v>
      </c>
      <c r="W27" s="3189" t="s">
        <v>4228</v>
      </c>
      <c r="X27" s="3247" t="str">
        <f>D25</f>
        <v>九和大厦</v>
      </c>
      <c r="AA27" s="3212">
        <f>L25</f>
        <v>7.0561183098591551E-2</v>
      </c>
    </row>
    <row r="28" spans="2:33" ht="40.5">
      <c r="B28" s="3937"/>
      <c r="C28" s="3190">
        <v>15</v>
      </c>
      <c r="D28" s="3191" t="s">
        <v>3609</v>
      </c>
      <c r="E28" s="3191" t="s">
        <v>3610</v>
      </c>
      <c r="F28" s="3191" t="s">
        <v>27</v>
      </c>
      <c r="G28" s="3192">
        <v>9176</v>
      </c>
      <c r="H28" s="3193">
        <v>3.4</v>
      </c>
      <c r="I28" s="3336">
        <v>3.7</v>
      </c>
      <c r="J28" s="3194">
        <v>42917</v>
      </c>
      <c r="K28" s="3195">
        <v>5.9</v>
      </c>
      <c r="L28" s="3196">
        <f>K28*G28*365/100000000/H28</f>
        <v>5.8119164705882354E-2</v>
      </c>
      <c r="M28" s="3203" t="s">
        <v>3598</v>
      </c>
      <c r="P28" s="3189" t="s">
        <v>3809</v>
      </c>
      <c r="W28" s="3189" t="s">
        <v>4235</v>
      </c>
      <c r="X28" s="3247" t="str">
        <f>D27</f>
        <v>电子城IT产业园C2A</v>
      </c>
      <c r="AA28" s="3212">
        <f>L27</f>
        <v>6.7072717391304354E-2</v>
      </c>
    </row>
    <row r="29" spans="2:33" ht="49.5">
      <c r="B29" s="3937"/>
      <c r="C29" s="3190">
        <v>16</v>
      </c>
      <c r="D29" s="3191" t="s">
        <v>3611</v>
      </c>
      <c r="E29" s="3191" t="s">
        <v>3607</v>
      </c>
      <c r="F29" s="3191" t="s">
        <v>27</v>
      </c>
      <c r="G29" s="3192">
        <v>12797</v>
      </c>
      <c r="H29" s="3193">
        <v>3.37</v>
      </c>
      <c r="I29" s="3336">
        <v>2.63</v>
      </c>
      <c r="J29" s="3194">
        <v>42795</v>
      </c>
      <c r="K29" s="3195">
        <v>4.0999999999999996</v>
      </c>
      <c r="L29" s="3196">
        <f>K29*G29*365/100000000/H29</f>
        <v>5.6827034124629083E-2</v>
      </c>
      <c r="M29" s="3203" t="s">
        <v>3583</v>
      </c>
      <c r="P29" s="3189" t="s">
        <v>3810</v>
      </c>
      <c r="Q29" s="3212"/>
      <c r="W29" s="3189" t="s">
        <v>4236</v>
      </c>
      <c r="X29" s="3247" t="str">
        <f t="shared" ref="X29:X31" si="8">D28</f>
        <v>硅谷亮城4号楼</v>
      </c>
      <c r="AA29" s="3212">
        <f t="shared" ref="AA29:AA31" si="9">L28</f>
        <v>5.8119164705882354E-2</v>
      </c>
    </row>
    <row r="30" spans="2:33" ht="40.5">
      <c r="B30" s="3937"/>
      <c r="C30" s="3190">
        <v>17</v>
      </c>
      <c r="D30" s="3191" t="s">
        <v>3612</v>
      </c>
      <c r="E30" s="3191" t="s">
        <v>3613</v>
      </c>
      <c r="F30" s="3191" t="s">
        <v>27</v>
      </c>
      <c r="G30" s="3192">
        <v>9698.73</v>
      </c>
      <c r="H30" s="3193">
        <v>2.69</v>
      </c>
      <c r="I30" s="3336">
        <f t="shared" ref="I30:I37" si="10">H30*10000/G30</f>
        <v>2.7735590123655367</v>
      </c>
      <c r="J30" s="3194">
        <v>42736</v>
      </c>
      <c r="K30" s="3195">
        <v>3.1</v>
      </c>
      <c r="L30" s="3196">
        <f>K30*G30*365/100000000/H30</f>
        <v>4.0795959089219326E-2</v>
      </c>
      <c r="M30" s="3203" t="s">
        <v>3598</v>
      </c>
      <c r="W30" s="3189" t="s">
        <v>4235</v>
      </c>
      <c r="X30" s="3247" t="str">
        <f t="shared" si="8"/>
        <v>电子城IT产业园C3B</v>
      </c>
      <c r="AA30" s="3212">
        <f t="shared" si="9"/>
        <v>5.6827034124629083E-2</v>
      </c>
    </row>
    <row r="31" spans="2:33" ht="33">
      <c r="B31" s="3937"/>
      <c r="C31" s="3190">
        <v>18</v>
      </c>
      <c r="D31" s="3191" t="s">
        <v>3614</v>
      </c>
      <c r="E31" s="3191" t="s">
        <v>3582</v>
      </c>
      <c r="F31" s="3191" t="s">
        <v>27</v>
      </c>
      <c r="G31" s="3192">
        <v>36877</v>
      </c>
      <c r="H31" s="3193">
        <v>0</v>
      </c>
      <c r="I31" s="3336">
        <v>0</v>
      </c>
      <c r="J31" s="3194"/>
      <c r="K31" s="3195"/>
      <c r="L31" s="3196"/>
      <c r="M31" s="3203" t="s">
        <v>3615</v>
      </c>
      <c r="W31" s="3189" t="s">
        <v>4237</v>
      </c>
      <c r="X31" s="3247" t="str">
        <f t="shared" si="8"/>
        <v>程远大厦</v>
      </c>
      <c r="AA31" s="3212">
        <f t="shared" si="9"/>
        <v>4.0795959089219326E-2</v>
      </c>
    </row>
    <row r="32" spans="2:33" ht="49.5">
      <c r="B32" s="3937"/>
      <c r="C32" s="3190">
        <v>19</v>
      </c>
      <c r="D32" s="3198" t="s">
        <v>4056</v>
      </c>
      <c r="E32" s="3198" t="s">
        <v>3616</v>
      </c>
      <c r="F32" s="3198" t="s">
        <v>3588</v>
      </c>
      <c r="G32" s="3199">
        <v>48000</v>
      </c>
      <c r="H32" s="3200">
        <v>16.91</v>
      </c>
      <c r="I32" s="3337">
        <v>3.5</v>
      </c>
      <c r="J32" s="3201">
        <v>42856</v>
      </c>
      <c r="K32" s="3202"/>
      <c r="L32" s="3203"/>
      <c r="M32" s="3204" t="s">
        <v>3617</v>
      </c>
      <c r="N32" s="3402" t="s">
        <v>3618</v>
      </c>
      <c r="W32" s="3189" t="s">
        <v>4238</v>
      </c>
      <c r="X32" s="3247" t="str">
        <f>D38</f>
        <v>迦南大厦</v>
      </c>
      <c r="AA32" s="3212">
        <f>L38</f>
        <v>4.4363031914893616E-2</v>
      </c>
    </row>
    <row r="33" spans="2:27" ht="33">
      <c r="B33" s="3937"/>
      <c r="C33" s="3190">
        <v>20</v>
      </c>
      <c r="D33" s="3191" t="s">
        <v>3619</v>
      </c>
      <c r="E33" s="3191" t="s">
        <v>3613</v>
      </c>
      <c r="F33" s="3191" t="s">
        <v>3588</v>
      </c>
      <c r="G33" s="3192">
        <v>48701.64</v>
      </c>
      <c r="H33" s="3193">
        <v>25.56</v>
      </c>
      <c r="I33" s="3336">
        <f t="shared" si="10"/>
        <v>5.248283220031194</v>
      </c>
      <c r="J33" s="3194">
        <v>43070</v>
      </c>
      <c r="K33" s="3195"/>
      <c r="L33" s="3196"/>
      <c r="M33" s="3203" t="s">
        <v>3620</v>
      </c>
      <c r="N33" s="3402" t="s">
        <v>3621</v>
      </c>
      <c r="W33" s="3189" t="s">
        <v>4229</v>
      </c>
      <c r="X33" s="3247" t="str">
        <f t="shared" ref="X33:X35" si="11">D39</f>
        <v>望京国际商城</v>
      </c>
      <c r="AA33" s="3267" t="s">
        <v>4312</v>
      </c>
    </row>
    <row r="34" spans="2:27" ht="33">
      <c r="B34" s="3937"/>
      <c r="C34" s="3190">
        <v>21</v>
      </c>
      <c r="D34" s="3198" t="s">
        <v>3622</v>
      </c>
      <c r="E34" s="3198" t="s">
        <v>3623</v>
      </c>
      <c r="F34" s="3198" t="s">
        <v>3588</v>
      </c>
      <c r="G34" s="3199">
        <v>62805</v>
      </c>
      <c r="H34" s="3200">
        <v>19.84</v>
      </c>
      <c r="I34" s="3337">
        <f>H34*10000/G34</f>
        <v>3.1589841573123159</v>
      </c>
      <c r="J34" s="3201">
        <v>42826</v>
      </c>
      <c r="K34" s="3202"/>
      <c r="L34" s="3203"/>
      <c r="M34" s="3203" t="s">
        <v>3620</v>
      </c>
      <c r="N34" s="3402" t="s">
        <v>3621</v>
      </c>
      <c r="W34" s="3189" t="s">
        <v>4231</v>
      </c>
      <c r="X34" s="3247" t="str">
        <f t="shared" si="11"/>
        <v>恒基中心</v>
      </c>
      <c r="AA34" s="3212">
        <f t="shared" ref="AA34:AA35" si="12">L40</f>
        <v>7.9819206896551725E-2</v>
      </c>
    </row>
    <row r="35" spans="2:27" ht="33">
      <c r="B35" s="3937"/>
      <c r="C35" s="3327">
        <v>22</v>
      </c>
      <c r="D35" s="3328" t="s">
        <v>3624</v>
      </c>
      <c r="E35" s="3328" t="s">
        <v>3625</v>
      </c>
      <c r="F35" s="3328" t="s">
        <v>3588</v>
      </c>
      <c r="G35" s="3329">
        <v>43369</v>
      </c>
      <c r="H35" s="3330">
        <v>18.3</v>
      </c>
      <c r="I35" s="3336">
        <f t="shared" si="10"/>
        <v>4.2196038645115177</v>
      </c>
      <c r="J35" s="3331">
        <v>42826</v>
      </c>
      <c r="K35" s="3332"/>
      <c r="L35" s="3333"/>
      <c r="M35" s="3407" t="s">
        <v>3620</v>
      </c>
      <c r="N35" s="3334" t="s">
        <v>4057</v>
      </c>
      <c r="O35" s="3189" t="s">
        <v>4058</v>
      </c>
      <c r="W35" s="3189" t="s">
        <v>4239</v>
      </c>
      <c r="X35" s="3247" t="str">
        <f t="shared" si="11"/>
        <v>淘汇新天</v>
      </c>
      <c r="AA35" s="3212">
        <f t="shared" si="12"/>
        <v>3.4373597228532483E-2</v>
      </c>
    </row>
    <row r="36" spans="2:27" ht="33">
      <c r="B36" s="3937"/>
      <c r="C36" s="3190">
        <v>23</v>
      </c>
      <c r="D36" s="3191" t="s">
        <v>3626</v>
      </c>
      <c r="E36" s="3191" t="s">
        <v>3627</v>
      </c>
      <c r="F36" s="3191" t="s">
        <v>3588</v>
      </c>
      <c r="G36" s="3192">
        <v>36692</v>
      </c>
      <c r="H36" s="3193">
        <v>14.61</v>
      </c>
      <c r="I36" s="3336">
        <f t="shared" si="10"/>
        <v>3.9817943965987137</v>
      </c>
      <c r="J36" s="3194">
        <v>42767</v>
      </c>
      <c r="K36" s="3195"/>
      <c r="L36" s="3196"/>
      <c r="M36" s="3203" t="s">
        <v>3598</v>
      </c>
      <c r="N36" s="3402" t="s">
        <v>3621</v>
      </c>
      <c r="W36" s="3189" t="s">
        <v>4240</v>
      </c>
      <c r="X36" s="3247" t="str">
        <f>D44</f>
        <v>广安门购物中心</v>
      </c>
      <c r="AA36" s="3212">
        <f>L44</f>
        <v>4.9493013883677293E-2</v>
      </c>
    </row>
    <row r="37" spans="2:27" ht="33">
      <c r="B37" s="3937"/>
      <c r="C37" s="3190">
        <v>24</v>
      </c>
      <c r="D37" s="3191" t="s">
        <v>3628</v>
      </c>
      <c r="E37" s="3191" t="s">
        <v>3629</v>
      </c>
      <c r="F37" s="3191" t="s">
        <v>3588</v>
      </c>
      <c r="G37" s="3192">
        <v>17470</v>
      </c>
      <c r="H37" s="3193">
        <v>6.8</v>
      </c>
      <c r="I37" s="3336">
        <f t="shared" si="10"/>
        <v>3.8923869490555236</v>
      </c>
      <c r="J37" s="3194"/>
      <c r="K37" s="3195"/>
      <c r="L37" s="3196"/>
      <c r="M37" s="3408" t="s">
        <v>4161</v>
      </c>
      <c r="N37" s="3402" t="s">
        <v>3621</v>
      </c>
      <c r="W37" s="3189" t="s">
        <v>4241</v>
      </c>
      <c r="X37" s="3247" t="s">
        <v>3350</v>
      </c>
      <c r="AA37" s="3451">
        <f>'案例-租金'!L114</f>
        <v>6.8704385725795611E-2</v>
      </c>
    </row>
    <row r="38" spans="2:27" ht="16.5">
      <c r="B38" s="3937"/>
      <c r="C38" s="3190">
        <v>25</v>
      </c>
      <c r="D38" s="3191" t="s">
        <v>3630</v>
      </c>
      <c r="E38" s="3191" t="s">
        <v>3631</v>
      </c>
      <c r="F38" s="3191" t="s">
        <v>3588</v>
      </c>
      <c r="G38" s="3192">
        <v>15995</v>
      </c>
      <c r="H38" s="3193">
        <v>6.58</v>
      </c>
      <c r="I38" s="3336">
        <f>H38/G38*10000</f>
        <v>4.113785557986871</v>
      </c>
      <c r="J38" s="3194">
        <v>42795</v>
      </c>
      <c r="K38" s="3195">
        <v>5</v>
      </c>
      <c r="L38" s="3196">
        <f>K38*G38*365/100000000/H38</f>
        <v>4.4363031914893616E-2</v>
      </c>
      <c r="M38" s="3203" t="s">
        <v>3598</v>
      </c>
      <c r="N38" s="3402" t="s">
        <v>3244</v>
      </c>
    </row>
    <row r="39" spans="2:27" ht="33">
      <c r="B39" s="3937"/>
      <c r="C39" s="3190">
        <v>26</v>
      </c>
      <c r="D39" s="3191" t="s">
        <v>3632</v>
      </c>
      <c r="E39" s="3191" t="s">
        <v>3633</v>
      </c>
      <c r="F39" s="3191" t="s">
        <v>1343</v>
      </c>
      <c r="G39" s="3192">
        <v>63000</v>
      </c>
      <c r="H39" s="3193">
        <v>32</v>
      </c>
      <c r="I39" s="3336">
        <f>H39/G39*10000</f>
        <v>5.0793650793650791</v>
      </c>
      <c r="J39" s="3194">
        <v>42917</v>
      </c>
      <c r="K39" s="3195">
        <v>4.9000000000000004</v>
      </c>
      <c r="L39" s="3196">
        <f>K39*G39*365/100000000/H39</f>
        <v>3.5211093749999998E-2</v>
      </c>
      <c r="M39" s="3203" t="s">
        <v>3598</v>
      </c>
      <c r="AA39" s="3450">
        <f>AVERAGE(AA15:AA38)</f>
        <v>5.519325679677653E-2</v>
      </c>
    </row>
    <row r="40" spans="2:27" ht="33">
      <c r="B40" s="3937"/>
      <c r="C40" s="3190">
        <v>27</v>
      </c>
      <c r="D40" s="3198" t="s">
        <v>3634</v>
      </c>
      <c r="E40" s="3198" t="s">
        <v>3623</v>
      </c>
      <c r="F40" s="3198" t="s">
        <v>1343</v>
      </c>
      <c r="G40" s="3199">
        <v>85700</v>
      </c>
      <c r="H40" s="3200">
        <v>29</v>
      </c>
      <c r="I40" s="3337">
        <v>3.4</v>
      </c>
      <c r="J40" s="3201">
        <v>42767</v>
      </c>
      <c r="K40" s="3202">
        <v>7.4</v>
      </c>
      <c r="L40" s="3196">
        <f>K40*G40*365/100000000/H40</f>
        <v>7.9819206896551725E-2</v>
      </c>
      <c r="M40" s="3203" t="s">
        <v>3635</v>
      </c>
      <c r="N40" s="3402" t="s">
        <v>3244</v>
      </c>
    </row>
    <row r="41" spans="2:27" ht="16.5">
      <c r="B41" s="3937"/>
      <c r="C41" s="3190">
        <v>28</v>
      </c>
      <c r="D41" s="3191" t="s">
        <v>3636</v>
      </c>
      <c r="E41" s="3191" t="s">
        <v>3637</v>
      </c>
      <c r="F41" s="3191" t="s">
        <v>1343</v>
      </c>
      <c r="G41" s="3192">
        <v>27637</v>
      </c>
      <c r="H41" s="3193">
        <v>22.01</v>
      </c>
      <c r="I41" s="3336">
        <f>H41*10000/G41</f>
        <v>7.9639613561529847</v>
      </c>
      <c r="J41" s="3194">
        <v>42917</v>
      </c>
      <c r="K41" s="3195">
        <v>7.5</v>
      </c>
      <c r="L41" s="3196">
        <f>K41*G41*365/100000000/H41</f>
        <v>3.4373597228532483E-2</v>
      </c>
      <c r="M41" s="3203" t="s">
        <v>3598</v>
      </c>
    </row>
    <row r="42" spans="2:27" ht="33">
      <c r="B42" s="3937"/>
      <c r="C42" s="3190">
        <v>29</v>
      </c>
      <c r="D42" s="3191" t="s">
        <v>3638</v>
      </c>
      <c r="E42" s="3191" t="s">
        <v>3633</v>
      </c>
      <c r="F42" s="3191" t="s">
        <v>1343</v>
      </c>
      <c r="G42" s="3192">
        <v>50084</v>
      </c>
      <c r="H42" s="3193">
        <v>12.5</v>
      </c>
      <c r="I42" s="3336">
        <f>H42*10000/G42</f>
        <v>2.4958070441658013</v>
      </c>
      <c r="J42" s="3194">
        <v>42826</v>
      </c>
      <c r="K42" s="3195"/>
      <c r="L42" s="3196"/>
      <c r="M42" s="3203" t="s">
        <v>3620</v>
      </c>
    </row>
    <row r="43" spans="2:27" ht="49.5">
      <c r="B43" s="3937"/>
      <c r="C43" s="3190">
        <v>30</v>
      </c>
      <c r="D43" s="3191" t="s">
        <v>3639</v>
      </c>
      <c r="E43" s="3191" t="s">
        <v>3640</v>
      </c>
      <c r="F43" s="3191" t="s">
        <v>1343</v>
      </c>
      <c r="G43" s="3192">
        <v>43443</v>
      </c>
      <c r="H43" s="3193">
        <v>11.3</v>
      </c>
      <c r="I43" s="3336">
        <v>2.6</v>
      </c>
      <c r="J43" s="3194">
        <v>42917</v>
      </c>
      <c r="K43" s="3195"/>
      <c r="L43" s="3196"/>
      <c r="M43" s="3204" t="s">
        <v>3641</v>
      </c>
    </row>
    <row r="44" spans="2:27" ht="33">
      <c r="B44" s="3937"/>
      <c r="C44" s="3190">
        <v>31</v>
      </c>
      <c r="D44" s="3191" t="s">
        <v>3642</v>
      </c>
      <c r="E44" s="3191" t="s">
        <v>3643</v>
      </c>
      <c r="F44" s="3191" t="s">
        <v>1343</v>
      </c>
      <c r="G44" s="3192">
        <v>10474.4</v>
      </c>
      <c r="H44" s="3193">
        <v>5.33</v>
      </c>
      <c r="I44" s="3336">
        <f>H44*10000/G44</f>
        <v>5.0885969602077452</v>
      </c>
      <c r="J44" s="3194">
        <v>43070</v>
      </c>
      <c r="K44" s="3213">
        <v>6.9</v>
      </c>
      <c r="L44" s="3214">
        <f>K44*G44*365/100000000/H44</f>
        <v>4.9493013883677293E-2</v>
      </c>
      <c r="M44" s="3203" t="s">
        <v>3620</v>
      </c>
    </row>
    <row r="45" spans="2:27" ht="16.5">
      <c r="B45" s="3937"/>
      <c r="C45" s="3190">
        <v>32</v>
      </c>
      <c r="D45" s="3191" t="s">
        <v>3644</v>
      </c>
      <c r="E45" s="3191" t="s">
        <v>3645</v>
      </c>
      <c r="F45" s="3191" t="s">
        <v>1343</v>
      </c>
      <c r="G45" s="3192">
        <v>30075.95</v>
      </c>
      <c r="H45" s="3193">
        <v>4.5191520000000001</v>
      </c>
      <c r="I45" s="3336">
        <f>H45*10000/G45</f>
        <v>1.5025799683800514</v>
      </c>
      <c r="J45" s="3194"/>
      <c r="K45" s="3195"/>
      <c r="L45" s="3196"/>
      <c r="M45" s="3203"/>
    </row>
    <row r="46" spans="2:27" ht="33" hidden="1">
      <c r="B46" s="3937"/>
      <c r="C46" s="3190">
        <v>33</v>
      </c>
      <c r="D46" s="3191" t="s">
        <v>3646</v>
      </c>
      <c r="E46" s="3191" t="s">
        <v>3633</v>
      </c>
      <c r="F46" s="3191" t="s">
        <v>1343</v>
      </c>
      <c r="G46" s="3192">
        <v>52687.4</v>
      </c>
      <c r="H46" s="3193">
        <v>0</v>
      </c>
      <c r="I46" s="3336">
        <v>0</v>
      </c>
      <c r="J46" s="3194"/>
      <c r="K46" s="3195"/>
      <c r="L46" s="3196"/>
      <c r="M46" s="3203"/>
    </row>
    <row r="47" spans="2:27" ht="16.5" hidden="1">
      <c r="B47" s="3937"/>
      <c r="C47" s="3190">
        <v>34</v>
      </c>
      <c r="D47" s="3191" t="s">
        <v>3647</v>
      </c>
      <c r="E47" s="3191" t="s">
        <v>3648</v>
      </c>
      <c r="F47" s="3191" t="s">
        <v>3588</v>
      </c>
      <c r="G47" s="3192">
        <v>6660.7</v>
      </c>
      <c r="H47" s="3193">
        <v>6.43</v>
      </c>
      <c r="I47" s="3336">
        <v>9.65</v>
      </c>
      <c r="J47" s="3205"/>
      <c r="K47" s="3205"/>
      <c r="L47" s="3205"/>
      <c r="M47" s="3409"/>
      <c r="N47" s="3402" t="s">
        <v>27</v>
      </c>
      <c r="O47">
        <f>SUMIF($F$48:$F$119,N47,$G$48:$G$119)</f>
        <v>1037219.9086233039</v>
      </c>
      <c r="P47" s="3197">
        <f>O47/$O$51</f>
        <v>0.32129754491402485</v>
      </c>
    </row>
    <row r="48" spans="2:27" ht="66" hidden="1">
      <c r="B48" s="3937" t="s">
        <v>3649</v>
      </c>
      <c r="C48" s="3206">
        <v>1</v>
      </c>
      <c r="D48" s="3206" t="s">
        <v>3650</v>
      </c>
      <c r="E48" s="3206" t="s">
        <v>3651</v>
      </c>
      <c r="F48" s="3206" t="s">
        <v>27</v>
      </c>
      <c r="G48" s="3207">
        <v>75177</v>
      </c>
      <c r="H48" s="3208">
        <v>17.190000000000001</v>
      </c>
      <c r="I48" s="3338">
        <v>2.2866036154675</v>
      </c>
      <c r="J48" s="3209"/>
      <c r="K48" s="3209"/>
      <c r="L48" s="3209"/>
      <c r="M48" s="3410"/>
      <c r="N48" s="3402" t="s">
        <v>1343</v>
      </c>
      <c r="O48">
        <f>SUMIF($F$48:$F$119,N48,$G$48:$G$119)</f>
        <v>57054.86</v>
      </c>
      <c r="P48" s="3197">
        <f>O48/$O$51</f>
        <v>1.7673770326819903E-2</v>
      </c>
    </row>
    <row r="49" spans="2:16" ht="33" hidden="1">
      <c r="B49" s="3937"/>
      <c r="C49" s="3206">
        <v>2</v>
      </c>
      <c r="D49" s="3206" t="s">
        <v>3652</v>
      </c>
      <c r="E49" s="3206" t="s">
        <v>3653</v>
      </c>
      <c r="F49" s="3206" t="s">
        <v>27</v>
      </c>
      <c r="G49" s="3210">
        <v>19566.62</v>
      </c>
      <c r="H49" s="3208">
        <v>9.3202999999999996</v>
      </c>
      <c r="I49" s="3338">
        <v>4.7633674083720097</v>
      </c>
      <c r="J49" s="3209"/>
      <c r="K49" s="3209"/>
      <c r="L49" s="3209"/>
      <c r="M49" s="3410"/>
      <c r="N49" s="3402" t="s">
        <v>3588</v>
      </c>
      <c r="O49">
        <f>SUMIF($F$48:$F$119,N49,$G$48:$G$119)</f>
        <v>867157.79</v>
      </c>
      <c r="P49" s="3197">
        <f>O49/$O$51</f>
        <v>0.26861774119808068</v>
      </c>
    </row>
    <row r="50" spans="2:16" ht="33" hidden="1">
      <c r="B50" s="3937"/>
      <c r="C50" s="3206">
        <v>3</v>
      </c>
      <c r="D50" s="3206" t="s">
        <v>3654</v>
      </c>
      <c r="E50" s="3206" t="s">
        <v>3653</v>
      </c>
      <c r="F50" s="3206" t="s">
        <v>27</v>
      </c>
      <c r="G50" s="3211">
        <v>11912.44</v>
      </c>
      <c r="H50" s="3208">
        <v>4.3955000000000002</v>
      </c>
      <c r="I50" s="3338">
        <v>3.6898402006641802</v>
      </c>
      <c r="J50" s="3209"/>
      <c r="K50" s="3209"/>
      <c r="L50" s="3209"/>
      <c r="M50" s="3410"/>
      <c r="N50" s="3402" t="s">
        <v>3591</v>
      </c>
      <c r="O50">
        <f>SUMIF($F$48:$F$119,N50,$G$48:$G$119)</f>
        <v>1266789.77</v>
      </c>
      <c r="P50" s="3197">
        <f>O50/$O$51</f>
        <v>0.39241094356107453</v>
      </c>
    </row>
    <row r="51" spans="2:16" ht="33" hidden="1">
      <c r="B51" s="3937"/>
      <c r="C51" s="3206">
        <v>4</v>
      </c>
      <c r="D51" s="3206" t="s">
        <v>3655</v>
      </c>
      <c r="E51" s="3206" t="s">
        <v>3656</v>
      </c>
      <c r="F51" s="3206" t="s">
        <v>27</v>
      </c>
      <c r="G51" s="3211">
        <v>10962.43</v>
      </c>
      <c r="H51" s="3208">
        <v>6.6</v>
      </c>
      <c r="I51" s="3338">
        <v>6.0205629591249403</v>
      </c>
      <c r="J51" s="3209"/>
      <c r="K51" s="3209"/>
      <c r="L51" s="3209"/>
      <c r="M51" s="3410"/>
      <c r="O51">
        <f>SUM(O47:O50)</f>
        <v>3228222.3286233041</v>
      </c>
    </row>
    <row r="52" spans="2:16" ht="33" hidden="1">
      <c r="B52" s="3937"/>
      <c r="C52" s="3206">
        <v>5</v>
      </c>
      <c r="D52" s="3206" t="s">
        <v>3657</v>
      </c>
      <c r="E52" s="3206" t="s">
        <v>3658</v>
      </c>
      <c r="F52" s="3206" t="s">
        <v>27</v>
      </c>
      <c r="G52" s="3211">
        <v>20899</v>
      </c>
      <c r="H52" s="3208">
        <v>14.9</v>
      </c>
      <c r="I52" s="3338">
        <v>7.1295277285994496</v>
      </c>
      <c r="J52" s="3209"/>
      <c r="K52" s="3209"/>
      <c r="L52" s="3209"/>
      <c r="M52" s="3410"/>
    </row>
    <row r="53" spans="2:16" ht="33" hidden="1">
      <c r="B53" s="3937"/>
      <c r="C53" s="3206">
        <v>6</v>
      </c>
      <c r="D53" s="3206" t="s">
        <v>3659</v>
      </c>
      <c r="E53" s="3206" t="s">
        <v>3660</v>
      </c>
      <c r="F53" s="3206" t="s">
        <v>27</v>
      </c>
      <c r="G53" s="3211">
        <v>17413.7</v>
      </c>
      <c r="H53" s="3208">
        <v>12.863980379999999</v>
      </c>
      <c r="I53" s="3338">
        <v>7.3872757541476002</v>
      </c>
      <c r="J53" s="3209"/>
      <c r="K53" s="3209"/>
      <c r="L53" s="3209"/>
      <c r="M53" s="3410"/>
    </row>
    <row r="54" spans="2:16" ht="33" hidden="1">
      <c r="B54" s="3937"/>
      <c r="C54" s="3206">
        <v>7</v>
      </c>
      <c r="D54" s="3206" t="s">
        <v>3661</v>
      </c>
      <c r="E54" s="3206" t="s">
        <v>3662</v>
      </c>
      <c r="F54" s="3206" t="s">
        <v>27</v>
      </c>
      <c r="G54" s="3211">
        <v>20257.25</v>
      </c>
      <c r="H54" s="3208">
        <v>8.2406000000000006</v>
      </c>
      <c r="I54" s="3338">
        <v>4.0679756630342201</v>
      </c>
      <c r="J54" s="3209"/>
      <c r="K54" s="3209"/>
      <c r="L54" s="3209"/>
      <c r="M54" s="3410"/>
    </row>
    <row r="55" spans="2:16" ht="33" hidden="1">
      <c r="B55" s="3937"/>
      <c r="C55" s="3206">
        <v>8</v>
      </c>
      <c r="D55" s="3206" t="s">
        <v>3661</v>
      </c>
      <c r="E55" s="3206" t="s">
        <v>3662</v>
      </c>
      <c r="F55" s="3206" t="s">
        <v>27</v>
      </c>
      <c r="G55" s="3211">
        <v>7515.36</v>
      </c>
      <c r="H55" s="3208">
        <v>3.9542818199999998</v>
      </c>
      <c r="I55" s="3338">
        <v>5.2616000031934602</v>
      </c>
      <c r="J55" s="3209"/>
      <c r="K55" s="3209"/>
      <c r="L55" s="3209"/>
      <c r="M55" s="3410"/>
    </row>
    <row r="56" spans="2:16" ht="33" hidden="1">
      <c r="B56" s="3937"/>
      <c r="C56" s="3206">
        <v>9</v>
      </c>
      <c r="D56" s="3211" t="s">
        <v>3663</v>
      </c>
      <c r="E56" s="3206" t="s">
        <v>3664</v>
      </c>
      <c r="F56" s="3206" t="s">
        <v>27</v>
      </c>
      <c r="G56" s="3211">
        <v>24883</v>
      </c>
      <c r="H56" s="3208">
        <v>13.187989999999999</v>
      </c>
      <c r="I56" s="3338">
        <v>5.3</v>
      </c>
      <c r="J56" s="3209"/>
      <c r="K56" s="3209"/>
      <c r="L56" s="3209"/>
      <c r="M56" s="3410"/>
    </row>
    <row r="57" spans="2:16" ht="33" hidden="1">
      <c r="B57" s="3937"/>
      <c r="C57" s="3206">
        <v>10</v>
      </c>
      <c r="D57" s="3206" t="s">
        <v>3665</v>
      </c>
      <c r="E57" s="3206" t="s">
        <v>3664</v>
      </c>
      <c r="F57" s="3206" t="s">
        <v>27</v>
      </c>
      <c r="G57" s="3207">
        <v>41662</v>
      </c>
      <c r="H57" s="3208">
        <v>26.580355999999998</v>
      </c>
      <c r="I57" s="3338">
        <v>6.38</v>
      </c>
      <c r="J57" s="3209"/>
      <c r="K57" s="3209"/>
      <c r="L57" s="3209"/>
      <c r="M57" s="3410"/>
    </row>
    <row r="58" spans="2:16" ht="66" hidden="1">
      <c r="B58" s="3937"/>
      <c r="C58" s="3206">
        <v>11</v>
      </c>
      <c r="D58" s="3206" t="s">
        <v>3666</v>
      </c>
      <c r="E58" s="3206" t="s">
        <v>3664</v>
      </c>
      <c r="F58" s="3206" t="s">
        <v>27</v>
      </c>
      <c r="G58" s="3207">
        <v>49243.42</v>
      </c>
      <c r="H58" s="3208">
        <v>17.00045361686</v>
      </c>
      <c r="I58" s="3338">
        <v>3.4523299999999999</v>
      </c>
      <c r="J58" s="3209"/>
      <c r="K58" s="3209"/>
      <c r="L58" s="3209"/>
      <c r="M58" s="3410"/>
    </row>
    <row r="59" spans="2:16" ht="33" hidden="1">
      <c r="B59" s="3937"/>
      <c r="C59" s="3206">
        <v>12</v>
      </c>
      <c r="D59" s="3206" t="s">
        <v>3667</v>
      </c>
      <c r="E59" s="3206" t="s">
        <v>3668</v>
      </c>
      <c r="F59" s="3206" t="s">
        <v>27</v>
      </c>
      <c r="G59" s="3211">
        <v>70548</v>
      </c>
      <c r="H59" s="3208">
        <v>36.684959999999997</v>
      </c>
      <c r="I59" s="3338">
        <v>5.2</v>
      </c>
      <c r="J59" s="3209"/>
      <c r="K59" s="3209"/>
      <c r="L59" s="3209"/>
      <c r="M59" s="3410"/>
    </row>
    <row r="60" spans="2:16" ht="33" hidden="1">
      <c r="B60" s="3937"/>
      <c r="C60" s="3206">
        <v>13</v>
      </c>
      <c r="D60" s="3206" t="s">
        <v>3669</v>
      </c>
      <c r="E60" s="3206" t="s">
        <v>3670</v>
      </c>
      <c r="F60" s="3206" t="s">
        <v>27</v>
      </c>
      <c r="G60" s="3211">
        <v>115130</v>
      </c>
      <c r="H60" s="3208">
        <v>25.96341</v>
      </c>
      <c r="I60" s="3338">
        <v>2.2551385390428198</v>
      </c>
      <c r="J60" s="3209"/>
      <c r="K60" s="3209"/>
      <c r="L60" s="3209"/>
      <c r="M60" s="3410"/>
    </row>
    <row r="61" spans="2:16" ht="33" hidden="1">
      <c r="B61" s="3937"/>
      <c r="C61" s="3206">
        <v>14</v>
      </c>
      <c r="D61" s="3206" t="s">
        <v>3671</v>
      </c>
      <c r="E61" s="3206" t="s">
        <v>3672</v>
      </c>
      <c r="F61" s="3206" t="s">
        <v>27</v>
      </c>
      <c r="G61" s="3211">
        <v>30259.18</v>
      </c>
      <c r="H61" s="3208">
        <v>19.971058800000002</v>
      </c>
      <c r="I61" s="3338">
        <v>6.6</v>
      </c>
      <c r="J61" s="3209"/>
      <c r="K61" s="3209"/>
      <c r="L61" s="3209"/>
      <c r="M61" s="3410"/>
    </row>
    <row r="62" spans="2:16" ht="33" hidden="1">
      <c r="B62" s="3937"/>
      <c r="C62" s="3206">
        <v>15</v>
      </c>
      <c r="D62" s="3206" t="s">
        <v>3673</v>
      </c>
      <c r="E62" s="3206" t="s">
        <v>3674</v>
      </c>
      <c r="F62" s="3206" t="s">
        <v>27</v>
      </c>
      <c r="G62" s="3211">
        <v>31697</v>
      </c>
      <c r="H62" s="3208">
        <v>13.71951924</v>
      </c>
      <c r="I62" s="3338">
        <v>4.3283336719563401</v>
      </c>
      <c r="J62" s="3209"/>
      <c r="K62" s="3209"/>
      <c r="L62" s="3209"/>
      <c r="M62" s="3410"/>
    </row>
    <row r="63" spans="2:16" ht="49.5" hidden="1">
      <c r="B63" s="3937"/>
      <c r="C63" s="3206">
        <v>16</v>
      </c>
      <c r="D63" s="3206" t="s">
        <v>3675</v>
      </c>
      <c r="E63" s="3206" t="s">
        <v>3676</v>
      </c>
      <c r="F63" s="3206" t="s">
        <v>27</v>
      </c>
      <c r="G63" s="3207">
        <v>36054</v>
      </c>
      <c r="H63" s="3208">
        <v>9.0386224800000008</v>
      </c>
      <c r="I63" s="3338">
        <v>2.5069680146447002</v>
      </c>
      <c r="J63" s="3209"/>
      <c r="K63" s="3209"/>
      <c r="L63" s="3209"/>
      <c r="M63" s="3410"/>
    </row>
    <row r="64" spans="2:16" ht="16.5" hidden="1">
      <c r="B64" s="3937"/>
      <c r="C64" s="3206">
        <v>17</v>
      </c>
      <c r="D64" s="3206" t="s">
        <v>3677</v>
      </c>
      <c r="E64" s="3206" t="s">
        <v>3676</v>
      </c>
      <c r="F64" s="3206" t="s">
        <v>27</v>
      </c>
      <c r="G64" s="3207">
        <v>10000</v>
      </c>
      <c r="H64" s="3208">
        <v>2.7</v>
      </c>
      <c r="I64" s="3338">
        <v>2.7</v>
      </c>
      <c r="J64" s="3209"/>
      <c r="K64" s="3209"/>
      <c r="L64" s="3209"/>
      <c r="M64" s="3410"/>
    </row>
    <row r="65" spans="2:13" ht="33" hidden="1">
      <c r="B65" s="3937"/>
      <c r="C65" s="3206">
        <v>18</v>
      </c>
      <c r="D65" s="3206" t="s">
        <v>3678</v>
      </c>
      <c r="E65" s="3206" t="s">
        <v>3676</v>
      </c>
      <c r="F65" s="3206" t="s">
        <v>27</v>
      </c>
      <c r="G65" s="3207">
        <v>37500</v>
      </c>
      <c r="H65" s="3208">
        <v>9.375</v>
      </c>
      <c r="I65" s="3338">
        <v>2.5</v>
      </c>
      <c r="J65" s="3209"/>
      <c r="K65" s="3209"/>
      <c r="L65" s="3209"/>
      <c r="M65" s="3410"/>
    </row>
    <row r="66" spans="2:13" ht="33" hidden="1">
      <c r="B66" s="3937"/>
      <c r="C66" s="3206">
        <v>19</v>
      </c>
      <c r="D66" s="3206" t="s">
        <v>3679</v>
      </c>
      <c r="E66" s="3206" t="s">
        <v>3680</v>
      </c>
      <c r="F66" s="3206" t="s">
        <v>27</v>
      </c>
      <c r="G66" s="3207">
        <v>32816.128623303797</v>
      </c>
      <c r="H66" s="3208">
        <v>25.75573855</v>
      </c>
      <c r="I66" s="3338">
        <v>7.8484999999999996</v>
      </c>
      <c r="J66" s="3209"/>
      <c r="K66" s="3209"/>
      <c r="L66" s="3209"/>
      <c r="M66" s="3410"/>
    </row>
    <row r="67" spans="2:13" ht="16.5" hidden="1">
      <c r="B67" s="3937"/>
      <c r="C67" s="3206">
        <v>20</v>
      </c>
      <c r="D67" s="3206" t="s">
        <v>3681</v>
      </c>
      <c r="E67" s="3206" t="s">
        <v>3662</v>
      </c>
      <c r="F67" s="3206" t="s">
        <v>27</v>
      </c>
      <c r="G67" s="3207">
        <v>11427.24</v>
      </c>
      <c r="H67" s="3208">
        <v>2.5</v>
      </c>
      <c r="I67" s="3338">
        <v>2.1877548734427599</v>
      </c>
      <c r="J67" s="3209"/>
      <c r="K67" s="3209"/>
      <c r="L67" s="3209"/>
      <c r="M67" s="3410"/>
    </row>
    <row r="68" spans="2:13" ht="33" hidden="1">
      <c r="B68" s="3937"/>
      <c r="C68" s="3206">
        <v>21</v>
      </c>
      <c r="D68" s="3206" t="s">
        <v>3682</v>
      </c>
      <c r="E68" s="3206" t="s">
        <v>3683</v>
      </c>
      <c r="F68" s="3206" t="s">
        <v>27</v>
      </c>
      <c r="G68" s="3211">
        <v>19154.61</v>
      </c>
      <c r="H68" s="3208">
        <v>12.5</v>
      </c>
      <c r="I68" s="3338">
        <v>6.5258441701501599</v>
      </c>
      <c r="J68" s="3209"/>
      <c r="K68" s="3209"/>
      <c r="L68" s="3209"/>
      <c r="M68" s="3410"/>
    </row>
    <row r="69" spans="2:13" ht="66" hidden="1">
      <c r="B69" s="3937"/>
      <c r="C69" s="3206">
        <v>22</v>
      </c>
      <c r="D69" s="3206" t="s">
        <v>3684</v>
      </c>
      <c r="E69" s="3206" t="s">
        <v>3683</v>
      </c>
      <c r="F69" s="3206" t="s">
        <v>27</v>
      </c>
      <c r="G69" s="3211">
        <v>29324.240000000002</v>
      </c>
      <c r="H69" s="3208">
        <v>21.5533164</v>
      </c>
      <c r="I69" s="3338">
        <v>7.35</v>
      </c>
      <c r="J69" s="3209"/>
      <c r="K69" s="3209"/>
      <c r="L69" s="3209"/>
      <c r="M69" s="3410"/>
    </row>
    <row r="70" spans="2:13" ht="33" hidden="1">
      <c r="B70" s="3937"/>
      <c r="C70" s="3206">
        <v>23</v>
      </c>
      <c r="D70" s="3206" t="s">
        <v>3685</v>
      </c>
      <c r="E70" s="3206" t="s">
        <v>3686</v>
      </c>
      <c r="F70" s="3206" t="s">
        <v>27</v>
      </c>
      <c r="G70" s="3211">
        <v>10061.219999999999</v>
      </c>
      <c r="H70" s="3208">
        <v>3</v>
      </c>
      <c r="I70" s="3338">
        <v>2.9817457525031799</v>
      </c>
      <c r="J70" s="3209"/>
      <c r="K70" s="3209"/>
      <c r="L70" s="3209"/>
      <c r="M70" s="3410"/>
    </row>
    <row r="71" spans="2:13" ht="66" hidden="1">
      <c r="B71" s="3937"/>
      <c r="C71" s="3206">
        <v>24</v>
      </c>
      <c r="D71" s="3206" t="s">
        <v>3687</v>
      </c>
      <c r="E71" s="3206" t="s">
        <v>3688</v>
      </c>
      <c r="F71" s="3206" t="s">
        <v>27</v>
      </c>
      <c r="G71" s="3211">
        <v>12974</v>
      </c>
      <c r="H71" s="3208">
        <v>6.2817396499999996</v>
      </c>
      <c r="I71" s="3338">
        <v>4.8417910050871003</v>
      </c>
      <c r="J71" s="3209"/>
      <c r="K71" s="3209"/>
      <c r="L71" s="3209"/>
      <c r="M71" s="3410"/>
    </row>
    <row r="72" spans="2:13" ht="66" hidden="1">
      <c r="B72" s="3937"/>
      <c r="C72" s="3206">
        <v>25</v>
      </c>
      <c r="D72" s="3206" t="s">
        <v>3689</v>
      </c>
      <c r="E72" s="3206" t="s">
        <v>3688</v>
      </c>
      <c r="F72" s="3206" t="s">
        <v>27</v>
      </c>
      <c r="G72" s="3211">
        <v>17570.16</v>
      </c>
      <c r="H72" s="3208">
        <v>6.2816999999999998</v>
      </c>
      <c r="I72" s="3338">
        <v>3.57520933218593</v>
      </c>
      <c r="J72" s="3209"/>
      <c r="K72" s="3209"/>
      <c r="L72" s="3209"/>
      <c r="M72" s="3410"/>
    </row>
    <row r="73" spans="2:13" ht="66" hidden="1">
      <c r="B73" s="3937"/>
      <c r="C73" s="3206">
        <v>26</v>
      </c>
      <c r="D73" s="3206" t="s">
        <v>3690</v>
      </c>
      <c r="E73" s="3206" t="s">
        <v>3688</v>
      </c>
      <c r="F73" s="3206" t="s">
        <v>27</v>
      </c>
      <c r="G73" s="3211">
        <v>4264.93</v>
      </c>
      <c r="H73" s="3208">
        <v>1.4998</v>
      </c>
      <c r="I73" s="3338">
        <v>3.5165876110510599</v>
      </c>
      <c r="J73" s="3209"/>
      <c r="K73" s="3209"/>
      <c r="L73" s="3209"/>
      <c r="M73" s="3410"/>
    </row>
    <row r="74" spans="2:13" ht="66" hidden="1">
      <c r="B74" s="3937"/>
      <c r="C74" s="3206">
        <v>27</v>
      </c>
      <c r="D74" s="3206" t="s">
        <v>3691</v>
      </c>
      <c r="E74" s="3206" t="s">
        <v>3688</v>
      </c>
      <c r="F74" s="3206" t="s">
        <v>27</v>
      </c>
      <c r="G74" s="3211">
        <v>40533.94</v>
      </c>
      <c r="H74" s="3208">
        <v>10.9940205462</v>
      </c>
      <c r="I74" s="3338">
        <v>2.7122999999999999</v>
      </c>
      <c r="J74" s="3209"/>
      <c r="K74" s="3209"/>
      <c r="L74" s="3209"/>
      <c r="M74" s="3410"/>
    </row>
    <row r="75" spans="2:13" ht="16.5" hidden="1">
      <c r="B75" s="3937"/>
      <c r="C75" s="3206">
        <v>28</v>
      </c>
      <c r="D75" s="3206" t="s">
        <v>3692</v>
      </c>
      <c r="E75" s="3206" t="s">
        <v>3693</v>
      </c>
      <c r="F75" s="3206" t="s">
        <v>27</v>
      </c>
      <c r="G75" s="3211">
        <v>80557.789999999994</v>
      </c>
      <c r="H75" s="3208">
        <v>26.3</v>
      </c>
      <c r="I75" s="3338">
        <v>3.2647370291563398</v>
      </c>
      <c r="J75" s="3209"/>
      <c r="K75" s="3209"/>
      <c r="L75" s="3209"/>
      <c r="M75" s="3410"/>
    </row>
    <row r="76" spans="2:13" ht="33" hidden="1">
      <c r="B76" s="3937"/>
      <c r="C76" s="3206">
        <v>29</v>
      </c>
      <c r="D76" s="3206" t="s">
        <v>3694</v>
      </c>
      <c r="E76" s="3206" t="s">
        <v>3693</v>
      </c>
      <c r="F76" s="3206" t="s">
        <v>27</v>
      </c>
      <c r="G76" s="3211">
        <v>25094.9</v>
      </c>
      <c r="H76" s="3208">
        <v>10.03796</v>
      </c>
      <c r="I76" s="3338">
        <v>4</v>
      </c>
      <c r="J76" s="3209"/>
      <c r="K76" s="3209"/>
      <c r="L76" s="3209"/>
      <c r="M76" s="3410"/>
    </row>
    <row r="77" spans="2:13" ht="33" hidden="1">
      <c r="B77" s="3937"/>
      <c r="C77" s="3206">
        <v>30</v>
      </c>
      <c r="D77" s="3206" t="s">
        <v>3695</v>
      </c>
      <c r="E77" s="3206" t="s">
        <v>3696</v>
      </c>
      <c r="F77" s="3206" t="s">
        <v>27</v>
      </c>
      <c r="G77" s="3207">
        <v>19266</v>
      </c>
      <c r="H77" s="3208">
        <v>7.2305910999999998</v>
      </c>
      <c r="I77" s="3338">
        <v>3.75303181770995</v>
      </c>
      <c r="J77" s="3209"/>
      <c r="K77" s="3209"/>
      <c r="L77" s="3209"/>
      <c r="M77" s="3410"/>
    </row>
    <row r="78" spans="2:13" ht="49.5" hidden="1">
      <c r="B78" s="3937"/>
      <c r="C78" s="3206">
        <v>31</v>
      </c>
      <c r="D78" s="3206" t="s">
        <v>3697</v>
      </c>
      <c r="E78" s="3206" t="s">
        <v>3696</v>
      </c>
      <c r="F78" s="3206" t="s">
        <v>27</v>
      </c>
      <c r="G78" s="3211">
        <v>23534.31</v>
      </c>
      <c r="H78" s="3208">
        <v>13.417899999999999</v>
      </c>
      <c r="I78" s="3338">
        <v>5.7014206067651898</v>
      </c>
      <c r="J78" s="3209"/>
      <c r="K78" s="3209"/>
      <c r="L78" s="3209"/>
      <c r="M78" s="3410"/>
    </row>
    <row r="79" spans="2:13" ht="49.5" hidden="1">
      <c r="B79" s="3937"/>
      <c r="C79" s="3206">
        <v>32</v>
      </c>
      <c r="D79" s="3206" t="s">
        <v>3698</v>
      </c>
      <c r="E79" s="3206" t="s">
        <v>3696</v>
      </c>
      <c r="F79" s="3206" t="s">
        <v>27</v>
      </c>
      <c r="G79" s="3211">
        <v>11111.76</v>
      </c>
      <c r="H79" s="3208">
        <v>4.5950461128000004</v>
      </c>
      <c r="I79" s="3338">
        <v>4.1353</v>
      </c>
      <c r="J79" s="3209"/>
      <c r="K79" s="3209"/>
      <c r="L79" s="3209"/>
      <c r="M79" s="3410"/>
    </row>
    <row r="80" spans="2:13" ht="49.5" hidden="1">
      <c r="B80" s="3937"/>
      <c r="C80" s="3206">
        <v>33</v>
      </c>
      <c r="D80" s="3206" t="s">
        <v>3699</v>
      </c>
      <c r="E80" s="3206" t="s">
        <v>3696</v>
      </c>
      <c r="F80" s="3206" t="s">
        <v>27</v>
      </c>
      <c r="G80" s="3211">
        <v>3305.15</v>
      </c>
      <c r="H80" s="3208">
        <v>1.9963436514999999</v>
      </c>
      <c r="I80" s="3338">
        <v>6.0400999999999998</v>
      </c>
      <c r="J80" s="3209"/>
      <c r="K80" s="3209"/>
      <c r="L80" s="3209"/>
      <c r="M80" s="3410"/>
    </row>
    <row r="81" spans="2:13" ht="33" hidden="1">
      <c r="B81" s="3937"/>
      <c r="C81" s="3206">
        <v>34</v>
      </c>
      <c r="D81" s="3206" t="s">
        <v>3700</v>
      </c>
      <c r="E81" s="3206" t="s">
        <v>3701</v>
      </c>
      <c r="F81" s="3206" t="s">
        <v>27</v>
      </c>
      <c r="G81" s="3211">
        <v>11818</v>
      </c>
      <c r="H81" s="3208">
        <v>3.2774121300000001</v>
      </c>
      <c r="I81" s="3338">
        <v>2.7732375444237598</v>
      </c>
      <c r="J81" s="3209"/>
      <c r="K81" s="3209"/>
      <c r="L81" s="3209"/>
      <c r="M81" s="3410"/>
    </row>
    <row r="82" spans="2:13" ht="33" hidden="1">
      <c r="B82" s="3937"/>
      <c r="C82" s="3206">
        <v>35</v>
      </c>
      <c r="D82" s="3206" t="s">
        <v>3702</v>
      </c>
      <c r="E82" s="3206" t="s">
        <v>3701</v>
      </c>
      <c r="F82" s="3206" t="s">
        <v>27</v>
      </c>
      <c r="G82" s="3211">
        <v>6425.13</v>
      </c>
      <c r="H82" s="3208">
        <v>2.2611317496000001</v>
      </c>
      <c r="I82" s="3338">
        <v>3.5192000000000001</v>
      </c>
      <c r="J82" s="3209"/>
      <c r="K82" s="3209"/>
      <c r="L82" s="3209"/>
      <c r="M82" s="3410"/>
    </row>
    <row r="83" spans="2:13" ht="33" hidden="1">
      <c r="B83" s="3937"/>
      <c r="C83" s="3206">
        <v>36</v>
      </c>
      <c r="D83" s="3206" t="s">
        <v>3703</v>
      </c>
      <c r="E83" s="3206" t="s">
        <v>3704</v>
      </c>
      <c r="F83" s="3206" t="s">
        <v>27</v>
      </c>
      <c r="G83" s="3211">
        <v>15000</v>
      </c>
      <c r="H83" s="3208">
        <v>5.55</v>
      </c>
      <c r="I83" s="3338">
        <v>3.7</v>
      </c>
      <c r="J83" s="3209"/>
      <c r="K83" s="3209"/>
      <c r="L83" s="3209"/>
      <c r="M83" s="3410"/>
    </row>
    <row r="84" spans="2:13" ht="33" hidden="1">
      <c r="B84" s="3937"/>
      <c r="C84" s="3206">
        <v>37</v>
      </c>
      <c r="D84" s="3206" t="s">
        <v>3705</v>
      </c>
      <c r="E84" s="3206" t="s">
        <v>3706</v>
      </c>
      <c r="F84" s="3206" t="s">
        <v>27</v>
      </c>
      <c r="G84" s="3211">
        <v>32300</v>
      </c>
      <c r="H84" s="3208">
        <v>9</v>
      </c>
      <c r="I84" s="3338">
        <v>2.7863777089783301</v>
      </c>
      <c r="J84" s="3209"/>
      <c r="K84" s="3209"/>
      <c r="L84" s="3209"/>
      <c r="M84" s="3410"/>
    </row>
    <row r="85" spans="2:13" ht="16.5" hidden="1">
      <c r="B85" s="3937"/>
      <c r="C85" s="3206">
        <v>38</v>
      </c>
      <c r="D85" s="3206" t="s">
        <v>3707</v>
      </c>
      <c r="E85" s="3206" t="s">
        <v>3708</v>
      </c>
      <c r="F85" s="3206" t="s">
        <v>3588</v>
      </c>
      <c r="G85" s="3211">
        <v>62527.9</v>
      </c>
      <c r="H85" s="3208">
        <v>19.190000000000001</v>
      </c>
      <c r="I85" s="3338">
        <v>3.0690299850146898</v>
      </c>
      <c r="J85" s="3209"/>
      <c r="K85" s="3209"/>
      <c r="L85" s="3209"/>
      <c r="M85" s="3410"/>
    </row>
    <row r="86" spans="2:13" ht="33" hidden="1">
      <c r="B86" s="3937"/>
      <c r="C86" s="3206">
        <v>39</v>
      </c>
      <c r="D86" s="3206" t="s">
        <v>3709</v>
      </c>
      <c r="E86" s="3206" t="s">
        <v>3686</v>
      </c>
      <c r="F86" s="3206" t="s">
        <v>3588</v>
      </c>
      <c r="G86" s="3207">
        <v>36024</v>
      </c>
      <c r="H86" s="3208">
        <v>10.8072</v>
      </c>
      <c r="I86" s="3338">
        <v>3</v>
      </c>
      <c r="J86" s="3209"/>
      <c r="K86" s="3209"/>
      <c r="L86" s="3209"/>
      <c r="M86" s="3410"/>
    </row>
    <row r="87" spans="2:13" ht="33" hidden="1">
      <c r="B87" s="3937"/>
      <c r="C87" s="3206">
        <v>40</v>
      </c>
      <c r="D87" s="3206" t="s">
        <v>3710</v>
      </c>
      <c r="E87" s="3206" t="s">
        <v>3686</v>
      </c>
      <c r="F87" s="3206" t="s">
        <v>3588</v>
      </c>
      <c r="G87" s="3211">
        <v>24238.85</v>
      </c>
      <c r="H87" s="3208">
        <v>7.271655</v>
      </c>
      <c r="I87" s="3338">
        <v>3</v>
      </c>
      <c r="J87" s="3209"/>
      <c r="K87" s="3209"/>
      <c r="L87" s="3209"/>
      <c r="M87" s="3410"/>
    </row>
    <row r="88" spans="2:13" ht="16.5" hidden="1">
      <c r="B88" s="3937"/>
      <c r="C88" s="3206">
        <v>41</v>
      </c>
      <c r="D88" s="3206" t="s">
        <v>3711</v>
      </c>
      <c r="E88" s="3206" t="s">
        <v>3708</v>
      </c>
      <c r="F88" s="3206" t="s">
        <v>3588</v>
      </c>
      <c r="G88" s="3207">
        <v>40445</v>
      </c>
      <c r="H88" s="3208">
        <v>15.3691</v>
      </c>
      <c r="I88" s="3338">
        <v>3.8</v>
      </c>
      <c r="J88" s="3209"/>
      <c r="K88" s="3209"/>
      <c r="L88" s="3209"/>
      <c r="M88" s="3410"/>
    </row>
    <row r="89" spans="2:13" ht="33" hidden="1">
      <c r="B89" s="3937"/>
      <c r="C89" s="3206">
        <v>42</v>
      </c>
      <c r="D89" s="3206" t="s">
        <v>3712</v>
      </c>
      <c r="E89" s="3206" t="s">
        <v>3713</v>
      </c>
      <c r="F89" s="3206" t="s">
        <v>3588</v>
      </c>
      <c r="G89" s="3211">
        <v>286462</v>
      </c>
      <c r="H89" s="3208">
        <v>37</v>
      </c>
      <c r="I89" s="3338">
        <v>1.29161983090253</v>
      </c>
      <c r="J89" s="3209"/>
      <c r="K89" s="3209"/>
      <c r="L89" s="3209"/>
      <c r="M89" s="3410"/>
    </row>
    <row r="90" spans="2:13" ht="49.5" hidden="1">
      <c r="B90" s="3937"/>
      <c r="C90" s="3206">
        <v>43</v>
      </c>
      <c r="D90" s="3206" t="s">
        <v>3714</v>
      </c>
      <c r="E90" s="3206" t="s">
        <v>3713</v>
      </c>
      <c r="F90" s="3206" t="s">
        <v>3588</v>
      </c>
      <c r="G90" s="3211">
        <v>28609.82</v>
      </c>
      <c r="H90" s="3208">
        <v>6.59</v>
      </c>
      <c r="I90" s="3338">
        <v>2.3034049148159599</v>
      </c>
      <c r="J90" s="3209"/>
      <c r="K90" s="3209"/>
      <c r="L90" s="3209"/>
      <c r="M90" s="3410"/>
    </row>
    <row r="91" spans="2:13" ht="66" hidden="1">
      <c r="B91" s="3937"/>
      <c r="C91" s="3206">
        <v>44</v>
      </c>
      <c r="D91" s="3206" t="s">
        <v>3715</v>
      </c>
      <c r="E91" s="3206" t="s">
        <v>3716</v>
      </c>
      <c r="F91" s="3206" t="s">
        <v>3588</v>
      </c>
      <c r="G91" s="3211">
        <v>97854</v>
      </c>
      <c r="H91" s="3208">
        <v>23.855860790000001</v>
      </c>
      <c r="I91" s="3338">
        <v>2.43790348784924</v>
      </c>
      <c r="J91" s="3209"/>
      <c r="K91" s="3209"/>
      <c r="L91" s="3209"/>
      <c r="M91" s="3410"/>
    </row>
    <row r="92" spans="2:13" ht="49.5" hidden="1">
      <c r="B92" s="3937"/>
      <c r="C92" s="3206">
        <v>45</v>
      </c>
      <c r="D92" s="3206" t="s">
        <v>3717</v>
      </c>
      <c r="E92" s="3206" t="s">
        <v>3716</v>
      </c>
      <c r="F92" s="3206" t="s">
        <v>3588</v>
      </c>
      <c r="G92" s="3211">
        <v>7657.46</v>
      </c>
      <c r="H92" s="3208">
        <v>1.8258447624</v>
      </c>
      <c r="I92" s="3338">
        <v>2.3843999999999999</v>
      </c>
      <c r="J92" s="3209"/>
      <c r="K92" s="3209"/>
      <c r="L92" s="3209"/>
      <c r="M92" s="3410"/>
    </row>
    <row r="93" spans="2:13" ht="33" hidden="1">
      <c r="B93" s="3937"/>
      <c r="C93" s="3206">
        <v>46</v>
      </c>
      <c r="D93" s="3206" t="s">
        <v>3718</v>
      </c>
      <c r="E93" s="3206" t="s">
        <v>3686</v>
      </c>
      <c r="F93" s="3206" t="s">
        <v>3588</v>
      </c>
      <c r="G93" s="3211">
        <v>40709</v>
      </c>
      <c r="H93" s="3208">
        <v>11.80561</v>
      </c>
      <c r="I93" s="3338">
        <v>2.9</v>
      </c>
      <c r="J93" s="3209"/>
      <c r="K93" s="3209"/>
      <c r="L93" s="3209"/>
      <c r="M93" s="3410"/>
    </row>
    <row r="94" spans="2:13" ht="16.5" hidden="1">
      <c r="B94" s="3937"/>
      <c r="C94" s="3206">
        <v>47</v>
      </c>
      <c r="D94" s="3206" t="s">
        <v>3719</v>
      </c>
      <c r="E94" s="3206" t="s">
        <v>3686</v>
      </c>
      <c r="F94" s="3206" t="s">
        <v>3588</v>
      </c>
      <c r="G94" s="3211">
        <v>86000</v>
      </c>
      <c r="H94" s="3208">
        <v>20</v>
      </c>
      <c r="I94" s="3338">
        <v>2.32558139534884</v>
      </c>
      <c r="J94" s="3209"/>
      <c r="K94" s="3209"/>
      <c r="L94" s="3209"/>
      <c r="M94" s="3410"/>
    </row>
    <row r="95" spans="2:13" ht="49.5" hidden="1">
      <c r="B95" s="3937"/>
      <c r="C95" s="3206">
        <v>48</v>
      </c>
      <c r="D95" s="3206" t="s">
        <v>3720</v>
      </c>
      <c r="E95" s="3206" t="s">
        <v>3721</v>
      </c>
      <c r="F95" s="3206" t="s">
        <v>3588</v>
      </c>
      <c r="G95" s="3207">
        <v>11897</v>
      </c>
      <c r="H95" s="3208">
        <v>5.3543148499999997</v>
      </c>
      <c r="I95" s="3338">
        <v>4.5005588383626103</v>
      </c>
      <c r="J95" s="3209"/>
      <c r="K95" s="3209"/>
      <c r="L95" s="3209"/>
      <c r="M95" s="3410"/>
    </row>
    <row r="96" spans="2:13" ht="16.5" hidden="1">
      <c r="B96" s="3937"/>
      <c r="C96" s="3206">
        <v>49</v>
      </c>
      <c r="D96" s="3206" t="s">
        <v>3722</v>
      </c>
      <c r="E96" s="3206" t="s">
        <v>3723</v>
      </c>
      <c r="F96" s="3206" t="s">
        <v>3588</v>
      </c>
      <c r="G96" s="3211">
        <v>3690</v>
      </c>
      <c r="H96" s="3208">
        <v>3.06</v>
      </c>
      <c r="I96" s="3338">
        <v>8.2926829268292703</v>
      </c>
      <c r="J96" s="3209"/>
      <c r="K96" s="3209"/>
      <c r="L96" s="3209"/>
      <c r="M96" s="3410"/>
    </row>
    <row r="97" spans="2:13" ht="33" hidden="1">
      <c r="B97" s="3937"/>
      <c r="C97" s="3206">
        <v>50</v>
      </c>
      <c r="D97" s="3206" t="s">
        <v>3724</v>
      </c>
      <c r="E97" s="3206" t="s">
        <v>3725</v>
      </c>
      <c r="F97" s="3206" t="s">
        <v>3588</v>
      </c>
      <c r="G97" s="3211">
        <v>24039.9</v>
      </c>
      <c r="H97" s="3208">
        <v>6.8</v>
      </c>
      <c r="I97" s="3338">
        <v>2.82863073473683</v>
      </c>
      <c r="J97" s="3209"/>
      <c r="K97" s="3209"/>
      <c r="L97" s="3209"/>
      <c r="M97" s="3410"/>
    </row>
    <row r="98" spans="2:13" ht="16.5" hidden="1">
      <c r="B98" s="3937"/>
      <c r="C98" s="3206">
        <v>51</v>
      </c>
      <c r="D98" s="3206" t="s">
        <v>3726</v>
      </c>
      <c r="E98" s="3206" t="s">
        <v>3727</v>
      </c>
      <c r="F98" s="3206" t="s">
        <v>3588</v>
      </c>
      <c r="G98" s="3211">
        <v>12000</v>
      </c>
      <c r="H98" s="3208">
        <v>7</v>
      </c>
      <c r="I98" s="3338">
        <v>5.8333333333333304</v>
      </c>
      <c r="J98" s="3209"/>
      <c r="K98" s="3209"/>
      <c r="L98" s="3209"/>
      <c r="M98" s="3410"/>
    </row>
    <row r="99" spans="2:13" ht="49.5" hidden="1">
      <c r="B99" s="3937"/>
      <c r="C99" s="3206">
        <v>52</v>
      </c>
      <c r="D99" s="3206" t="s">
        <v>3728</v>
      </c>
      <c r="E99" s="3206" t="s">
        <v>3670</v>
      </c>
      <c r="F99" s="3206" t="s">
        <v>3588</v>
      </c>
      <c r="G99" s="3211">
        <v>18000</v>
      </c>
      <c r="H99" s="3208">
        <v>12.96</v>
      </c>
      <c r="I99" s="3338">
        <v>7.2</v>
      </c>
      <c r="J99" s="3209"/>
      <c r="K99" s="3209"/>
      <c r="L99" s="3209"/>
      <c r="M99" s="3410"/>
    </row>
    <row r="100" spans="2:13" ht="33" hidden="1">
      <c r="B100" s="3937"/>
      <c r="C100" s="3206">
        <v>53</v>
      </c>
      <c r="D100" s="3206" t="s">
        <v>3729</v>
      </c>
      <c r="E100" s="3206" t="s">
        <v>3730</v>
      </c>
      <c r="F100" s="3206" t="s">
        <v>3588</v>
      </c>
      <c r="G100" s="3210">
        <v>9916</v>
      </c>
      <c r="H100" s="3208">
        <v>4.4622000000000002</v>
      </c>
      <c r="I100" s="3338">
        <v>4.5</v>
      </c>
      <c r="J100" s="3209"/>
      <c r="K100" s="3209"/>
      <c r="L100" s="3209"/>
      <c r="M100" s="3410"/>
    </row>
    <row r="101" spans="2:13" ht="49.5" hidden="1">
      <c r="B101" s="3937"/>
      <c r="C101" s="3206">
        <v>54</v>
      </c>
      <c r="D101" s="3206" t="s">
        <v>3731</v>
      </c>
      <c r="E101" s="3206" t="s">
        <v>3713</v>
      </c>
      <c r="F101" s="3206" t="s">
        <v>3588</v>
      </c>
      <c r="G101" s="3211">
        <v>15877.16</v>
      </c>
      <c r="H101" s="3208">
        <v>7.4</v>
      </c>
      <c r="I101" s="3338">
        <v>4.6607831627318701</v>
      </c>
      <c r="J101" s="3209"/>
      <c r="K101" s="3209"/>
      <c r="L101" s="3209"/>
      <c r="M101" s="3410"/>
    </row>
    <row r="102" spans="2:13" ht="16.5" hidden="1">
      <c r="B102" s="3937"/>
      <c r="C102" s="3206">
        <v>55</v>
      </c>
      <c r="D102" s="3206" t="s">
        <v>3732</v>
      </c>
      <c r="E102" s="3206" t="s">
        <v>3733</v>
      </c>
      <c r="F102" s="3206" t="s">
        <v>3588</v>
      </c>
      <c r="G102" s="3211">
        <v>40702</v>
      </c>
      <c r="H102" s="3208">
        <v>16.5</v>
      </c>
      <c r="I102" s="3338">
        <v>4.0538548474276404</v>
      </c>
      <c r="J102" s="3209"/>
      <c r="K102" s="3209"/>
      <c r="L102" s="3209"/>
      <c r="M102" s="3410"/>
    </row>
    <row r="103" spans="2:13" ht="33" hidden="1">
      <c r="B103" s="3937"/>
      <c r="C103" s="3206">
        <v>56</v>
      </c>
      <c r="D103" s="3206" t="s">
        <v>3734</v>
      </c>
      <c r="E103" s="3206" t="s">
        <v>3721</v>
      </c>
      <c r="F103" s="3206" t="s">
        <v>1343</v>
      </c>
      <c r="G103" s="3211">
        <v>11709</v>
      </c>
      <c r="H103" s="3208">
        <v>5.6203200000000004</v>
      </c>
      <c r="I103" s="3338">
        <v>4.8</v>
      </c>
      <c r="J103" s="3209"/>
      <c r="K103" s="3209"/>
      <c r="L103" s="3209"/>
      <c r="M103" s="3410"/>
    </row>
    <row r="104" spans="2:13" ht="33" hidden="1">
      <c r="B104" s="3937"/>
      <c r="C104" s="3206">
        <v>57</v>
      </c>
      <c r="D104" s="3206" t="s">
        <v>3661</v>
      </c>
      <c r="E104" s="3206" t="s">
        <v>3662</v>
      </c>
      <c r="F104" s="3206" t="s">
        <v>1343</v>
      </c>
      <c r="G104" s="3211">
        <v>5516.86</v>
      </c>
      <c r="H104" s="3208">
        <v>3.2195999999999998</v>
      </c>
      <c r="I104" s="3338">
        <v>5.83592840855124</v>
      </c>
      <c r="J104" s="3209"/>
      <c r="K104" s="3209"/>
      <c r="L104" s="3209"/>
      <c r="M104" s="3410"/>
    </row>
    <row r="105" spans="2:13" ht="33" hidden="1">
      <c r="B105" s="3937"/>
      <c r="C105" s="3206">
        <v>58</v>
      </c>
      <c r="D105" s="3206" t="s">
        <v>3735</v>
      </c>
      <c r="E105" s="3206" t="s">
        <v>3664</v>
      </c>
      <c r="F105" s="3206" t="s">
        <v>1343</v>
      </c>
      <c r="G105" s="3211">
        <v>9912</v>
      </c>
      <c r="H105" s="3208">
        <v>3.4691999999999998</v>
      </c>
      <c r="I105" s="3338">
        <v>3.5</v>
      </c>
      <c r="J105" s="3209"/>
      <c r="K105" s="3209"/>
      <c r="L105" s="3209"/>
      <c r="M105" s="3410"/>
    </row>
    <row r="106" spans="2:13" ht="33" hidden="1">
      <c r="B106" s="3937"/>
      <c r="C106" s="3206">
        <v>59</v>
      </c>
      <c r="D106" s="3206" t="s">
        <v>3736</v>
      </c>
      <c r="E106" s="3206" t="s">
        <v>3737</v>
      </c>
      <c r="F106" s="3206" t="s">
        <v>1343</v>
      </c>
      <c r="G106" s="3211">
        <v>9825</v>
      </c>
      <c r="H106" s="3208">
        <v>4.4872088100000003</v>
      </c>
      <c r="I106" s="3338">
        <v>4.5671336488549601</v>
      </c>
      <c r="J106" s="3209"/>
      <c r="K106" s="3209"/>
      <c r="L106" s="3209"/>
      <c r="M106" s="3410"/>
    </row>
    <row r="107" spans="2:13" ht="33" hidden="1">
      <c r="B107" s="3937"/>
      <c r="C107" s="3206">
        <v>60</v>
      </c>
      <c r="D107" s="3206" t="s">
        <v>3738</v>
      </c>
      <c r="E107" s="3206" t="s">
        <v>3739</v>
      </c>
      <c r="F107" s="3206" t="s">
        <v>1343</v>
      </c>
      <c r="G107" s="3211">
        <v>13665</v>
      </c>
      <c r="H107" s="3208">
        <v>5.1927000000000003</v>
      </c>
      <c r="I107" s="3338">
        <v>3.8</v>
      </c>
      <c r="J107" s="3209"/>
      <c r="K107" s="3209"/>
      <c r="L107" s="3209"/>
      <c r="M107" s="3410"/>
    </row>
    <row r="108" spans="2:13" ht="49.5" hidden="1">
      <c r="B108" s="3937"/>
      <c r="C108" s="3206">
        <v>61</v>
      </c>
      <c r="D108" s="3206" t="s">
        <v>3740</v>
      </c>
      <c r="E108" s="3206" t="s">
        <v>3696</v>
      </c>
      <c r="F108" s="3206" t="s">
        <v>1343</v>
      </c>
      <c r="G108" s="3211">
        <v>6427</v>
      </c>
      <c r="H108" s="3208">
        <v>3.5550797699999999</v>
      </c>
      <c r="I108" s="3338">
        <v>5.53147622529952</v>
      </c>
      <c r="J108" s="3209"/>
      <c r="K108" s="3209"/>
      <c r="L108" s="3209"/>
      <c r="M108" s="3410"/>
    </row>
    <row r="109" spans="2:13" ht="49.5" hidden="1">
      <c r="B109" s="3937"/>
      <c r="C109" s="3206">
        <v>62</v>
      </c>
      <c r="D109" s="3206" t="s">
        <v>3741</v>
      </c>
      <c r="E109" s="3206" t="s">
        <v>3742</v>
      </c>
      <c r="F109" s="3206" t="s">
        <v>3588</v>
      </c>
      <c r="G109" s="3211">
        <v>20507.7</v>
      </c>
      <c r="H109" s="3208">
        <v>11.5741</v>
      </c>
      <c r="I109" s="3338">
        <v>5.6437825792263396</v>
      </c>
      <c r="J109" s="3209"/>
      <c r="K109" s="3209"/>
      <c r="L109" s="3209"/>
      <c r="M109" s="3410"/>
    </row>
    <row r="110" spans="2:13" ht="33" hidden="1">
      <c r="B110" s="3937"/>
      <c r="C110" s="3206">
        <v>63</v>
      </c>
      <c r="D110" s="3206" t="s">
        <v>3743</v>
      </c>
      <c r="E110" s="3206" t="s">
        <v>3651</v>
      </c>
      <c r="F110" s="3206" t="s">
        <v>3591</v>
      </c>
      <c r="G110" s="3210">
        <v>42242.77</v>
      </c>
      <c r="H110" s="3208">
        <v>18.059999999999999</v>
      </c>
      <c r="I110" s="3338">
        <v>4.2752878184834904</v>
      </c>
      <c r="J110" s="3209"/>
      <c r="K110" s="3209"/>
      <c r="L110" s="3209"/>
      <c r="M110" s="3410"/>
    </row>
    <row r="111" spans="2:13" ht="66" hidden="1">
      <c r="B111" s="3937"/>
      <c r="C111" s="3206">
        <v>64</v>
      </c>
      <c r="D111" s="3206" t="s">
        <v>3744</v>
      </c>
      <c r="E111" s="3206" t="s">
        <v>3653</v>
      </c>
      <c r="F111" s="3206" t="s">
        <v>3591</v>
      </c>
      <c r="G111" s="3211">
        <v>27090</v>
      </c>
      <c r="H111" s="3208">
        <v>15.98664</v>
      </c>
      <c r="I111" s="3338">
        <v>5.9013067552602401</v>
      </c>
      <c r="J111" s="3209"/>
      <c r="K111" s="3209"/>
      <c r="L111" s="3209"/>
      <c r="M111" s="3410"/>
    </row>
    <row r="112" spans="2:13" ht="49.5" hidden="1">
      <c r="B112" s="3937"/>
      <c r="C112" s="3206">
        <v>65</v>
      </c>
      <c r="D112" s="3206" t="s">
        <v>3745</v>
      </c>
      <c r="E112" s="3206" t="s">
        <v>3746</v>
      </c>
      <c r="F112" s="3206" t="s">
        <v>3591</v>
      </c>
      <c r="G112" s="3211">
        <v>130500</v>
      </c>
      <c r="H112" s="3208">
        <v>24.89</v>
      </c>
      <c r="I112" s="3338">
        <v>1.9072796934865901</v>
      </c>
      <c r="J112" s="3209"/>
      <c r="K112" s="3209"/>
      <c r="L112" s="3209"/>
      <c r="M112" s="3410"/>
    </row>
    <row r="113" spans="2:13" ht="49.5" hidden="1">
      <c r="B113" s="3937"/>
      <c r="C113" s="3206">
        <v>66</v>
      </c>
      <c r="D113" s="3206" t="s">
        <v>3747</v>
      </c>
      <c r="E113" s="3206" t="s">
        <v>3656</v>
      </c>
      <c r="F113" s="3206" t="s">
        <v>3591</v>
      </c>
      <c r="G113" s="3211">
        <v>166572</v>
      </c>
      <c r="H113" s="3208">
        <v>39.179000000000002</v>
      </c>
      <c r="I113" s="3338">
        <v>2.3520759791561598</v>
      </c>
      <c r="J113" s="3209"/>
      <c r="K113" s="3209"/>
      <c r="L113" s="3209"/>
      <c r="M113" s="3410"/>
    </row>
    <row r="114" spans="2:13" ht="33" hidden="1">
      <c r="B114" s="3937"/>
      <c r="C114" s="3206">
        <v>67</v>
      </c>
      <c r="D114" s="3206" t="s">
        <v>3748</v>
      </c>
      <c r="E114" s="3206" t="s">
        <v>3658</v>
      </c>
      <c r="F114" s="3206" t="s">
        <v>3591</v>
      </c>
      <c r="G114" s="3207">
        <v>108678</v>
      </c>
      <c r="H114" s="3208">
        <v>65</v>
      </c>
      <c r="I114" s="3338">
        <v>5.9809713097407</v>
      </c>
      <c r="J114" s="3209"/>
      <c r="K114" s="3209"/>
      <c r="L114" s="3209"/>
      <c r="M114" s="3410"/>
    </row>
    <row r="115" spans="2:13" ht="66" hidden="1">
      <c r="B115" s="3937"/>
      <c r="C115" s="3206">
        <v>68</v>
      </c>
      <c r="D115" s="3206" t="s">
        <v>3749</v>
      </c>
      <c r="E115" s="3206" t="s">
        <v>3660</v>
      </c>
      <c r="F115" s="3206" t="s">
        <v>3591</v>
      </c>
      <c r="G115" s="3211">
        <v>426073</v>
      </c>
      <c r="H115" s="3208">
        <v>53.3</v>
      </c>
      <c r="I115" s="3338">
        <v>1.25095934264786</v>
      </c>
      <c r="J115" s="3209"/>
      <c r="K115" s="3209"/>
      <c r="L115" s="3209"/>
      <c r="M115" s="3410"/>
    </row>
    <row r="116" spans="2:13" ht="33" hidden="1">
      <c r="B116" s="3937"/>
      <c r="C116" s="3206">
        <v>69</v>
      </c>
      <c r="D116" s="3206" t="s">
        <v>3750</v>
      </c>
      <c r="E116" s="3206" t="s">
        <v>3670</v>
      </c>
      <c r="F116" s="3206" t="s">
        <v>3591</v>
      </c>
      <c r="G116" s="3207">
        <v>58278</v>
      </c>
      <c r="H116" s="3208">
        <v>32.5</v>
      </c>
      <c r="I116" s="3338">
        <v>5.5767184872507602</v>
      </c>
      <c r="J116" s="3209"/>
      <c r="K116" s="3209"/>
      <c r="L116" s="3209"/>
      <c r="M116" s="3410"/>
    </row>
    <row r="117" spans="2:13" ht="33" hidden="1">
      <c r="B117" s="3937"/>
      <c r="C117" s="3206">
        <v>70</v>
      </c>
      <c r="D117" s="3206" t="s">
        <v>3751</v>
      </c>
      <c r="E117" s="3206" t="s">
        <v>3670</v>
      </c>
      <c r="F117" s="3206" t="s">
        <v>3591</v>
      </c>
      <c r="G117" s="3211">
        <v>25781</v>
      </c>
      <c r="H117" s="3208">
        <v>13.3</v>
      </c>
      <c r="I117" s="3338">
        <v>5.1588379038827004</v>
      </c>
      <c r="J117" s="3209"/>
      <c r="K117" s="3209"/>
      <c r="L117" s="3209"/>
      <c r="M117" s="3410"/>
    </row>
    <row r="118" spans="2:13" ht="33" hidden="1">
      <c r="B118" s="3937"/>
      <c r="C118" s="3206">
        <v>71</v>
      </c>
      <c r="D118" s="3206" t="s">
        <v>3752</v>
      </c>
      <c r="E118" s="3206" t="s">
        <v>3688</v>
      </c>
      <c r="F118" s="3206" t="s">
        <v>3591</v>
      </c>
      <c r="G118" s="3211">
        <v>128175</v>
      </c>
      <c r="H118" s="3208">
        <v>50.08</v>
      </c>
      <c r="I118" s="3338">
        <v>3.9071581821728101</v>
      </c>
      <c r="J118" s="3209"/>
      <c r="K118" s="3209"/>
      <c r="L118" s="3209"/>
      <c r="M118" s="3410"/>
    </row>
    <row r="119" spans="2:13" ht="33" hidden="1">
      <c r="B119" s="3937"/>
      <c r="C119" s="3206">
        <v>72</v>
      </c>
      <c r="D119" s="3206" t="s">
        <v>3753</v>
      </c>
      <c r="E119" s="3206" t="s">
        <v>3754</v>
      </c>
      <c r="F119" s="3206" t="s">
        <v>3591</v>
      </c>
      <c r="G119" s="3207">
        <v>153400</v>
      </c>
      <c r="H119" s="3208">
        <v>24.3</v>
      </c>
      <c r="I119" s="3338">
        <v>1.58409387222947</v>
      </c>
      <c r="J119" s="3209"/>
      <c r="K119" s="3209"/>
      <c r="L119" s="3209"/>
      <c r="M119" s="3410"/>
    </row>
  </sheetData>
  <mergeCells count="2">
    <mergeCell ref="B14:B47"/>
    <mergeCell ref="B48:B119"/>
  </mergeCells>
  <phoneticPr fontId="4" type="noConversion"/>
  <pageMargins left="0.7" right="0.7" top="0.75" bottom="0.75" header="0.3" footer="0.3"/>
  <drawing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B2:H15"/>
  <sheetViews>
    <sheetView workbookViewId="0">
      <selection activeCell="E15" sqref="E15"/>
    </sheetView>
  </sheetViews>
  <sheetFormatPr defaultColWidth="9" defaultRowHeight="13.5"/>
  <cols>
    <col min="1" max="1" width="9" style="1407"/>
    <col min="2" max="2" width="10.875" style="1407" bestFit="1" customWidth="1"/>
    <col min="3" max="3" width="10.875" style="1407" customWidth="1"/>
    <col min="4" max="4" width="21.375" style="1407" customWidth="1"/>
    <col min="5" max="5" width="21.375" style="3340" customWidth="1"/>
    <col min="6" max="6" width="21.375" style="3341" customWidth="1"/>
    <col min="7" max="7" width="21.375" style="1407" customWidth="1"/>
    <col min="8" max="8" width="14.25" style="1407" customWidth="1"/>
    <col min="9" max="16384" width="9" style="1407"/>
  </cols>
  <sheetData>
    <row r="2" spans="2:8">
      <c r="B2" s="1407" t="s">
        <v>4059</v>
      </c>
      <c r="C2" s="1407" t="s">
        <v>4060</v>
      </c>
      <c r="D2" s="1407">
        <f>面积表及结果!G2+面积表及结果!G5+面积表及结果!G7+面积表及结果!G8+面积表及结果!G10+面积表及结果!G11+面积表及结果!G12</f>
        <v>31263.110000000004</v>
      </c>
    </row>
    <row r="3" spans="2:8">
      <c r="B3" s="1407" t="s">
        <v>4061</v>
      </c>
      <c r="C3" s="1407" t="s">
        <v>4060</v>
      </c>
      <c r="D3" s="1407">
        <f>面积表及结果!E21</f>
        <v>46189.050000000017</v>
      </c>
    </row>
    <row r="5" spans="2:8">
      <c r="B5" s="1407" t="s">
        <v>4062</v>
      </c>
      <c r="C5" s="1407" t="s">
        <v>4063</v>
      </c>
      <c r="D5" s="1407">
        <v>9</v>
      </c>
    </row>
    <row r="6" spans="2:8">
      <c r="C6" s="1407" t="s">
        <v>4064</v>
      </c>
      <c r="D6" s="1407">
        <f>D5*30</f>
        <v>270</v>
      </c>
    </row>
    <row r="7" spans="2:8">
      <c r="C7" s="1407" t="s">
        <v>4065</v>
      </c>
      <c r="D7" s="1407">
        <f>D6*12</f>
        <v>3240</v>
      </c>
    </row>
    <row r="9" spans="2:8">
      <c r="B9" s="1407" t="s">
        <v>4066</v>
      </c>
      <c r="D9" s="3342">
        <v>0.05</v>
      </c>
      <c r="E9" s="3343">
        <v>5.5E-2</v>
      </c>
      <c r="F9" s="3344">
        <v>0.06</v>
      </c>
      <c r="G9" s="3345">
        <v>6.5000000000000002E-2</v>
      </c>
    </row>
    <row r="11" spans="2:8">
      <c r="B11" s="1407" t="s">
        <v>4067</v>
      </c>
      <c r="D11" s="3346">
        <f>$D$7/D9</f>
        <v>64800</v>
      </c>
      <c r="E11" s="3347">
        <f t="shared" ref="E11:G11" si="0">$D$7/E9</f>
        <v>58909.090909090912</v>
      </c>
      <c r="F11" s="3348">
        <f>$D$7/F9</f>
        <v>54000</v>
      </c>
      <c r="G11" s="3346">
        <f t="shared" si="0"/>
        <v>49846.153846153844</v>
      </c>
      <c r="H11" s="3346"/>
    </row>
    <row r="13" spans="2:8">
      <c r="B13" s="1407" t="s">
        <v>4068</v>
      </c>
      <c r="D13" s="3349">
        <f>D11*$D$2</f>
        <v>2025849528.0000002</v>
      </c>
      <c r="E13" s="3350">
        <f t="shared" ref="E13:G13" si="1">E11*$D$2</f>
        <v>1841681389.0909095</v>
      </c>
      <c r="F13" s="3351">
        <f>F11*$D$2</f>
        <v>1688207940.0000002</v>
      </c>
      <c r="G13" s="3349">
        <f t="shared" si="1"/>
        <v>1558345790.7692308</v>
      </c>
    </row>
    <row r="15" spans="2:8">
      <c r="B15" s="1407" t="s">
        <v>4046</v>
      </c>
      <c r="C15" s="1407" t="s">
        <v>4069</v>
      </c>
      <c r="D15" s="3349">
        <f>D13/$D$3</f>
        <v>43859.952261412596</v>
      </c>
      <c r="E15" s="3350">
        <f t="shared" ref="E15:G15" si="2">E13/$D$3</f>
        <v>39872.683874011454</v>
      </c>
      <c r="F15" s="3351">
        <f>F13/$D$3</f>
        <v>36549.960217843829</v>
      </c>
      <c r="G15" s="3349">
        <f t="shared" si="2"/>
        <v>33738.424816471226</v>
      </c>
    </row>
  </sheetData>
  <phoneticPr fontId="141"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B1:AH122"/>
  <sheetViews>
    <sheetView topLeftCell="B1" workbookViewId="0">
      <pane xSplit="1" ySplit="3" topLeftCell="M54" activePane="bottomRight" state="frozen"/>
      <selection activeCell="B1" sqref="B1"/>
      <selection pane="topRight" activeCell="C1" sqref="C1"/>
      <selection pane="bottomLeft" activeCell="B4" sqref="B4"/>
      <selection pane="bottomRight" activeCell="T64" sqref="T64"/>
    </sheetView>
  </sheetViews>
  <sheetFormatPr defaultRowHeight="13.5"/>
  <cols>
    <col min="3" max="4" width="9.875" customWidth="1"/>
    <col min="5" max="5" width="7" customWidth="1"/>
    <col min="6" max="6" width="6.75" customWidth="1"/>
    <col min="7" max="7" width="7.75" customWidth="1"/>
    <col min="8" max="8" width="9.25" style="3" customWidth="1"/>
    <col min="9" max="9" width="7.5" style="3" customWidth="1"/>
    <col min="10" max="10" width="21.5" bestFit="1" customWidth="1"/>
    <col min="12" max="12" width="16.75" customWidth="1"/>
    <col min="13" max="13" width="9.5" bestFit="1" customWidth="1"/>
    <col min="14" max="14" width="9" hidden="1" customWidth="1"/>
    <col min="15" max="15" width="11.625" hidden="1" customWidth="1"/>
    <col min="16" max="16" width="12.75" hidden="1" customWidth="1"/>
    <col min="17" max="20" width="9.75" customWidth="1"/>
    <col min="22" max="22" width="16.75" customWidth="1"/>
    <col min="23" max="23" width="10.5" bestFit="1" customWidth="1"/>
    <col min="24" max="24" width="9" customWidth="1"/>
    <col min="25" max="25" width="11.625" hidden="1" customWidth="1"/>
    <col min="26" max="26" width="12.75" hidden="1" customWidth="1"/>
    <col min="31" max="31" width="14" customWidth="1"/>
    <col min="32" max="33" width="13.25" customWidth="1"/>
  </cols>
  <sheetData>
    <row r="1" spans="2:34">
      <c r="B1" t="s">
        <v>3782</v>
      </c>
      <c r="K1" t="s">
        <v>3783</v>
      </c>
      <c r="U1" t="s">
        <v>3784</v>
      </c>
    </row>
    <row r="2" spans="2:34">
      <c r="B2" s="3872" t="s">
        <v>3785</v>
      </c>
      <c r="C2" s="3872"/>
      <c r="D2" s="3872"/>
      <c r="E2" s="3872"/>
      <c r="F2" s="3218"/>
      <c r="G2" s="3218"/>
      <c r="K2" s="3872" t="s">
        <v>3785</v>
      </c>
      <c r="L2" s="3872"/>
      <c r="M2" s="3872"/>
      <c r="N2" s="3872"/>
      <c r="O2" s="3218"/>
      <c r="P2" s="3218"/>
      <c r="U2" s="3940" t="s">
        <v>3814</v>
      </c>
      <c r="V2" s="3872"/>
      <c r="W2" s="3872"/>
      <c r="X2" s="3872"/>
      <c r="Y2" s="3218"/>
      <c r="Z2" s="3218"/>
    </row>
    <row r="3" spans="2:34">
      <c r="B3" s="3218"/>
      <c r="C3" s="3218" t="s">
        <v>3786</v>
      </c>
      <c r="D3" s="3218" t="s">
        <v>3787</v>
      </c>
      <c r="E3" t="s">
        <v>3788</v>
      </c>
      <c r="F3" s="3218" t="s">
        <v>3789</v>
      </c>
      <c r="G3" s="3246" t="s">
        <v>3818</v>
      </c>
      <c r="H3" s="3243" t="s">
        <v>3790</v>
      </c>
      <c r="I3" s="3243"/>
      <c r="K3" s="3218"/>
      <c r="L3" s="3218" t="s">
        <v>3786</v>
      </c>
      <c r="M3" s="3218" t="s">
        <v>3787</v>
      </c>
      <c r="N3" t="s">
        <v>3788</v>
      </c>
      <c r="O3" s="3218" t="s">
        <v>3789</v>
      </c>
      <c r="P3" s="3218" t="s">
        <v>3791</v>
      </c>
      <c r="Q3" s="3218" t="s">
        <v>3791</v>
      </c>
      <c r="R3" s="3242" t="s">
        <v>3815</v>
      </c>
      <c r="S3" s="3218"/>
      <c r="T3" s="3218"/>
      <c r="U3" s="3218"/>
      <c r="V3" s="3218" t="s">
        <v>3786</v>
      </c>
      <c r="W3" s="3218" t="s">
        <v>3787</v>
      </c>
      <c r="X3" t="s">
        <v>3788</v>
      </c>
      <c r="Y3" s="3218" t="s">
        <v>3789</v>
      </c>
      <c r="Z3" s="3218" t="s">
        <v>3792</v>
      </c>
      <c r="AA3" s="3218" t="s">
        <v>3791</v>
      </c>
    </row>
    <row r="4" spans="2:34">
      <c r="B4" s="3246" t="s">
        <v>3885</v>
      </c>
      <c r="C4" s="3218">
        <f>ROUND(C5*(1+0.4%),1)</f>
        <v>379.6</v>
      </c>
      <c r="D4" s="3235">
        <f>D5-1.7%</f>
        <v>5.5999999999999994E-2</v>
      </c>
      <c r="H4" s="3247">
        <v>1.2999999999999999E-2</v>
      </c>
      <c r="I4" s="3247"/>
      <c r="K4" s="3246" t="s">
        <v>3885</v>
      </c>
      <c r="L4" s="3218">
        <v>373</v>
      </c>
      <c r="M4" s="3235">
        <v>2.5999999999999999E-2</v>
      </c>
      <c r="N4" s="3212"/>
      <c r="P4">
        <v>6753000</v>
      </c>
      <c r="Q4">
        <f>P4/10000</f>
        <v>675.3</v>
      </c>
      <c r="R4" s="3212"/>
      <c r="U4" s="3246" t="s">
        <v>3885</v>
      </c>
      <c r="V4" s="3218">
        <v>339.8</v>
      </c>
      <c r="W4" s="3235">
        <v>3.9E-2</v>
      </c>
      <c r="X4" s="3212"/>
      <c r="Z4">
        <v>9240000</v>
      </c>
      <c r="AA4">
        <f>Z4/10000</f>
        <v>924</v>
      </c>
    </row>
    <row r="5" spans="2:34">
      <c r="B5" s="3246" t="s">
        <v>3886</v>
      </c>
      <c r="C5" s="3218">
        <v>378.1</v>
      </c>
      <c r="D5" s="3235">
        <v>7.2999999999999995E-2</v>
      </c>
      <c r="E5" s="3212">
        <f>(C5-C4)/C4</f>
        <v>-3.9515279241306633E-3</v>
      </c>
      <c r="G5" s="3189">
        <f>ROUND(8520836/10000,2)</f>
        <v>852.08</v>
      </c>
      <c r="H5" s="3247">
        <v>1.2E-2</v>
      </c>
      <c r="I5" s="3267">
        <f>AVERAGE(D4:D7)</f>
        <v>6.3250000000000001E-2</v>
      </c>
      <c r="K5" s="3246" t="s">
        <v>3886</v>
      </c>
      <c r="L5" s="3218">
        <v>374</v>
      </c>
      <c r="M5" s="3235">
        <v>4.5999999999999999E-2</v>
      </c>
      <c r="N5" s="3212">
        <f>(L5-L4)/L4</f>
        <v>2.6809651474530832E-3</v>
      </c>
      <c r="O5">
        <f>P5-P4</f>
        <v>355400</v>
      </c>
      <c r="P5">
        <v>7108400</v>
      </c>
      <c r="Q5">
        <f t="shared" ref="Q5:Q23" si="0">P5/10000</f>
        <v>710.84</v>
      </c>
      <c r="R5" s="3212">
        <f>(L5-L4)/L4</f>
        <v>2.6809651474530832E-3</v>
      </c>
      <c r="U5" s="3246" t="s">
        <v>3886</v>
      </c>
      <c r="V5" s="3218">
        <v>337.8</v>
      </c>
      <c r="W5" s="3235">
        <v>4.3999999999999997E-2</v>
      </c>
      <c r="X5" s="3212">
        <f>(V5-V4)/V4</f>
        <v>-5.885815185403178E-3</v>
      </c>
      <c r="Y5">
        <f>Z5-Z4</f>
        <v>300000</v>
      </c>
      <c r="Z5">
        <v>9540000</v>
      </c>
      <c r="AA5">
        <f t="shared" ref="AA5:AA23" si="1">Z5/10000</f>
        <v>954</v>
      </c>
      <c r="AB5" s="3212">
        <f>(V5-V4)/V4</f>
        <v>-5.885815185403178E-3</v>
      </c>
    </row>
    <row r="6" spans="2:34">
      <c r="B6" s="3246" t="s">
        <v>3887</v>
      </c>
      <c r="C6" s="3218">
        <v>383.7</v>
      </c>
      <c r="D6" s="3235">
        <v>5.8000000000000003E-2</v>
      </c>
      <c r="E6" s="3212">
        <f t="shared" ref="E6:E23" si="2">(C6-C5)/C5</f>
        <v>1.4810896588204088E-2</v>
      </c>
      <c r="F6">
        <f>G6-G5</f>
        <v>53.309999999999945</v>
      </c>
      <c r="G6">
        <f>ROUND(9053859/10000,2)</f>
        <v>905.39</v>
      </c>
      <c r="H6" s="3247">
        <v>1.2E-2</v>
      </c>
      <c r="I6" s="3189">
        <f>AVERAGE(C4:C7)</f>
        <v>382.15000000000003</v>
      </c>
      <c r="K6" s="3246" t="s">
        <v>3887</v>
      </c>
      <c r="L6" s="3218">
        <v>371</v>
      </c>
      <c r="M6" s="3235">
        <v>4.9000000000000002E-2</v>
      </c>
      <c r="N6" s="3212">
        <f t="shared" ref="N6:N23" si="3">(L6-L5)/L5</f>
        <v>-8.0213903743315516E-3</v>
      </c>
      <c r="O6">
        <f t="shared" ref="O6:O23" si="4">P6-P5</f>
        <v>134000</v>
      </c>
      <c r="P6">
        <v>7242400</v>
      </c>
      <c r="Q6">
        <f t="shared" si="0"/>
        <v>724.24</v>
      </c>
      <c r="R6" s="3212">
        <f t="shared" ref="R6:R23" si="5">(L6-L5)/L5</f>
        <v>-8.0213903743315516E-3</v>
      </c>
      <c r="U6" s="3246" t="s">
        <v>3887</v>
      </c>
      <c r="V6" s="3218">
        <v>337.8</v>
      </c>
      <c r="W6" s="3235">
        <v>4.9000000000000002E-2</v>
      </c>
      <c r="X6" s="3212">
        <f t="shared" ref="X6:X23" si="6">(V6-V5)/V5</f>
        <v>0</v>
      </c>
      <c r="Y6">
        <f t="shared" ref="Y6:Y23" si="7">Z6-Z5</f>
        <v>220000</v>
      </c>
      <c r="Z6">
        <v>9760000</v>
      </c>
      <c r="AA6">
        <f t="shared" si="1"/>
        <v>976</v>
      </c>
      <c r="AB6" s="3212">
        <f t="shared" ref="AB6:AB22" si="8">(V6-V5)/V5</f>
        <v>0</v>
      </c>
    </row>
    <row r="7" spans="2:34">
      <c r="B7" s="3246" t="s">
        <v>3888</v>
      </c>
      <c r="C7" s="3218">
        <v>387.2</v>
      </c>
      <c r="D7" s="3235">
        <v>6.6000000000000003E-2</v>
      </c>
      <c r="E7" s="3212">
        <f t="shared" si="2"/>
        <v>9.1217096690122488E-3</v>
      </c>
      <c r="F7">
        <f t="shared" ref="F7:F23" si="9">G7-G6</f>
        <v>24.82000000000005</v>
      </c>
      <c r="G7">
        <f>ROUND(9302079/10000,2)</f>
        <v>930.21</v>
      </c>
      <c r="H7" s="3247">
        <v>1.4E-2</v>
      </c>
      <c r="I7" s="3189">
        <f>G7</f>
        <v>930.21</v>
      </c>
      <c r="K7" s="3246" t="s">
        <v>3888</v>
      </c>
      <c r="L7" s="3218">
        <v>373</v>
      </c>
      <c r="M7" s="3235">
        <v>3.9E-2</v>
      </c>
      <c r="N7" s="3212">
        <f t="shared" si="3"/>
        <v>5.3908355795148251E-3</v>
      </c>
      <c r="O7">
        <f t="shared" si="4"/>
        <v>115500</v>
      </c>
      <c r="P7">
        <v>7357900</v>
      </c>
      <c r="Q7">
        <f t="shared" si="0"/>
        <v>735.79</v>
      </c>
      <c r="R7" s="3212">
        <f t="shared" si="5"/>
        <v>5.3908355795148251E-3</v>
      </c>
      <c r="U7" s="3246" t="s">
        <v>3888</v>
      </c>
      <c r="V7" s="3218">
        <v>336.9</v>
      </c>
      <c r="W7" s="3235">
        <v>5.6000000000000001E-2</v>
      </c>
      <c r="X7" s="3212">
        <f t="shared" si="6"/>
        <v>-2.6642984014210599E-3</v>
      </c>
      <c r="Y7">
        <f t="shared" si="7"/>
        <v>160000</v>
      </c>
      <c r="Z7">
        <v>9920000</v>
      </c>
      <c r="AA7">
        <f t="shared" si="1"/>
        <v>992</v>
      </c>
      <c r="AB7" s="3212">
        <f t="shared" si="8"/>
        <v>-2.6642984014210599E-3</v>
      </c>
    </row>
    <row r="8" spans="2:34">
      <c r="B8" s="3246" t="s">
        <v>3889</v>
      </c>
      <c r="C8" s="3218">
        <v>388.4</v>
      </c>
      <c r="D8" s="3235">
        <v>6.6000000000000003E-2</v>
      </c>
      <c r="E8" s="3212">
        <f t="shared" si="2"/>
        <v>3.0991735537189789E-3</v>
      </c>
      <c r="F8">
        <f t="shared" si="9"/>
        <v>15.789999999999964</v>
      </c>
      <c r="G8">
        <f>118+828</f>
        <v>946</v>
      </c>
      <c r="H8" s="3247">
        <v>1.6E-2</v>
      </c>
      <c r="I8" s="3189"/>
      <c r="K8" s="3246" t="s">
        <v>3889</v>
      </c>
      <c r="L8" s="3218">
        <v>371</v>
      </c>
      <c r="M8" s="3235">
        <v>4.5999999999999999E-2</v>
      </c>
      <c r="N8" s="3212">
        <f t="shared" si="3"/>
        <v>-5.3619302949061663E-3</v>
      </c>
      <c r="O8">
        <f t="shared" si="4"/>
        <v>122300</v>
      </c>
      <c r="P8">
        <v>7480200</v>
      </c>
      <c r="Q8">
        <f t="shared" si="0"/>
        <v>748.02</v>
      </c>
      <c r="R8" s="3212">
        <f t="shared" si="5"/>
        <v>-5.3619302949061663E-3</v>
      </c>
      <c r="U8" s="3246" t="s">
        <v>3889</v>
      </c>
      <c r="V8" s="3218">
        <v>335.1</v>
      </c>
      <c r="W8" s="3235">
        <v>6.0999999999999999E-2</v>
      </c>
      <c r="X8" s="3212">
        <f t="shared" si="6"/>
        <v>-5.3428317008012904E-3</v>
      </c>
      <c r="Y8">
        <f t="shared" si="7"/>
        <v>160000</v>
      </c>
      <c r="Z8">
        <v>10080000</v>
      </c>
      <c r="AA8">
        <f t="shared" si="1"/>
        <v>1008</v>
      </c>
      <c r="AB8" s="3212">
        <f t="shared" si="8"/>
        <v>-5.3428317008012904E-3</v>
      </c>
    </row>
    <row r="9" spans="2:34">
      <c r="B9" s="3246" t="s">
        <v>3890</v>
      </c>
      <c r="C9" s="3218">
        <v>392.1</v>
      </c>
      <c r="D9" s="3235">
        <v>7.1999999999999995E-2</v>
      </c>
      <c r="E9" s="3212">
        <f t="shared" si="2"/>
        <v>9.5262615859939385E-3</v>
      </c>
      <c r="F9">
        <f t="shared" si="9"/>
        <v>21.059999999999945</v>
      </c>
      <c r="G9" s="3189">
        <v>967.06</v>
      </c>
      <c r="H9" s="3247">
        <v>0.02</v>
      </c>
      <c r="I9" s="3267">
        <f>AVERAGE(D8:D11)</f>
        <v>6.9500000000000006E-2</v>
      </c>
      <c r="K9" s="3246" t="s">
        <v>3890</v>
      </c>
      <c r="L9" s="3218">
        <v>374</v>
      </c>
      <c r="M9" s="3235">
        <v>6.3E-2</v>
      </c>
      <c r="N9" s="3212">
        <f t="shared" si="3"/>
        <v>8.0862533692722376E-3</v>
      </c>
      <c r="O9">
        <f t="shared" si="4"/>
        <v>267800</v>
      </c>
      <c r="P9">
        <v>7748000</v>
      </c>
      <c r="Q9">
        <f t="shared" si="0"/>
        <v>774.8</v>
      </c>
      <c r="R9" s="3212">
        <f t="shared" si="5"/>
        <v>8.0862533692722376E-3</v>
      </c>
      <c r="U9" s="3246" t="s">
        <v>3890</v>
      </c>
      <c r="V9" s="3218">
        <v>338.1</v>
      </c>
      <c r="W9" s="3235">
        <v>6.5000000000000002E-2</v>
      </c>
      <c r="X9" s="3212">
        <f t="shared" si="6"/>
        <v>8.9525514771709933E-3</v>
      </c>
      <c r="Y9">
        <f t="shared" si="7"/>
        <v>120000</v>
      </c>
      <c r="Z9">
        <v>10200000</v>
      </c>
      <c r="AA9">
        <f t="shared" si="1"/>
        <v>1020</v>
      </c>
      <c r="AB9" s="3212">
        <f t="shared" si="8"/>
        <v>8.9525514771709933E-3</v>
      </c>
    </row>
    <row r="10" spans="2:34">
      <c r="B10" s="3246" t="s">
        <v>3891</v>
      </c>
      <c r="C10" s="3218">
        <v>391.3</v>
      </c>
      <c r="D10" s="3235">
        <v>6.3E-2</v>
      </c>
      <c r="E10" s="3212">
        <f t="shared" si="2"/>
        <v>-2.0402958428972491E-3</v>
      </c>
      <c r="F10">
        <f t="shared" si="9"/>
        <v>0</v>
      </c>
      <c r="G10" s="3189">
        <v>967.06</v>
      </c>
      <c r="H10" s="3247">
        <v>1.9E-2</v>
      </c>
      <c r="I10" s="3189">
        <f>AVERAGE(C8:C11)</f>
        <v>391.875</v>
      </c>
      <c r="K10" s="3246" t="s">
        <v>3891</v>
      </c>
      <c r="L10" s="3218">
        <v>377</v>
      </c>
      <c r="M10" s="3235">
        <v>5.6000000000000001E-2</v>
      </c>
      <c r="N10" s="3212">
        <f t="shared" si="3"/>
        <v>8.0213903743315516E-3</v>
      </c>
      <c r="O10">
        <f t="shared" si="4"/>
        <v>0</v>
      </c>
      <c r="P10">
        <v>7748000</v>
      </c>
      <c r="Q10">
        <f t="shared" si="0"/>
        <v>774.8</v>
      </c>
      <c r="R10" s="3212">
        <f t="shared" si="5"/>
        <v>8.0213903743315516E-3</v>
      </c>
      <c r="U10" s="3246" t="s">
        <v>3891</v>
      </c>
      <c r="V10" s="3218">
        <v>338.2</v>
      </c>
      <c r="W10" s="3235">
        <v>5.5E-2</v>
      </c>
      <c r="X10" s="3212">
        <f t="shared" si="6"/>
        <v>2.9577048210578492E-4</v>
      </c>
      <c r="Y10">
        <f t="shared" si="7"/>
        <v>100000</v>
      </c>
      <c r="Z10">
        <v>10300000</v>
      </c>
      <c r="AA10">
        <f t="shared" si="1"/>
        <v>1030</v>
      </c>
      <c r="AB10" s="3212">
        <f t="shared" si="8"/>
        <v>2.9577048210578492E-4</v>
      </c>
    </row>
    <row r="11" spans="2:34">
      <c r="B11" s="3246" t="s">
        <v>3892</v>
      </c>
      <c r="C11" s="3218">
        <v>395.7</v>
      </c>
      <c r="D11" s="3235">
        <v>7.6999999999999999E-2</v>
      </c>
      <c r="E11" s="3212">
        <f t="shared" si="2"/>
        <v>1.124456938410421E-2</v>
      </c>
      <c r="F11">
        <f t="shared" si="9"/>
        <v>38.480000000000018</v>
      </c>
      <c r="G11" s="3189">
        <v>1005.54</v>
      </c>
      <c r="H11" s="3247">
        <v>1.9E-2</v>
      </c>
      <c r="I11" s="3189">
        <f>G11</f>
        <v>1005.54</v>
      </c>
      <c r="J11">
        <f>I11-I7</f>
        <v>75.329999999999927</v>
      </c>
      <c r="K11" s="3246" t="s">
        <v>3892</v>
      </c>
      <c r="L11" s="3218">
        <v>374</v>
      </c>
      <c r="M11" s="3235">
        <v>7.0999999999999994E-2</v>
      </c>
      <c r="N11" s="3212">
        <f t="shared" si="3"/>
        <v>-7.9575596816976128E-3</v>
      </c>
      <c r="O11">
        <f t="shared" si="4"/>
        <v>430900</v>
      </c>
      <c r="P11">
        <v>8178900</v>
      </c>
      <c r="Q11">
        <f t="shared" si="0"/>
        <v>817.89</v>
      </c>
      <c r="R11" s="3212">
        <f t="shared" si="5"/>
        <v>-7.9575596816976128E-3</v>
      </c>
      <c r="U11" s="3246" t="s">
        <v>3892</v>
      </c>
      <c r="V11" s="3218">
        <v>340</v>
      </c>
      <c r="W11" s="3235">
        <v>7.5999999999999998E-2</v>
      </c>
      <c r="X11" s="3212">
        <f t="shared" si="6"/>
        <v>5.3222945002957172E-3</v>
      </c>
      <c r="Y11">
        <f t="shared" si="7"/>
        <v>440000</v>
      </c>
      <c r="Z11">
        <v>10740000</v>
      </c>
      <c r="AA11">
        <f t="shared" si="1"/>
        <v>1074</v>
      </c>
      <c r="AB11" s="3212">
        <f t="shared" si="8"/>
        <v>5.3222945002957172E-3</v>
      </c>
    </row>
    <row r="12" spans="2:34">
      <c r="B12" s="3246" t="s">
        <v>3893</v>
      </c>
      <c r="C12" s="3218">
        <v>391.3</v>
      </c>
      <c r="D12" s="3235">
        <v>8.4000000000000005E-2</v>
      </c>
      <c r="E12" s="3212">
        <f t="shared" si="2"/>
        <v>-1.1119535001263526E-2</v>
      </c>
      <c r="F12">
        <f t="shared" si="9"/>
        <v>38.069999999999936</v>
      </c>
      <c r="G12" s="3189">
        <v>1043.6099999999999</v>
      </c>
      <c r="H12" s="3247">
        <v>2.3E-2</v>
      </c>
      <c r="I12" s="3189"/>
      <c r="K12" s="3246" t="s">
        <v>3893</v>
      </c>
      <c r="L12" s="3218">
        <v>370</v>
      </c>
      <c r="M12" s="3235">
        <v>4.2999999999999997E-2</v>
      </c>
      <c r="N12" s="3212">
        <f t="shared" si="3"/>
        <v>-1.06951871657754E-2</v>
      </c>
      <c r="O12">
        <f t="shared" si="4"/>
        <v>0</v>
      </c>
      <c r="P12">
        <v>8178900</v>
      </c>
      <c r="Q12">
        <f t="shared" si="0"/>
        <v>817.89</v>
      </c>
      <c r="R12" s="3212">
        <f t="shared" si="5"/>
        <v>-1.06951871657754E-2</v>
      </c>
      <c r="U12" s="3246" t="s">
        <v>3893</v>
      </c>
      <c r="V12" s="3218">
        <v>345.3</v>
      </c>
      <c r="W12" s="3235">
        <v>6.8000000000000005E-2</v>
      </c>
      <c r="X12" s="3212">
        <f t="shared" si="6"/>
        <v>1.558823529411768E-2</v>
      </c>
      <c r="Y12">
        <f t="shared" si="7"/>
        <v>-90000</v>
      </c>
      <c r="Z12">
        <v>10650000</v>
      </c>
      <c r="AA12">
        <f t="shared" si="1"/>
        <v>1065</v>
      </c>
      <c r="AB12" s="3212">
        <f t="shared" si="8"/>
        <v>1.558823529411768E-2</v>
      </c>
      <c r="AD12" s="3236" t="s">
        <v>3570</v>
      </c>
      <c r="AE12" s="3236" t="s">
        <v>3793</v>
      </c>
      <c r="AF12" s="3236" t="s">
        <v>3794</v>
      </c>
      <c r="AG12" s="3236"/>
      <c r="AH12" s="3236" t="s">
        <v>3795</v>
      </c>
    </row>
    <row r="13" spans="2:34">
      <c r="B13" s="3246" t="s">
        <v>3894</v>
      </c>
      <c r="C13" s="3218">
        <v>394.4</v>
      </c>
      <c r="D13" s="3235">
        <v>7.0999999999999994E-2</v>
      </c>
      <c r="E13" s="3212">
        <f t="shared" si="2"/>
        <v>7.9223102478915564E-3</v>
      </c>
      <c r="F13">
        <f t="shared" si="9"/>
        <v>0</v>
      </c>
      <c r="G13" s="3189">
        <v>1043.6099999999999</v>
      </c>
      <c r="H13" s="3247">
        <v>2.3E-2</v>
      </c>
      <c r="I13" s="3267">
        <f>AVERAGE(D12:D15)</f>
        <v>7.8750000000000001E-2</v>
      </c>
      <c r="K13" s="3246" t="s">
        <v>3894</v>
      </c>
      <c r="L13" s="3218">
        <v>384</v>
      </c>
      <c r="M13" s="3235">
        <v>3.3000000000000002E-2</v>
      </c>
      <c r="N13" s="3212">
        <f t="shared" si="3"/>
        <v>3.783783783783784E-2</v>
      </c>
      <c r="O13">
        <f t="shared" si="4"/>
        <v>80000</v>
      </c>
      <c r="P13">
        <v>8258900</v>
      </c>
      <c r="Q13">
        <f t="shared" si="0"/>
        <v>825.89</v>
      </c>
      <c r="R13" s="3212">
        <f t="shared" si="5"/>
        <v>3.783783783783784E-2</v>
      </c>
      <c r="U13" s="3246" t="s">
        <v>3894</v>
      </c>
      <c r="V13" s="3218">
        <v>355</v>
      </c>
      <c r="W13" s="3235">
        <v>5.8000000000000003E-2</v>
      </c>
      <c r="X13" s="3212">
        <f t="shared" si="6"/>
        <v>2.8091514624963766E-2</v>
      </c>
      <c r="Y13">
        <f>Z13-Z12</f>
        <v>70000</v>
      </c>
      <c r="Z13">
        <v>10720000</v>
      </c>
      <c r="AA13">
        <f t="shared" si="1"/>
        <v>1072</v>
      </c>
      <c r="AB13" s="3212">
        <f t="shared" si="8"/>
        <v>2.8091514624963766E-2</v>
      </c>
      <c r="AD13" s="3237">
        <v>1</v>
      </c>
      <c r="AE13" s="3238" t="s">
        <v>3350</v>
      </c>
      <c r="AF13" s="3237">
        <v>238</v>
      </c>
      <c r="AG13" s="3237">
        <f>ROUND(AF13/30,2)</f>
        <v>7.93</v>
      </c>
      <c r="AH13" s="3239">
        <v>6.7100000000000007E-2</v>
      </c>
    </row>
    <row r="14" spans="2:34">
      <c r="B14" s="3246" t="s">
        <v>3895</v>
      </c>
      <c r="C14" s="3218">
        <v>403</v>
      </c>
      <c r="D14" s="3235">
        <v>7.9000000000000001E-2</v>
      </c>
      <c r="E14" s="3212">
        <f>(C14-C13)/C13</f>
        <v>2.1805273833671458E-2</v>
      </c>
      <c r="F14">
        <f t="shared" si="9"/>
        <v>4.9900000000000091</v>
      </c>
      <c r="G14" s="3189">
        <f>117.5+931.1</f>
        <v>1048.5999999999999</v>
      </c>
      <c r="H14" s="3247">
        <v>2.5000000000000001E-2</v>
      </c>
      <c r="I14" s="3189">
        <f>AVERAGE(C12:C15)</f>
        <v>397.20000000000005</v>
      </c>
      <c r="K14" s="3246" t="s">
        <v>3895</v>
      </c>
      <c r="L14" s="3218">
        <v>390</v>
      </c>
      <c r="M14" s="3235">
        <v>3.2000000000000001E-2</v>
      </c>
      <c r="N14" s="3212">
        <f t="shared" si="3"/>
        <v>1.5625E-2</v>
      </c>
      <c r="O14">
        <f t="shared" si="4"/>
        <v>45700</v>
      </c>
      <c r="P14">
        <v>8304600</v>
      </c>
      <c r="Q14">
        <f t="shared" si="0"/>
        <v>830.46</v>
      </c>
      <c r="R14" s="3212">
        <f t="shared" si="5"/>
        <v>1.5625E-2</v>
      </c>
      <c r="U14" s="3246" t="s">
        <v>3895</v>
      </c>
      <c r="V14" s="3218">
        <v>366.9</v>
      </c>
      <c r="W14" s="3235">
        <v>6.5000000000000002E-2</v>
      </c>
      <c r="X14" s="3212">
        <f t="shared" si="6"/>
        <v>3.3521126760563319E-2</v>
      </c>
      <c r="Y14">
        <f t="shared" si="7"/>
        <v>145000</v>
      </c>
      <c r="Z14">
        <v>10865000</v>
      </c>
      <c r="AA14">
        <f t="shared" si="1"/>
        <v>1086.5</v>
      </c>
      <c r="AB14" s="3212">
        <f t="shared" si="8"/>
        <v>3.3521126760563319E-2</v>
      </c>
      <c r="AD14" s="3237">
        <v>2</v>
      </c>
      <c r="AE14" s="3238" t="s">
        <v>3796</v>
      </c>
      <c r="AF14" s="3237">
        <v>146</v>
      </c>
      <c r="AG14" s="3237">
        <f t="shared" ref="AG14:AG22" si="10">ROUND(AF14/30,2)</f>
        <v>4.87</v>
      </c>
      <c r="AH14" s="3239">
        <v>5.3E-3</v>
      </c>
    </row>
    <row r="15" spans="2:34">
      <c r="B15" s="3246" t="s">
        <v>3896</v>
      </c>
      <c r="C15" s="3218">
        <v>400.1</v>
      </c>
      <c r="D15" s="3235">
        <v>8.1000000000000003E-2</v>
      </c>
      <c r="E15" s="3212">
        <f t="shared" si="2"/>
        <v>-7.1960297766748811E-3</v>
      </c>
      <c r="F15">
        <f t="shared" si="9"/>
        <v>9.4000000000000909</v>
      </c>
      <c r="G15" s="3189">
        <v>1058</v>
      </c>
      <c r="H15" s="3247"/>
      <c r="I15" s="3189">
        <f>G15</f>
        <v>1058</v>
      </c>
      <c r="J15">
        <f>I15-I11</f>
        <v>52.460000000000036</v>
      </c>
      <c r="K15" s="3246" t="s">
        <v>3896</v>
      </c>
      <c r="L15" s="3218">
        <v>386</v>
      </c>
      <c r="M15" s="3235">
        <v>4.9000000000000002E-2</v>
      </c>
      <c r="N15" s="3212">
        <f t="shared" si="3"/>
        <v>-1.0256410256410256E-2</v>
      </c>
      <c r="O15">
        <f t="shared" si="4"/>
        <v>251300</v>
      </c>
      <c r="P15">
        <v>8555900</v>
      </c>
      <c r="Q15">
        <f t="shared" si="0"/>
        <v>855.59</v>
      </c>
      <c r="R15" s="3212">
        <f t="shared" si="5"/>
        <v>-1.0256410256410256E-2</v>
      </c>
      <c r="U15" s="3246" t="s">
        <v>3896</v>
      </c>
      <c r="V15" s="3218">
        <v>369</v>
      </c>
      <c r="W15" s="3235">
        <v>7.0000000000000007E-2</v>
      </c>
      <c r="X15" s="3212">
        <f t="shared" si="6"/>
        <v>5.7236304170074212E-3</v>
      </c>
      <c r="Y15">
        <f t="shared" si="7"/>
        <v>157000</v>
      </c>
      <c r="Z15">
        <v>11022000</v>
      </c>
      <c r="AA15">
        <f t="shared" si="1"/>
        <v>1102.2</v>
      </c>
      <c r="AB15" s="3212">
        <f t="shared" si="8"/>
        <v>5.7236304170074212E-3</v>
      </c>
      <c r="AD15" s="3237">
        <v>3</v>
      </c>
      <c r="AE15" s="3238" t="s">
        <v>3797</v>
      </c>
      <c r="AF15" s="3237">
        <v>180</v>
      </c>
      <c r="AG15" s="3237">
        <f t="shared" si="10"/>
        <v>6</v>
      </c>
      <c r="AH15" s="3239">
        <v>2.63E-2</v>
      </c>
    </row>
    <row r="16" spans="2:34">
      <c r="B16" s="3246" t="s">
        <v>3897</v>
      </c>
      <c r="C16" s="3218">
        <v>399.75</v>
      </c>
      <c r="D16" s="3235">
        <v>7.9200000000000007E-2</v>
      </c>
      <c r="E16" s="3212">
        <f t="shared" si="2"/>
        <v>-8.7478130467388837E-4</v>
      </c>
      <c r="F16">
        <f t="shared" si="9"/>
        <v>0</v>
      </c>
      <c r="G16" s="3189">
        <v>1058</v>
      </c>
      <c r="H16" s="3247"/>
      <c r="I16" s="3189"/>
      <c r="K16" s="3246" t="s">
        <v>3897</v>
      </c>
      <c r="L16" s="3218">
        <f>ROUND(L17*(1+1.2%),0)</f>
        <v>382</v>
      </c>
      <c r="M16" s="3235">
        <v>5.8000000000000003E-2</v>
      </c>
      <c r="N16" s="3212">
        <f t="shared" si="3"/>
        <v>-1.0362694300518135E-2</v>
      </c>
      <c r="O16">
        <f t="shared" si="4"/>
        <v>125600</v>
      </c>
      <c r="P16">
        <f>P17-143000</f>
        <v>8681500</v>
      </c>
      <c r="Q16">
        <f t="shared" si="0"/>
        <v>868.15</v>
      </c>
      <c r="R16" s="3212">
        <f t="shared" si="5"/>
        <v>-1.0362694300518135E-2</v>
      </c>
      <c r="U16" s="3246" t="s">
        <v>3897</v>
      </c>
      <c r="V16" s="3218">
        <v>368</v>
      </c>
      <c r="W16" s="3235">
        <v>6.9000000000000006E-2</v>
      </c>
      <c r="X16" s="3212">
        <f t="shared" si="6"/>
        <v>-2.7100271002710027E-3</v>
      </c>
      <c r="Y16">
        <f t="shared" si="7"/>
        <v>0</v>
      </c>
      <c r="Z16">
        <v>11022000</v>
      </c>
      <c r="AA16">
        <f t="shared" si="1"/>
        <v>1102.2</v>
      </c>
      <c r="AB16" s="3212">
        <f t="shared" si="8"/>
        <v>-2.7100271002710027E-3</v>
      </c>
      <c r="AD16" s="3237">
        <v>4</v>
      </c>
      <c r="AE16" s="3238" t="s">
        <v>3798</v>
      </c>
      <c r="AF16" s="3237">
        <v>147</v>
      </c>
      <c r="AG16" s="3237">
        <f t="shared" si="10"/>
        <v>4.9000000000000004</v>
      </c>
      <c r="AH16" s="3239">
        <v>6.4799999999999996E-2</v>
      </c>
    </row>
    <row r="17" spans="2:34">
      <c r="B17" s="3246" t="s">
        <v>3898</v>
      </c>
      <c r="C17" s="3218">
        <v>396.19</v>
      </c>
      <c r="D17" s="3235">
        <v>8.8999999999999996E-2</v>
      </c>
      <c r="E17" s="3212">
        <f t="shared" si="2"/>
        <v>-8.9055659787367156E-3</v>
      </c>
      <c r="F17">
        <f t="shared" si="9"/>
        <v>-23.319999999999936</v>
      </c>
      <c r="G17" s="3189">
        <v>1034.68</v>
      </c>
      <c r="H17" s="3247">
        <v>1.9E-2</v>
      </c>
      <c r="I17" s="3267">
        <f>AVERAGE(D16:D19)</f>
        <v>0.10117500000000001</v>
      </c>
      <c r="K17" s="3246" t="s">
        <v>3898</v>
      </c>
      <c r="L17" s="3218">
        <v>377</v>
      </c>
      <c r="M17" s="3235">
        <v>6.9000000000000006E-2</v>
      </c>
      <c r="N17" s="3212">
        <f t="shared" si="3"/>
        <v>-1.3089005235602094E-2</v>
      </c>
      <c r="O17">
        <f t="shared" si="4"/>
        <v>143000</v>
      </c>
      <c r="P17">
        <v>8824500</v>
      </c>
      <c r="Q17">
        <f t="shared" si="0"/>
        <v>882.45</v>
      </c>
      <c r="R17" s="3212">
        <f t="shared" si="5"/>
        <v>-1.3089005235602094E-2</v>
      </c>
      <c r="U17" s="3246" t="s">
        <v>3898</v>
      </c>
      <c r="V17" s="3218">
        <v>368.3</v>
      </c>
      <c r="W17" s="3235">
        <v>8.5999999999999993E-2</v>
      </c>
      <c r="X17" s="3212">
        <f t="shared" si="6"/>
        <v>8.1521739130437868E-4</v>
      </c>
      <c r="Y17">
        <f t="shared" si="7"/>
        <v>284000</v>
      </c>
      <c r="Z17">
        <v>11306000</v>
      </c>
      <c r="AA17">
        <f t="shared" si="1"/>
        <v>1130.5999999999999</v>
      </c>
      <c r="AB17" s="3212">
        <f t="shared" si="8"/>
        <v>8.1521739130437868E-4</v>
      </c>
      <c r="AD17" s="3237">
        <v>5</v>
      </c>
      <c r="AE17" s="3238" t="s">
        <v>3799</v>
      </c>
      <c r="AF17" s="3237">
        <v>146</v>
      </c>
      <c r="AG17" s="3237">
        <f t="shared" si="10"/>
        <v>4.87</v>
      </c>
      <c r="AH17" s="3240">
        <v>-2.9700000000000001E-2</v>
      </c>
    </row>
    <row r="18" spans="2:34">
      <c r="B18" s="3246" t="s">
        <v>3899</v>
      </c>
      <c r="C18" s="3218">
        <v>388.16</v>
      </c>
      <c r="D18" s="3235">
        <v>0.10150000000000001</v>
      </c>
      <c r="E18" s="3212">
        <f t="shared" si="2"/>
        <v>-2.0268053206794652E-2</v>
      </c>
      <c r="F18">
        <f t="shared" si="9"/>
        <v>20.700000000000045</v>
      </c>
      <c r="G18" s="3189">
        <v>1055.3800000000001</v>
      </c>
      <c r="H18" s="3247">
        <v>2.1000000000000001E-2</v>
      </c>
      <c r="I18" s="3189">
        <f>AVERAGE(C16:C19)</f>
        <v>391.625</v>
      </c>
      <c r="K18" s="3246" t="s">
        <v>3899</v>
      </c>
      <c r="L18" s="3218">
        <v>374</v>
      </c>
      <c r="M18" s="3235">
        <v>7.0999999999999994E-2</v>
      </c>
      <c r="N18" s="3212">
        <f t="shared" si="3"/>
        <v>-7.9575596816976128E-3</v>
      </c>
      <c r="O18">
        <f t="shared" si="4"/>
        <v>0</v>
      </c>
      <c r="P18">
        <v>8824500</v>
      </c>
      <c r="Q18">
        <f t="shared" si="0"/>
        <v>882.45</v>
      </c>
      <c r="R18" s="3212">
        <f t="shared" si="5"/>
        <v>-7.9575596816976128E-3</v>
      </c>
      <c r="U18" s="3246" t="s">
        <v>3899</v>
      </c>
      <c r="V18" s="3218">
        <v>367.6</v>
      </c>
      <c r="W18" s="3235">
        <v>9.1999999999999998E-2</v>
      </c>
      <c r="X18" s="3212">
        <f t="shared" si="6"/>
        <v>-1.9006244909041232E-3</v>
      </c>
      <c r="Y18">
        <f t="shared" si="7"/>
        <v>180000</v>
      </c>
      <c r="Z18">
        <v>11486000</v>
      </c>
      <c r="AA18">
        <f t="shared" si="1"/>
        <v>1148.5999999999999</v>
      </c>
      <c r="AB18" s="3212">
        <f t="shared" si="8"/>
        <v>-1.9006244909041232E-3</v>
      </c>
      <c r="AD18" s="3237">
        <v>6</v>
      </c>
      <c r="AE18" s="3238" t="s">
        <v>3800</v>
      </c>
      <c r="AF18" s="3237">
        <v>225</v>
      </c>
      <c r="AG18" s="3237">
        <f t="shared" si="10"/>
        <v>7.5</v>
      </c>
      <c r="AH18" s="3239">
        <v>6.2399999999999997E-2</v>
      </c>
    </row>
    <row r="19" spans="2:34">
      <c r="B19" s="3246" t="s">
        <v>3900</v>
      </c>
      <c r="C19" s="3218">
        <v>382.4</v>
      </c>
      <c r="D19" s="3235">
        <v>0.13500000000000001</v>
      </c>
      <c r="E19" s="3212">
        <f t="shared" si="2"/>
        <v>-1.4839241549876462E-2</v>
      </c>
      <c r="F19">
        <f t="shared" si="9"/>
        <v>58.799999999999955</v>
      </c>
      <c r="G19" s="3189">
        <v>1114.18</v>
      </c>
      <c r="H19" s="3247">
        <v>2.3E-2</v>
      </c>
      <c r="I19" s="3189">
        <f>G19</f>
        <v>1114.18</v>
      </c>
      <c r="J19">
        <f>I19-I15</f>
        <v>56.180000000000064</v>
      </c>
      <c r="K19" s="3246" t="s">
        <v>3900</v>
      </c>
      <c r="L19" s="3218">
        <v>379</v>
      </c>
      <c r="M19" s="3235">
        <v>0.113</v>
      </c>
      <c r="N19" s="3212">
        <f t="shared" si="3"/>
        <v>1.3368983957219251E-2</v>
      </c>
      <c r="O19">
        <f t="shared" si="4"/>
        <v>800700</v>
      </c>
      <c r="P19">
        <v>9625200</v>
      </c>
      <c r="Q19">
        <f t="shared" si="0"/>
        <v>962.52</v>
      </c>
      <c r="R19" s="3212">
        <f t="shared" si="5"/>
        <v>1.3368983957219251E-2</v>
      </c>
      <c r="U19" s="3246" t="s">
        <v>3900</v>
      </c>
      <c r="V19" s="3218">
        <v>364.9</v>
      </c>
      <c r="W19" s="3235">
        <v>0.127</v>
      </c>
      <c r="X19" s="3212">
        <f t="shared" si="6"/>
        <v>-7.344940152339623E-3</v>
      </c>
      <c r="Y19">
        <f t="shared" si="7"/>
        <v>933000</v>
      </c>
      <c r="Z19">
        <v>12419000</v>
      </c>
      <c r="AA19">
        <f t="shared" si="1"/>
        <v>1241.9000000000001</v>
      </c>
      <c r="AB19" s="3212">
        <f t="shared" si="8"/>
        <v>-7.344940152339623E-3</v>
      </c>
      <c r="AD19" s="3237">
        <v>7</v>
      </c>
      <c r="AE19" s="3238" t="s">
        <v>3801</v>
      </c>
      <c r="AF19" s="3237">
        <v>132</v>
      </c>
      <c r="AG19" s="3237">
        <f t="shared" si="10"/>
        <v>4.4000000000000004</v>
      </c>
      <c r="AH19" s="3239">
        <v>7.0000000000000001E-3</v>
      </c>
    </row>
    <row r="20" spans="2:34">
      <c r="B20" s="3246" t="s">
        <v>3992</v>
      </c>
      <c r="C20" s="3218">
        <v>377.49</v>
      </c>
      <c r="D20" s="3235">
        <v>0.13800000000000001</v>
      </c>
      <c r="E20" s="3212">
        <f t="shared" si="2"/>
        <v>-1.2839958158995734E-2</v>
      </c>
      <c r="F20">
        <f t="shared" si="9"/>
        <v>0</v>
      </c>
      <c r="G20" s="3189">
        <v>1114.18</v>
      </c>
      <c r="H20" s="3247">
        <v>3.1E-2</v>
      </c>
      <c r="I20" s="3189"/>
      <c r="K20" s="3246" t="s">
        <v>3901</v>
      </c>
      <c r="L20" s="3218">
        <v>374</v>
      </c>
      <c r="M20" s="3235">
        <v>0.113</v>
      </c>
      <c r="N20" s="3212">
        <f t="shared" si="3"/>
        <v>-1.3192612137203167E-2</v>
      </c>
      <c r="O20">
        <f t="shared" si="4"/>
        <v>0</v>
      </c>
      <c r="P20">
        <v>9625200</v>
      </c>
      <c r="Q20">
        <f t="shared" si="0"/>
        <v>962.52</v>
      </c>
      <c r="R20" s="3212">
        <f t="shared" si="5"/>
        <v>-1.3192612137203167E-2</v>
      </c>
      <c r="U20" s="3246" t="s">
        <v>3901</v>
      </c>
      <c r="V20" s="3218">
        <v>363</v>
      </c>
      <c r="W20" s="3235">
        <v>0.13200000000000001</v>
      </c>
      <c r="X20" s="3212">
        <f t="shared" si="6"/>
        <v>-5.2069060016442245E-3</v>
      </c>
      <c r="Y20">
        <f t="shared" si="7"/>
        <v>-41000</v>
      </c>
      <c r="Z20">
        <v>12378000</v>
      </c>
      <c r="AA20">
        <f t="shared" si="1"/>
        <v>1237.8</v>
      </c>
      <c r="AB20" s="3212">
        <f t="shared" si="8"/>
        <v>-5.2069060016442245E-3</v>
      </c>
      <c r="AD20" s="3237">
        <v>8</v>
      </c>
      <c r="AE20" s="3238" t="s">
        <v>3802</v>
      </c>
      <c r="AF20" s="3237">
        <v>161</v>
      </c>
      <c r="AG20" s="3237">
        <f t="shared" si="10"/>
        <v>5.37</v>
      </c>
      <c r="AH20" s="3239">
        <v>5.7799999999999997E-2</v>
      </c>
    </row>
    <row r="21" spans="2:34">
      <c r="B21" s="3293" t="s">
        <v>3993</v>
      </c>
      <c r="C21" s="3218">
        <v>358.51</v>
      </c>
      <c r="D21" s="3235">
        <v>0.16200000000000001</v>
      </c>
      <c r="E21" s="3212">
        <f t="shared" si="2"/>
        <v>-5.0279477602055728E-2</v>
      </c>
      <c r="F21">
        <f t="shared" si="9"/>
        <v>36.240000000000009</v>
      </c>
      <c r="G21" s="3189">
        <v>1150.42</v>
      </c>
      <c r="H21" s="3247">
        <v>2.3E-2</v>
      </c>
      <c r="I21" s="3267">
        <f>AVERAGE(D20:D23)</f>
        <v>0.15900000000000003</v>
      </c>
      <c r="K21" s="3246" t="s">
        <v>3902</v>
      </c>
      <c r="L21" s="3218">
        <v>356</v>
      </c>
      <c r="M21" s="3235">
        <v>0.14000000000000001</v>
      </c>
      <c r="N21" s="3212">
        <f t="shared" si="3"/>
        <v>-4.8128342245989303E-2</v>
      </c>
      <c r="O21">
        <f t="shared" si="4"/>
        <v>0</v>
      </c>
      <c r="P21">
        <v>9625200</v>
      </c>
      <c r="Q21">
        <f t="shared" si="0"/>
        <v>962.52</v>
      </c>
      <c r="R21" s="3212">
        <f t="shared" si="5"/>
        <v>-4.8128342245989303E-2</v>
      </c>
      <c r="U21" s="3246" t="s">
        <v>3902</v>
      </c>
      <c r="V21" s="3218">
        <v>360.5</v>
      </c>
      <c r="W21" s="3235">
        <v>0.13600000000000001</v>
      </c>
      <c r="X21" s="3212">
        <f t="shared" si="6"/>
        <v>-6.8870523415977963E-3</v>
      </c>
      <c r="Y21">
        <f t="shared" si="7"/>
        <v>100000</v>
      </c>
      <c r="Z21">
        <v>12478000</v>
      </c>
      <c r="AA21">
        <f t="shared" si="1"/>
        <v>1247.8</v>
      </c>
      <c r="AB21" s="3212">
        <f t="shared" si="8"/>
        <v>-6.8870523415977963E-3</v>
      </c>
      <c r="AD21" s="3237">
        <v>9</v>
      </c>
      <c r="AE21" s="3238" t="s">
        <v>3803</v>
      </c>
      <c r="AF21" s="3237">
        <v>193</v>
      </c>
      <c r="AG21" s="3237">
        <f t="shared" si="10"/>
        <v>6.43</v>
      </c>
      <c r="AH21" s="3239">
        <v>1.3100000000000001E-2</v>
      </c>
    </row>
    <row r="22" spans="2:34">
      <c r="B22" s="3293" t="s">
        <v>3994</v>
      </c>
      <c r="C22" s="3218">
        <v>348.4</v>
      </c>
      <c r="D22" s="3235">
        <v>0.16600000000000001</v>
      </c>
      <c r="E22" s="3212">
        <f t="shared" si="2"/>
        <v>-2.8200050207804563E-2</v>
      </c>
      <c r="F22">
        <f t="shared" si="9"/>
        <v>16.5</v>
      </c>
      <c r="G22" s="3189">
        <v>1166.92</v>
      </c>
      <c r="H22" s="3247">
        <v>1.9E-2</v>
      </c>
      <c r="I22" s="3189">
        <f>AVERAGE(C20:C23)</f>
        <v>355.40000000000003</v>
      </c>
      <c r="K22" s="3246" t="s">
        <v>3903</v>
      </c>
      <c r="L22" s="3218">
        <v>352</v>
      </c>
      <c r="M22" s="3235">
        <v>0.13900000000000001</v>
      </c>
      <c r="N22" s="3212">
        <f t="shared" si="3"/>
        <v>-1.1235955056179775E-2</v>
      </c>
      <c r="O22">
        <f t="shared" si="4"/>
        <v>10000</v>
      </c>
      <c r="P22">
        <v>9635200</v>
      </c>
      <c r="Q22">
        <f t="shared" si="0"/>
        <v>963.52</v>
      </c>
      <c r="R22" s="3212">
        <f t="shared" si="5"/>
        <v>-1.1235955056179775E-2</v>
      </c>
      <c r="U22" s="3246" t="s">
        <v>3903</v>
      </c>
      <c r="V22" s="3218">
        <v>354.8</v>
      </c>
      <c r="W22" s="3235">
        <v>0.15</v>
      </c>
      <c r="X22" s="3212">
        <f t="shared" si="6"/>
        <v>-1.5811373092926458E-2</v>
      </c>
      <c r="Y22">
        <f t="shared" si="7"/>
        <v>248000</v>
      </c>
      <c r="Z22">
        <v>12726000</v>
      </c>
      <c r="AA22">
        <f t="shared" si="1"/>
        <v>1272.5999999999999</v>
      </c>
      <c r="AB22" s="3212">
        <f t="shared" si="8"/>
        <v>-1.5811373092926458E-2</v>
      </c>
      <c r="AD22" s="3237">
        <v>10</v>
      </c>
      <c r="AE22" s="3238" t="s">
        <v>3804</v>
      </c>
      <c r="AF22" s="3237">
        <v>164</v>
      </c>
      <c r="AG22" s="3237">
        <f t="shared" si="10"/>
        <v>5.47</v>
      </c>
      <c r="AH22" s="3239">
        <v>2.75E-2</v>
      </c>
    </row>
    <row r="23" spans="2:34">
      <c r="B23" s="3293" t="s">
        <v>3995</v>
      </c>
      <c r="C23" s="3218">
        <v>337.2</v>
      </c>
      <c r="D23" s="3235">
        <v>0.17</v>
      </c>
      <c r="E23" s="3212">
        <f t="shared" si="2"/>
        <v>-3.2146957520091821E-2</v>
      </c>
      <c r="F23">
        <f t="shared" si="9"/>
        <v>31.490000000000009</v>
      </c>
      <c r="G23" s="3189">
        <v>1198.4100000000001</v>
      </c>
      <c r="H23" s="3247"/>
      <c r="I23" s="3189">
        <f>G23</f>
        <v>1198.4100000000001</v>
      </c>
      <c r="J23">
        <f>I23-I19</f>
        <v>84.230000000000018</v>
      </c>
      <c r="K23" s="3246" t="s">
        <v>3904</v>
      </c>
      <c r="L23" s="3218">
        <v>342</v>
      </c>
      <c r="M23" s="3235">
        <v>0.154</v>
      </c>
      <c r="N23" s="3212">
        <f t="shared" si="3"/>
        <v>-2.8409090909090908E-2</v>
      </c>
      <c r="O23">
        <f t="shared" si="4"/>
        <v>540700</v>
      </c>
      <c r="P23">
        <v>10175900</v>
      </c>
      <c r="Q23">
        <f t="shared" si="0"/>
        <v>1017.59</v>
      </c>
      <c r="R23" s="3212">
        <f t="shared" si="5"/>
        <v>-2.8409090909090908E-2</v>
      </c>
      <c r="U23" s="3246" t="s">
        <v>3904</v>
      </c>
      <c r="V23" s="3218">
        <v>349.2</v>
      </c>
      <c r="W23" s="3235">
        <v>0.158</v>
      </c>
      <c r="X23" s="3212">
        <f t="shared" si="6"/>
        <v>-1.578354002254798E-2</v>
      </c>
      <c r="Y23">
        <f t="shared" si="7"/>
        <v>164000</v>
      </c>
      <c r="Z23">
        <v>12890000</v>
      </c>
      <c r="AA23">
        <f t="shared" si="1"/>
        <v>1289</v>
      </c>
      <c r="AB23" s="3212">
        <f>(V23-V22)/V22</f>
        <v>-1.578354002254798E-2</v>
      </c>
    </row>
    <row r="24" spans="2:34">
      <c r="B24" s="3218"/>
      <c r="C24" s="3218"/>
      <c r="D24" s="3218"/>
      <c r="K24" s="3218"/>
      <c r="L24" s="3218"/>
      <c r="M24" s="3218"/>
      <c r="U24" s="3218"/>
      <c r="V24" s="3218"/>
      <c r="W24" s="3218"/>
    </row>
    <row r="25" spans="2:34">
      <c r="B25" s="3218"/>
      <c r="C25" s="3218"/>
      <c r="D25" s="3218"/>
      <c r="K25" s="3218"/>
      <c r="L25" s="3218"/>
      <c r="M25" s="3218"/>
      <c r="U25" s="3218"/>
      <c r="V25" s="3218"/>
      <c r="W25" s="3218"/>
    </row>
    <row r="26" spans="2:34">
      <c r="B26" s="3218"/>
      <c r="C26" s="3218"/>
      <c r="D26" s="3218"/>
      <c r="J26" s="3212"/>
      <c r="K26" s="3218"/>
      <c r="L26" s="3218"/>
      <c r="M26" s="3218"/>
      <c r="U26" s="3218"/>
      <c r="V26" s="3218"/>
      <c r="W26" s="3218"/>
    </row>
    <row r="27" spans="2:34">
      <c r="B27" s="3872" t="s">
        <v>3805</v>
      </c>
      <c r="C27" s="3872"/>
      <c r="D27" s="3872"/>
      <c r="E27" s="3872"/>
      <c r="F27" s="3218"/>
      <c r="G27" s="3218"/>
      <c r="J27" s="3373"/>
      <c r="K27" s="3872" t="s">
        <v>3805</v>
      </c>
      <c r="L27" s="3872"/>
      <c r="M27" s="3872"/>
      <c r="N27" s="3872"/>
      <c r="O27" s="3218"/>
      <c r="P27" s="3218"/>
      <c r="U27" s="3940" t="s">
        <v>3813</v>
      </c>
      <c r="V27" s="3872"/>
      <c r="W27" s="3872"/>
      <c r="X27" s="3872"/>
      <c r="Y27" s="3218"/>
      <c r="Z27" s="3218"/>
    </row>
    <row r="28" spans="2:34">
      <c r="B28" s="3218"/>
      <c r="C28" s="3218" t="s">
        <v>3786</v>
      </c>
      <c r="D28" s="3218" t="s">
        <v>3787</v>
      </c>
      <c r="E28" t="s">
        <v>3788</v>
      </c>
      <c r="F28" s="3250" t="s">
        <v>3823</v>
      </c>
      <c r="G28" s="3246" t="s">
        <v>3818</v>
      </c>
      <c r="K28" s="3218"/>
      <c r="L28" s="3218" t="s">
        <v>3786</v>
      </c>
      <c r="M28" s="3218" t="s">
        <v>3787</v>
      </c>
      <c r="N28" t="s">
        <v>3788</v>
      </c>
      <c r="O28" s="3218" t="s">
        <v>3789</v>
      </c>
      <c r="P28" s="3218" t="s">
        <v>3806</v>
      </c>
      <c r="Q28" s="3218" t="s">
        <v>3791</v>
      </c>
      <c r="R28" s="3218"/>
      <c r="S28" s="3218"/>
      <c r="U28" s="3218"/>
      <c r="V28" s="3218" t="s">
        <v>3786</v>
      </c>
      <c r="W28" s="3218" t="s">
        <v>3787</v>
      </c>
      <c r="X28" t="s">
        <v>3788</v>
      </c>
      <c r="Y28" s="3218" t="s">
        <v>3789</v>
      </c>
      <c r="Z28" s="3218" t="s">
        <v>3806</v>
      </c>
    </row>
    <row r="29" spans="2:34">
      <c r="B29" s="3293" t="s">
        <v>3885</v>
      </c>
      <c r="C29" s="3246" t="s">
        <v>3905</v>
      </c>
      <c r="D29" s="3235"/>
      <c r="K29" s="3246" t="s">
        <v>3885</v>
      </c>
      <c r="L29" s="3218">
        <v>325</v>
      </c>
      <c r="M29" s="3235">
        <v>2E-3</v>
      </c>
      <c r="P29">
        <v>843800</v>
      </c>
      <c r="Q29">
        <f>P29/10000</f>
        <v>84.38</v>
      </c>
      <c r="U29" s="3246" t="s">
        <v>3885</v>
      </c>
      <c r="V29" s="3218">
        <v>897.5</v>
      </c>
      <c r="W29" s="3235">
        <f>1-0.945</f>
        <v>5.5000000000000049E-2</v>
      </c>
      <c r="AA29">
        <v>1047</v>
      </c>
    </row>
    <row r="30" spans="2:34">
      <c r="B30" s="3293" t="s">
        <v>3886</v>
      </c>
      <c r="C30" s="3218">
        <v>334.2</v>
      </c>
      <c r="D30" s="3235">
        <v>2.9000000000000001E-2</v>
      </c>
      <c r="E30" s="3212"/>
      <c r="G30" s="3246">
        <f>ROUND(1082655/10000,2)</f>
        <v>108.27</v>
      </c>
      <c r="I30" s="3267">
        <f>AVERAGE(D29:D32)</f>
        <v>4.1000000000000002E-2</v>
      </c>
      <c r="K30" s="3246" t="s">
        <v>3886</v>
      </c>
      <c r="L30" s="3218">
        <v>327</v>
      </c>
      <c r="M30" s="3235">
        <v>5.0000000000000001E-3</v>
      </c>
      <c r="N30" s="3212">
        <f t="shared" ref="N30:N48" si="11">(L30-L29)/L29</f>
        <v>6.1538461538461538E-3</v>
      </c>
      <c r="O30">
        <f>P30-P29</f>
        <v>0</v>
      </c>
      <c r="P30">
        <v>843800</v>
      </c>
      <c r="Q30">
        <f t="shared" ref="Q30:Q48" si="12">P30/10000</f>
        <v>84.38</v>
      </c>
      <c r="R30" s="3212">
        <f t="shared" ref="R30:R48" si="13">(L30-L29)/L29</f>
        <v>6.1538461538461538E-3</v>
      </c>
      <c r="U30" s="3246" t="s">
        <v>3886</v>
      </c>
      <c r="V30" s="3218">
        <v>912.8</v>
      </c>
      <c r="W30" s="3235">
        <f>W29</f>
        <v>5.5000000000000049E-2</v>
      </c>
      <c r="X30" s="3212">
        <f t="shared" ref="X30:X48" si="14">(V30-V29)/V29</f>
        <v>1.7047353760445631E-2</v>
      </c>
      <c r="Y30">
        <f>Z30-Z29</f>
        <v>0</v>
      </c>
      <c r="AA30">
        <v>1133</v>
      </c>
      <c r="AB30" s="3212">
        <f>(V30-V29)/V29</f>
        <v>1.7047353760445631E-2</v>
      </c>
    </row>
    <row r="31" spans="2:34">
      <c r="B31" s="3293" t="s">
        <v>3887</v>
      </c>
      <c r="C31" s="3218">
        <v>350.8</v>
      </c>
      <c r="D31" s="3235">
        <v>0.06</v>
      </c>
      <c r="E31" s="3212">
        <f t="shared" ref="E31:E48" si="15">(C31-C30)/C30</f>
        <v>4.9670855774985111E-2</v>
      </c>
      <c r="F31">
        <f>G31-G30</f>
        <v>4.7999999999999972</v>
      </c>
      <c r="G31">
        <f>ROUND(1130655/10000,2)</f>
        <v>113.07</v>
      </c>
      <c r="I31" s="3189">
        <f>AVERAGE(C29:C32)</f>
        <v>343.3</v>
      </c>
      <c r="K31" s="3246" t="s">
        <v>3887</v>
      </c>
      <c r="L31" s="3218">
        <v>329</v>
      </c>
      <c r="M31" s="3235">
        <v>4.0000000000000001E-3</v>
      </c>
      <c r="N31" s="3212">
        <f t="shared" si="11"/>
        <v>6.1162079510703364E-3</v>
      </c>
      <c r="O31">
        <f t="shared" ref="O31:O48" si="16">P31-P30</f>
        <v>0</v>
      </c>
      <c r="P31">
        <v>843800</v>
      </c>
      <c r="Q31">
        <f t="shared" si="12"/>
        <v>84.38</v>
      </c>
      <c r="R31" s="3212">
        <f t="shared" si="13"/>
        <v>6.1162079510703364E-3</v>
      </c>
      <c r="U31" s="3246" t="s">
        <v>3887</v>
      </c>
      <c r="V31" s="3218">
        <v>916.2</v>
      </c>
      <c r="W31" s="3235">
        <f>1-0.949</f>
        <v>5.1000000000000045E-2</v>
      </c>
      <c r="X31" s="3212">
        <f t="shared" si="14"/>
        <v>3.7248028045575054E-3</v>
      </c>
      <c r="Y31">
        <f t="shared" ref="Y31:Y48" si="17">Z31-Z30</f>
        <v>0</v>
      </c>
      <c r="AA31" s="3189">
        <f>AA30+29.4</f>
        <v>1162.4000000000001</v>
      </c>
      <c r="AB31" s="3212">
        <f t="shared" ref="AB31:AB49" si="18">(V31-V30)/V30</f>
        <v>3.7248028045575054E-3</v>
      </c>
    </row>
    <row r="32" spans="2:34">
      <c r="B32" s="3293" t="s">
        <v>3888</v>
      </c>
      <c r="C32" s="3218">
        <v>344.9</v>
      </c>
      <c r="D32" s="3235">
        <v>3.4000000000000002E-2</v>
      </c>
      <c r="E32" s="3212">
        <f t="shared" si="15"/>
        <v>-1.6818700114025181E-2</v>
      </c>
      <c r="F32">
        <f t="shared" ref="F32:F48" si="19">G32-G31</f>
        <v>0</v>
      </c>
      <c r="G32">
        <f>ROUND(1130655/10000,2)</f>
        <v>113.07</v>
      </c>
      <c r="I32" s="3">
        <f>G32</f>
        <v>113.07</v>
      </c>
      <c r="J32" s="3218">
        <v>324</v>
      </c>
      <c r="K32" s="3246" t="s">
        <v>3888</v>
      </c>
      <c r="L32" s="3218">
        <v>324</v>
      </c>
      <c r="M32" s="3235">
        <v>4.0000000000000001E-3</v>
      </c>
      <c r="N32" s="3212">
        <f t="shared" si="11"/>
        <v>-1.5197568389057751E-2</v>
      </c>
      <c r="O32">
        <f t="shared" si="16"/>
        <v>-71500</v>
      </c>
      <c r="P32">
        <v>772300</v>
      </c>
      <c r="Q32">
        <f t="shared" si="12"/>
        <v>77.23</v>
      </c>
      <c r="R32" s="3212">
        <f t="shared" si="13"/>
        <v>-1.5197568389057751E-2</v>
      </c>
      <c r="U32" s="3246" t="s">
        <v>3888</v>
      </c>
      <c r="V32" s="3241">
        <v>926.9</v>
      </c>
      <c r="W32" s="3235">
        <v>0.05</v>
      </c>
      <c r="X32" s="3212">
        <f t="shared" si="14"/>
        <v>1.1678672778869168E-2</v>
      </c>
      <c r="Y32">
        <f t="shared" si="17"/>
        <v>0</v>
      </c>
      <c r="AA32">
        <f>AA31+47.6</f>
        <v>1210</v>
      </c>
      <c r="AB32" s="3212">
        <f t="shared" si="18"/>
        <v>1.1678672778869168E-2</v>
      </c>
    </row>
    <row r="33" spans="2:29">
      <c r="B33" s="3293" t="s">
        <v>3889</v>
      </c>
      <c r="C33" s="3218">
        <v>343.4</v>
      </c>
      <c r="D33" s="3235">
        <v>0.03</v>
      </c>
      <c r="E33" s="3212">
        <f t="shared" si="15"/>
        <v>-4.3490866917947233E-3</v>
      </c>
      <c r="F33">
        <f t="shared" si="19"/>
        <v>0</v>
      </c>
      <c r="G33">
        <v>113.07</v>
      </c>
      <c r="K33" s="3246" t="s">
        <v>3889</v>
      </c>
      <c r="L33" s="3218">
        <v>325</v>
      </c>
      <c r="M33" s="3235">
        <v>3.0000000000000001E-3</v>
      </c>
      <c r="N33" s="3212">
        <f t="shared" si="11"/>
        <v>3.0864197530864196E-3</v>
      </c>
      <c r="O33">
        <f t="shared" si="16"/>
        <v>0</v>
      </c>
      <c r="P33">
        <v>772300</v>
      </c>
      <c r="Q33">
        <f t="shared" si="12"/>
        <v>77.23</v>
      </c>
      <c r="R33" s="3212">
        <f t="shared" si="13"/>
        <v>3.0864197530864196E-3</v>
      </c>
      <c r="U33" s="3246" t="s">
        <v>3889</v>
      </c>
      <c r="V33" s="3218">
        <v>928.8</v>
      </c>
      <c r="W33" s="3235">
        <f>1-0.933</f>
        <v>6.6999999999999948E-2</v>
      </c>
      <c r="X33" s="3212">
        <f t="shared" si="14"/>
        <v>2.0498435645700478E-3</v>
      </c>
      <c r="Y33">
        <f t="shared" si="17"/>
        <v>0</v>
      </c>
      <c r="AA33">
        <f>AA32+5.85</f>
        <v>1215.8499999999999</v>
      </c>
      <c r="AB33" s="3212">
        <f t="shared" si="18"/>
        <v>2.0498435645700478E-3</v>
      </c>
    </row>
    <row r="34" spans="2:29">
      <c r="B34" s="3293" t="s">
        <v>3890</v>
      </c>
      <c r="C34" s="3218">
        <v>348.5</v>
      </c>
      <c r="D34" s="3235">
        <v>3.5000000000000003E-2</v>
      </c>
      <c r="E34" s="3212">
        <f t="shared" si="15"/>
        <v>1.4851485148514918E-2</v>
      </c>
      <c r="F34">
        <f t="shared" si="19"/>
        <v>0</v>
      </c>
      <c r="G34">
        <v>113.07</v>
      </c>
      <c r="I34" s="3267">
        <f>AVERAGE(D33:D36)</f>
        <v>3.6500000000000005E-2</v>
      </c>
      <c r="K34" s="3246" t="s">
        <v>3890</v>
      </c>
      <c r="L34" s="3218">
        <v>324</v>
      </c>
      <c r="M34" s="3235">
        <v>7.0000000000000001E-3</v>
      </c>
      <c r="N34" s="3212">
        <f t="shared" si="11"/>
        <v>-3.0769230769230769E-3</v>
      </c>
      <c r="O34">
        <f t="shared" si="16"/>
        <v>0</v>
      </c>
      <c r="P34">
        <v>772300</v>
      </c>
      <c r="Q34">
        <f t="shared" si="12"/>
        <v>77.23</v>
      </c>
      <c r="R34" s="3212">
        <f t="shared" si="13"/>
        <v>-3.0769230769230769E-3</v>
      </c>
      <c r="U34" s="3246" t="s">
        <v>3890</v>
      </c>
      <c r="V34" s="3218">
        <v>931.6</v>
      </c>
      <c r="W34" s="3235">
        <f>1-0.934</f>
        <v>6.5999999999999948E-2</v>
      </c>
      <c r="X34" s="3212">
        <f t="shared" si="14"/>
        <v>3.0146425495263442E-3</v>
      </c>
      <c r="Y34">
        <f t="shared" si="17"/>
        <v>0</v>
      </c>
      <c r="AA34">
        <f>AA33+10</f>
        <v>1225.8499999999999</v>
      </c>
      <c r="AB34" s="3212">
        <f t="shared" si="18"/>
        <v>3.0146425495263442E-3</v>
      </c>
    </row>
    <row r="35" spans="2:29">
      <c r="B35" s="3293" t="s">
        <v>3891</v>
      </c>
      <c r="C35" s="3218">
        <v>351.2</v>
      </c>
      <c r="D35" s="3235">
        <v>4.8000000000000001E-2</v>
      </c>
      <c r="E35" s="3212">
        <f t="shared" si="15"/>
        <v>7.7474892395982455E-3</v>
      </c>
      <c r="F35">
        <f t="shared" si="19"/>
        <v>0</v>
      </c>
      <c r="G35">
        <v>113.07</v>
      </c>
      <c r="I35" s="3189">
        <f>AVERAGE(C33:C36)</f>
        <v>349.04999999999995</v>
      </c>
      <c r="K35" s="3246" t="s">
        <v>3891</v>
      </c>
      <c r="L35" s="3218">
        <v>324</v>
      </c>
      <c r="M35" s="3235">
        <v>0.01</v>
      </c>
      <c r="N35" s="3212">
        <f t="shared" si="11"/>
        <v>0</v>
      </c>
      <c r="O35">
        <f t="shared" si="16"/>
        <v>0</v>
      </c>
      <c r="P35">
        <v>772300</v>
      </c>
      <c r="Q35">
        <f t="shared" si="12"/>
        <v>77.23</v>
      </c>
      <c r="R35" s="3212">
        <f t="shared" si="13"/>
        <v>0</v>
      </c>
      <c r="U35" s="3246" t="s">
        <v>3891</v>
      </c>
      <c r="V35" s="3218">
        <v>949.2</v>
      </c>
      <c r="W35" s="3235">
        <f>1-0.937</f>
        <v>6.2999999999999945E-2</v>
      </c>
      <c r="X35" s="3212">
        <f t="shared" si="14"/>
        <v>1.8892228424216426E-2</v>
      </c>
      <c r="Y35">
        <f t="shared" si="17"/>
        <v>0</v>
      </c>
      <c r="AA35">
        <f>890+210</f>
        <v>1100</v>
      </c>
      <c r="AB35" s="3212">
        <f t="shared" si="18"/>
        <v>1.8892228424216426E-2</v>
      </c>
    </row>
    <row r="36" spans="2:29">
      <c r="B36" s="3293" t="s">
        <v>3892</v>
      </c>
      <c r="C36" s="3218">
        <v>353.1</v>
      </c>
      <c r="D36" s="3235">
        <v>3.3000000000000002E-2</v>
      </c>
      <c r="E36" s="3212">
        <f t="shared" si="15"/>
        <v>5.4100227790433771E-3</v>
      </c>
      <c r="F36">
        <f t="shared" si="19"/>
        <v>0</v>
      </c>
      <c r="G36">
        <v>113.07</v>
      </c>
      <c r="I36" s="3">
        <f>G36</f>
        <v>113.07</v>
      </c>
      <c r="K36" s="3246" t="s">
        <v>3892</v>
      </c>
      <c r="L36" s="3218">
        <v>330</v>
      </c>
      <c r="M36" s="3235">
        <v>8.9999999999999993E-3</v>
      </c>
      <c r="N36" s="3212">
        <f t="shared" si="11"/>
        <v>1.8518518518518517E-2</v>
      </c>
      <c r="O36">
        <f t="shared" si="16"/>
        <v>0</v>
      </c>
      <c r="P36">
        <v>772300</v>
      </c>
      <c r="Q36">
        <f t="shared" si="12"/>
        <v>77.23</v>
      </c>
      <c r="R36" s="3212">
        <f t="shared" si="13"/>
        <v>1.8518518518518517E-2</v>
      </c>
      <c r="U36" s="3246" t="s">
        <v>3892</v>
      </c>
      <c r="V36" s="3241">
        <v>956.1</v>
      </c>
      <c r="W36" s="3235">
        <v>7.0000000000000007E-2</v>
      </c>
      <c r="X36" s="3212">
        <f t="shared" si="14"/>
        <v>7.2692793931731746E-3</v>
      </c>
      <c r="Y36">
        <f t="shared" si="17"/>
        <v>0</v>
      </c>
      <c r="AA36">
        <f>962+210</f>
        <v>1172</v>
      </c>
      <c r="AB36" s="3212">
        <f t="shared" si="18"/>
        <v>7.2692793931731746E-3</v>
      </c>
      <c r="AC36" s="3212">
        <f>(V36-V32)/V32</f>
        <v>3.1502858992340108E-2</v>
      </c>
    </row>
    <row r="37" spans="2:29">
      <c r="B37" s="3293" t="s">
        <v>3893</v>
      </c>
      <c r="C37" s="3218">
        <v>357.6</v>
      </c>
      <c r="D37" s="3235">
        <v>3.5000000000000003E-2</v>
      </c>
      <c r="E37" s="3212">
        <f t="shared" si="15"/>
        <v>1.2744265080713678E-2</v>
      </c>
      <c r="F37">
        <f t="shared" si="19"/>
        <v>0</v>
      </c>
      <c r="G37">
        <v>113.07</v>
      </c>
      <c r="K37" s="3246" t="s">
        <v>3893</v>
      </c>
      <c r="L37" s="3218">
        <v>340</v>
      </c>
      <c r="M37" s="3235">
        <v>5.0000000000000001E-3</v>
      </c>
      <c r="N37" s="3212">
        <f t="shared" si="11"/>
        <v>3.0303030303030304E-2</v>
      </c>
      <c r="O37">
        <f t="shared" si="16"/>
        <v>0</v>
      </c>
      <c r="P37">
        <v>772300</v>
      </c>
      <c r="Q37">
        <f t="shared" si="12"/>
        <v>77.23</v>
      </c>
      <c r="R37" s="3212">
        <f t="shared" si="13"/>
        <v>3.0303030303030304E-2</v>
      </c>
      <c r="U37" s="3246" t="s">
        <v>3893</v>
      </c>
      <c r="V37" s="3218">
        <v>956.2</v>
      </c>
      <c r="W37" s="3235">
        <v>7.0000000000000007E-2</v>
      </c>
      <c r="X37" s="3212">
        <f t="shared" si="14"/>
        <v>1.0459156991948827E-4</v>
      </c>
      <c r="Y37">
        <f t="shared" si="17"/>
        <v>0</v>
      </c>
      <c r="AA37">
        <f>965+210</f>
        <v>1175</v>
      </c>
      <c r="AB37" s="3212">
        <f t="shared" si="18"/>
        <v>1.0459156991948827E-4</v>
      </c>
    </row>
    <row r="38" spans="2:29">
      <c r="B38" s="3293" t="s">
        <v>3894</v>
      </c>
      <c r="C38" s="3218">
        <v>359.2</v>
      </c>
      <c r="D38" s="3235">
        <v>7.1999999999999995E-2</v>
      </c>
      <c r="E38" s="3212">
        <f t="shared" si="15"/>
        <v>4.4742729306486741E-3</v>
      </c>
      <c r="F38">
        <f t="shared" si="19"/>
        <v>0</v>
      </c>
      <c r="G38">
        <v>113.07</v>
      </c>
      <c r="I38" s="3267">
        <f>AVERAGE(D37:D40)</f>
        <v>5.6749999999999995E-2</v>
      </c>
      <c r="K38" s="3246" t="s">
        <v>3894</v>
      </c>
      <c r="L38" s="3218">
        <v>341</v>
      </c>
      <c r="M38" s="3235">
        <v>5.0000000000000001E-3</v>
      </c>
      <c r="N38" s="3212">
        <f t="shared" si="11"/>
        <v>2.9411764705882353E-3</v>
      </c>
      <c r="O38">
        <f t="shared" si="16"/>
        <v>0</v>
      </c>
      <c r="P38">
        <v>772300</v>
      </c>
      <c r="Q38">
        <f t="shared" si="12"/>
        <v>77.23</v>
      </c>
      <c r="R38" s="3212">
        <f t="shared" si="13"/>
        <v>2.9411764705882353E-3</v>
      </c>
      <c r="U38" s="3246" t="s">
        <v>3894</v>
      </c>
      <c r="V38" s="3218">
        <v>932.2</v>
      </c>
      <c r="W38" s="3235">
        <v>6.9000000000000006E-2</v>
      </c>
      <c r="X38" s="3212">
        <f t="shared" si="14"/>
        <v>-2.5099351600083662E-2</v>
      </c>
      <c r="Y38">
        <f t="shared" si="17"/>
        <v>0</v>
      </c>
      <c r="AA38">
        <f>972+210</f>
        <v>1182</v>
      </c>
      <c r="AB38" s="3212">
        <f t="shared" si="18"/>
        <v>-2.5099351600083662E-2</v>
      </c>
    </row>
    <row r="39" spans="2:29">
      <c r="B39" s="3293" t="s">
        <v>3895</v>
      </c>
      <c r="C39" s="3218">
        <v>369.6</v>
      </c>
      <c r="D39" s="3235">
        <v>6.2E-2</v>
      </c>
      <c r="E39" s="3212">
        <f t="shared" si="15"/>
        <v>2.8953229398663793E-2</v>
      </c>
      <c r="F39">
        <f t="shared" si="19"/>
        <v>4.6300000000000097</v>
      </c>
      <c r="G39">
        <v>117.7</v>
      </c>
      <c r="I39" s="3189">
        <f>AVERAGE(C37:C40)</f>
        <v>362.625</v>
      </c>
      <c r="K39" s="3246" t="s">
        <v>3895</v>
      </c>
      <c r="L39" s="3218">
        <v>346</v>
      </c>
      <c r="M39" s="3235">
        <v>1E-3</v>
      </c>
      <c r="N39" s="3212">
        <f t="shared" si="11"/>
        <v>1.466275659824047E-2</v>
      </c>
      <c r="O39">
        <f t="shared" si="16"/>
        <v>0</v>
      </c>
      <c r="P39">
        <v>772300</v>
      </c>
      <c r="Q39">
        <f t="shared" si="12"/>
        <v>77.23</v>
      </c>
      <c r="R39" s="3212">
        <f t="shared" si="13"/>
        <v>1.466275659824047E-2</v>
      </c>
      <c r="U39" s="3246" t="s">
        <v>3895</v>
      </c>
      <c r="V39" s="3218">
        <v>940.7</v>
      </c>
      <c r="W39" s="3235">
        <f>1-0.933</f>
        <v>6.6999999999999948E-2</v>
      </c>
      <c r="X39" s="3212">
        <f t="shared" si="14"/>
        <v>9.1182149753271831E-3</v>
      </c>
      <c r="Y39">
        <f t="shared" si="17"/>
        <v>0</v>
      </c>
      <c r="AA39">
        <f>982.8+210</f>
        <v>1192.8</v>
      </c>
      <c r="AB39" s="3212">
        <f t="shared" si="18"/>
        <v>9.1182149753271831E-3</v>
      </c>
    </row>
    <row r="40" spans="2:29">
      <c r="B40" s="3293" t="s">
        <v>3896</v>
      </c>
      <c r="C40" s="3218">
        <v>364.1</v>
      </c>
      <c r="D40" s="3235">
        <v>5.8000000000000003E-2</v>
      </c>
      <c r="E40" s="3212">
        <f t="shared" si="15"/>
        <v>-1.488095238095238E-2</v>
      </c>
      <c r="F40">
        <f t="shared" si="19"/>
        <v>0</v>
      </c>
      <c r="G40">
        <v>117.7</v>
      </c>
      <c r="I40" s="3">
        <f>G40</f>
        <v>117.7</v>
      </c>
      <c r="K40" s="3246" t="s">
        <v>3896</v>
      </c>
      <c r="L40" s="3218">
        <v>346</v>
      </c>
      <c r="M40" s="3235">
        <v>3.0000000000000001E-3</v>
      </c>
      <c r="N40" s="3212">
        <f t="shared" si="11"/>
        <v>0</v>
      </c>
      <c r="O40">
        <f t="shared" si="16"/>
        <v>0</v>
      </c>
      <c r="P40">
        <v>772300</v>
      </c>
      <c r="Q40">
        <f t="shared" si="12"/>
        <v>77.23</v>
      </c>
      <c r="R40" s="3212">
        <f t="shared" si="13"/>
        <v>0</v>
      </c>
      <c r="U40" s="3246" t="s">
        <v>3896</v>
      </c>
      <c r="V40" s="3241">
        <v>944.9</v>
      </c>
      <c r="W40" s="3235">
        <v>6.3E-2</v>
      </c>
      <c r="X40" s="3212">
        <f t="shared" si="14"/>
        <v>4.4647602848941551E-3</v>
      </c>
      <c r="Y40">
        <f t="shared" si="17"/>
        <v>0</v>
      </c>
      <c r="AA40" s="3189">
        <f>1011.8+210</f>
        <v>1221.8</v>
      </c>
      <c r="AB40" s="3212">
        <f t="shared" si="18"/>
        <v>4.4647602848941551E-3</v>
      </c>
      <c r="AC40" s="3212">
        <f>(V40-V36)/V36</f>
        <v>-1.1714255830980071E-2</v>
      </c>
    </row>
    <row r="41" spans="2:29">
      <c r="B41" s="3293" t="s">
        <v>3897</v>
      </c>
      <c r="C41" s="3218">
        <v>361.93</v>
      </c>
      <c r="D41" s="3235">
        <v>4.9700000000000001E-2</v>
      </c>
      <c r="E41" s="3212">
        <f t="shared" si="15"/>
        <v>-5.959901126064311E-3</v>
      </c>
      <c r="F41">
        <f t="shared" si="19"/>
        <v>-0.10000000000000853</v>
      </c>
      <c r="G41">
        <v>117.6</v>
      </c>
      <c r="K41" s="3246" t="s">
        <v>3897</v>
      </c>
      <c r="L41" s="3218">
        <f>ROUND(L42/(1-1%),0)</f>
        <v>345</v>
      </c>
      <c r="M41" s="3235">
        <v>3.0000000000000001E-3</v>
      </c>
      <c r="N41" s="3212">
        <f t="shared" si="11"/>
        <v>-2.8901734104046241E-3</v>
      </c>
      <c r="O41">
        <f t="shared" si="16"/>
        <v>0</v>
      </c>
      <c r="P41">
        <v>772300</v>
      </c>
      <c r="Q41">
        <f t="shared" si="12"/>
        <v>77.23</v>
      </c>
      <c r="R41" s="3212">
        <f t="shared" si="13"/>
        <v>-2.8901734104046241E-3</v>
      </c>
      <c r="U41" s="3246" t="s">
        <v>3897</v>
      </c>
      <c r="V41" s="3218">
        <v>946.9</v>
      </c>
      <c r="W41" s="3235">
        <v>6.4000000000000001E-2</v>
      </c>
      <c r="X41" s="3212">
        <f t="shared" si="14"/>
        <v>2.1166260979997883E-3</v>
      </c>
      <c r="Y41">
        <f t="shared" si="17"/>
        <v>0</v>
      </c>
      <c r="AA41">
        <f>1011.8+210</f>
        <v>1221.8</v>
      </c>
      <c r="AB41" s="3212">
        <f t="shared" si="18"/>
        <v>2.1166260979997883E-3</v>
      </c>
    </row>
    <row r="42" spans="2:29">
      <c r="B42" s="3293" t="s">
        <v>3898</v>
      </c>
      <c r="C42" s="3218">
        <v>350.81</v>
      </c>
      <c r="D42" s="3235">
        <v>6.2E-2</v>
      </c>
      <c r="E42" s="3212">
        <f t="shared" si="15"/>
        <v>-3.0724173182659641E-2</v>
      </c>
      <c r="F42">
        <f t="shared" si="19"/>
        <v>5.5700000000000074</v>
      </c>
      <c r="G42">
        <v>123.17</v>
      </c>
      <c r="I42" s="3267">
        <f>AVERAGE(D41:D44)</f>
        <v>5.5424999999999995E-2</v>
      </c>
      <c r="K42" s="3246" t="s">
        <v>3898</v>
      </c>
      <c r="L42" s="3218">
        <v>342</v>
      </c>
      <c r="M42" s="3235">
        <v>3.0000000000000001E-3</v>
      </c>
      <c r="N42" s="3212">
        <f t="shared" si="11"/>
        <v>-8.6956521739130436E-3</v>
      </c>
      <c r="O42">
        <f t="shared" si="16"/>
        <v>0</v>
      </c>
      <c r="P42">
        <v>772300</v>
      </c>
      <c r="Q42">
        <f t="shared" si="12"/>
        <v>77.23</v>
      </c>
      <c r="R42" s="3212">
        <f t="shared" si="13"/>
        <v>-8.6956521739130436E-3</v>
      </c>
      <c r="U42" s="3246" t="s">
        <v>3898</v>
      </c>
      <c r="V42" s="3218">
        <v>949.4</v>
      </c>
      <c r="W42" s="3235">
        <v>6.4000000000000001E-2</v>
      </c>
      <c r="X42" s="3212">
        <f t="shared" si="14"/>
        <v>2.640194318301827E-3</v>
      </c>
      <c r="Y42">
        <f t="shared" si="17"/>
        <v>0</v>
      </c>
      <c r="AA42">
        <f>AA41+5+2.87</f>
        <v>1229.6699999999998</v>
      </c>
      <c r="AB42" s="3212">
        <f t="shared" si="18"/>
        <v>2.640194318301827E-3</v>
      </c>
    </row>
    <row r="43" spans="2:29">
      <c r="B43" s="3293" t="s">
        <v>3899</v>
      </c>
      <c r="C43" s="3218">
        <v>347.43</v>
      </c>
      <c r="D43" s="3235">
        <v>5.6000000000000001E-2</v>
      </c>
      <c r="E43" s="3212">
        <f t="shared" si="15"/>
        <v>-9.6348450728314348E-3</v>
      </c>
      <c r="F43">
        <f t="shared" si="19"/>
        <v>0</v>
      </c>
      <c r="G43">
        <v>123.17</v>
      </c>
      <c r="I43" s="3189">
        <f>AVERAGE(C41:C44)</f>
        <v>350.84000000000003</v>
      </c>
      <c r="K43" s="3246" t="s">
        <v>3899</v>
      </c>
      <c r="L43" s="3218">
        <v>342</v>
      </c>
      <c r="M43" s="3235">
        <v>3.0000000000000001E-3</v>
      </c>
      <c r="N43" s="3212">
        <f t="shared" si="11"/>
        <v>0</v>
      </c>
      <c r="O43">
        <f t="shared" si="16"/>
        <v>0</v>
      </c>
      <c r="P43">
        <v>772300</v>
      </c>
      <c r="Q43">
        <f t="shared" si="12"/>
        <v>77.23</v>
      </c>
      <c r="R43" s="3212">
        <f t="shared" si="13"/>
        <v>0</v>
      </c>
      <c r="U43" s="3246" t="s">
        <v>3899</v>
      </c>
      <c r="V43" s="3218"/>
      <c r="W43" s="3235"/>
      <c r="X43" s="3212">
        <f t="shared" si="14"/>
        <v>-1</v>
      </c>
      <c r="Y43">
        <f t="shared" si="17"/>
        <v>0</v>
      </c>
      <c r="AB43" s="3212">
        <f t="shared" si="18"/>
        <v>-1</v>
      </c>
    </row>
    <row r="44" spans="2:29">
      <c r="B44" s="3293" t="s">
        <v>3900</v>
      </c>
      <c r="C44" s="3218">
        <v>343.19</v>
      </c>
      <c r="D44" s="3235">
        <v>5.3999999999999999E-2</v>
      </c>
      <c r="E44" s="3212">
        <f t="shared" si="15"/>
        <v>-1.2203897187922773E-2</v>
      </c>
      <c r="F44">
        <f t="shared" si="19"/>
        <v>0</v>
      </c>
      <c r="G44">
        <v>123.17</v>
      </c>
      <c r="I44" s="3">
        <f>G44</f>
        <v>123.17</v>
      </c>
      <c r="K44" s="3246" t="s">
        <v>3900</v>
      </c>
      <c r="L44" s="3218">
        <v>342</v>
      </c>
      <c r="M44" s="3235">
        <v>3.0000000000000001E-3</v>
      </c>
      <c r="N44" s="3212">
        <f t="shared" si="11"/>
        <v>0</v>
      </c>
      <c r="O44">
        <f t="shared" si="16"/>
        <v>0</v>
      </c>
      <c r="P44">
        <v>772300</v>
      </c>
      <c r="Q44">
        <f t="shared" si="12"/>
        <v>77.23</v>
      </c>
      <c r="R44" s="3212">
        <f t="shared" si="13"/>
        <v>0</v>
      </c>
      <c r="U44" s="3246" t="s">
        <v>3900</v>
      </c>
      <c r="V44" s="3241">
        <f>ROUND(V45*(1+0.6%),1)</f>
        <v>871.4</v>
      </c>
      <c r="W44" s="3235">
        <v>7.1999999999999995E-2</v>
      </c>
      <c r="X44" s="3212" t="e">
        <f t="shared" si="14"/>
        <v>#DIV/0!</v>
      </c>
      <c r="Y44">
        <f t="shared" si="17"/>
        <v>0</v>
      </c>
      <c r="AB44" s="3212" t="e">
        <f t="shared" si="18"/>
        <v>#DIV/0!</v>
      </c>
      <c r="AC44" s="3212">
        <f>(V44-V40)/V40</f>
        <v>-7.7786009101492221E-2</v>
      </c>
    </row>
    <row r="45" spans="2:29">
      <c r="B45" s="3293" t="s">
        <v>3992</v>
      </c>
      <c r="C45" s="3218">
        <v>342.62</v>
      </c>
      <c r="D45" s="3235">
        <v>6.3E-2</v>
      </c>
      <c r="E45" s="3212">
        <f t="shared" si="15"/>
        <v>-1.660887554998669E-3</v>
      </c>
      <c r="F45">
        <f t="shared" si="19"/>
        <v>0</v>
      </c>
      <c r="G45">
        <v>123.17</v>
      </c>
      <c r="K45" s="3246" t="s">
        <v>3901</v>
      </c>
      <c r="L45" s="3218">
        <v>342</v>
      </c>
      <c r="M45" s="3235">
        <v>5.0000000000000001E-3</v>
      </c>
      <c r="N45" s="3212">
        <f t="shared" si="11"/>
        <v>0</v>
      </c>
      <c r="O45">
        <f t="shared" si="16"/>
        <v>0</v>
      </c>
      <c r="P45">
        <v>772300</v>
      </c>
      <c r="Q45">
        <f t="shared" si="12"/>
        <v>77.23</v>
      </c>
      <c r="R45" s="3212">
        <f t="shared" si="13"/>
        <v>0</v>
      </c>
      <c r="U45" s="3246" t="s">
        <v>3901</v>
      </c>
      <c r="V45" s="3218">
        <v>866.2</v>
      </c>
      <c r="W45" s="3235">
        <v>0.08</v>
      </c>
      <c r="X45" s="3212">
        <f t="shared" si="14"/>
        <v>-5.9674087675004959E-3</v>
      </c>
      <c r="Y45">
        <f t="shared" si="17"/>
        <v>0</v>
      </c>
      <c r="AB45" s="3212">
        <f t="shared" si="18"/>
        <v>-5.9674087675004959E-3</v>
      </c>
    </row>
    <row r="46" spans="2:29">
      <c r="B46" s="3293" t="s">
        <v>3993</v>
      </c>
      <c r="C46" s="3218">
        <v>335.36</v>
      </c>
      <c r="D46" s="3235">
        <v>6.8000000000000005E-2</v>
      </c>
      <c r="E46" s="3212">
        <f t="shared" si="15"/>
        <v>-2.1189656178857017E-2</v>
      </c>
      <c r="F46">
        <f t="shared" si="19"/>
        <v>0</v>
      </c>
      <c r="G46">
        <v>123.17</v>
      </c>
      <c r="I46" s="3267">
        <f>AVERAGE(D45:D48)</f>
        <v>0.10525000000000001</v>
      </c>
      <c r="K46" s="3246" t="s">
        <v>3902</v>
      </c>
      <c r="L46" s="3218">
        <v>334</v>
      </c>
      <c r="M46" s="3235">
        <v>7.0000000000000001E-3</v>
      </c>
      <c r="N46" s="3212">
        <f t="shared" si="11"/>
        <v>-2.3391812865497075E-2</v>
      </c>
      <c r="O46">
        <f t="shared" si="16"/>
        <v>0</v>
      </c>
      <c r="P46">
        <v>772300</v>
      </c>
      <c r="Q46">
        <f t="shared" si="12"/>
        <v>77.23</v>
      </c>
      <c r="R46" s="3212">
        <f t="shared" si="13"/>
        <v>-2.3391812865497075E-2</v>
      </c>
      <c r="U46" s="3246" t="s">
        <v>3902</v>
      </c>
      <c r="V46" s="3218"/>
      <c r="W46" s="3235"/>
      <c r="X46" s="3212">
        <f t="shared" si="14"/>
        <v>-1</v>
      </c>
      <c r="Y46">
        <f t="shared" si="17"/>
        <v>0</v>
      </c>
      <c r="AB46" s="3212">
        <f t="shared" si="18"/>
        <v>-1</v>
      </c>
    </row>
    <row r="47" spans="2:29">
      <c r="B47" s="3293" t="s">
        <v>3994</v>
      </c>
      <c r="C47" s="3218">
        <v>332.2</v>
      </c>
      <c r="D47" s="3235">
        <v>0.157</v>
      </c>
      <c r="E47" s="3212">
        <f t="shared" si="15"/>
        <v>-9.4227099236641968E-3</v>
      </c>
      <c r="F47">
        <f t="shared" si="19"/>
        <v>11.999999999999986</v>
      </c>
      <c r="G47">
        <v>135.16999999999999</v>
      </c>
      <c r="I47" s="3189">
        <f>AVERAGE(C45:C48)</f>
        <v>334.54</v>
      </c>
      <c r="K47" s="3246" t="s">
        <v>3903</v>
      </c>
      <c r="L47" s="3218">
        <v>333</v>
      </c>
      <c r="M47" s="3235">
        <v>6.0000000000000001E-3</v>
      </c>
      <c r="N47" s="3212">
        <f t="shared" si="11"/>
        <v>-2.9940119760479044E-3</v>
      </c>
      <c r="O47">
        <f t="shared" si="16"/>
        <v>0</v>
      </c>
      <c r="P47">
        <v>772300</v>
      </c>
      <c r="Q47">
        <f t="shared" si="12"/>
        <v>77.23</v>
      </c>
      <c r="R47" s="3212">
        <f t="shared" si="13"/>
        <v>-2.9940119760479044E-3</v>
      </c>
      <c r="U47" s="3246" t="s">
        <v>3903</v>
      </c>
      <c r="V47" s="3218"/>
      <c r="W47" s="3235"/>
      <c r="X47" s="3212" t="e">
        <f t="shared" si="14"/>
        <v>#DIV/0!</v>
      </c>
      <c r="Y47">
        <f t="shared" si="17"/>
        <v>0</v>
      </c>
      <c r="AB47" s="3212" t="e">
        <f t="shared" si="18"/>
        <v>#DIV/0!</v>
      </c>
    </row>
    <row r="48" spans="2:29">
      <c r="B48" s="3293" t="s">
        <v>3995</v>
      </c>
      <c r="C48" s="3218">
        <v>327.98</v>
      </c>
      <c r="D48" s="3235">
        <v>0.13300000000000001</v>
      </c>
      <c r="E48" s="3212">
        <f t="shared" si="15"/>
        <v>-1.2703190848886124E-2</v>
      </c>
      <c r="F48">
        <f t="shared" si="19"/>
        <v>0</v>
      </c>
      <c r="G48">
        <v>135.16999999999999</v>
      </c>
      <c r="I48" s="3">
        <f>G48</f>
        <v>135.16999999999999</v>
      </c>
      <c r="K48" s="3246" t="s">
        <v>3904</v>
      </c>
      <c r="L48" s="3218">
        <v>318</v>
      </c>
      <c r="M48" s="3235">
        <v>0.11899999999999999</v>
      </c>
      <c r="N48" s="3212">
        <f t="shared" si="11"/>
        <v>-4.5045045045045043E-2</v>
      </c>
      <c r="O48">
        <f t="shared" si="16"/>
        <v>124000</v>
      </c>
      <c r="P48">
        <v>896300</v>
      </c>
      <c r="Q48">
        <f t="shared" si="12"/>
        <v>89.63</v>
      </c>
      <c r="R48" s="3212">
        <f t="shared" si="13"/>
        <v>-4.5045045045045043E-2</v>
      </c>
      <c r="U48" s="3246" t="s">
        <v>3904</v>
      </c>
      <c r="V48" s="3218"/>
      <c r="W48" s="3235"/>
      <c r="X48" s="3212" t="e">
        <f t="shared" si="14"/>
        <v>#DIV/0!</v>
      </c>
      <c r="Y48">
        <f t="shared" si="17"/>
        <v>0</v>
      </c>
      <c r="AB48" s="3212" t="e">
        <f t="shared" si="18"/>
        <v>#DIV/0!</v>
      </c>
    </row>
    <row r="49" spans="2:28">
      <c r="B49" s="3218"/>
      <c r="C49" s="3218"/>
      <c r="D49" s="3218"/>
      <c r="K49" s="3218"/>
      <c r="L49" s="3218"/>
      <c r="M49" s="3218"/>
      <c r="U49" s="3218"/>
      <c r="V49" s="3218"/>
      <c r="W49" s="3218"/>
      <c r="AB49" s="3212" t="e">
        <f t="shared" si="18"/>
        <v>#DIV/0!</v>
      </c>
    </row>
    <row r="50" spans="2:28">
      <c r="B50" s="3218"/>
      <c r="C50" s="3218"/>
      <c r="D50" s="3218"/>
      <c r="K50" s="3218"/>
      <c r="L50" s="3218"/>
      <c r="M50" s="3218"/>
      <c r="U50" s="3218"/>
      <c r="V50" s="3218"/>
      <c r="W50" s="3218"/>
    </row>
    <row r="51" spans="2:28">
      <c r="B51" s="3872" t="s">
        <v>3807</v>
      </c>
      <c r="C51" s="3872"/>
      <c r="D51" s="3872"/>
      <c r="E51" s="3872"/>
      <c r="F51" s="3872"/>
      <c r="G51" s="3872"/>
      <c r="H51" s="3872"/>
      <c r="I51" s="3245"/>
      <c r="K51" s="3940" t="s">
        <v>4280</v>
      </c>
      <c r="L51" s="3872"/>
      <c r="M51" s="3872"/>
      <c r="N51" s="3872"/>
      <c r="O51" s="3458"/>
      <c r="P51" s="3458"/>
      <c r="U51" s="3941" t="s">
        <v>4325</v>
      </c>
      <c r="V51" s="3877"/>
      <c r="W51" s="3877"/>
      <c r="X51" s="3877"/>
      <c r="Y51" s="3486"/>
      <c r="Z51" s="3486"/>
      <c r="AA51" s="3494"/>
      <c r="AB51" s="3494"/>
    </row>
    <row r="52" spans="2:28">
      <c r="C52" s="3245" t="s">
        <v>3786</v>
      </c>
      <c r="D52" s="3245" t="s">
        <v>3787</v>
      </c>
      <c r="E52" t="s">
        <v>3788</v>
      </c>
      <c r="F52" s="3245" t="s">
        <v>3789</v>
      </c>
      <c r="G52" s="3246" t="s">
        <v>3818</v>
      </c>
      <c r="K52" s="3458"/>
      <c r="L52" s="3458" t="s">
        <v>3786</v>
      </c>
      <c r="M52" s="3458" t="s">
        <v>3787</v>
      </c>
      <c r="N52" t="s">
        <v>3788</v>
      </c>
      <c r="O52" s="3458" t="s">
        <v>3789</v>
      </c>
      <c r="P52" s="3458" t="s">
        <v>3806</v>
      </c>
      <c r="Q52" s="3458" t="s">
        <v>3791</v>
      </c>
      <c r="R52" s="3458"/>
      <c r="U52" s="3486"/>
      <c r="V52" s="3486" t="s">
        <v>3786</v>
      </c>
      <c r="W52" s="3486" t="s">
        <v>3787</v>
      </c>
      <c r="X52" s="3494" t="s">
        <v>3788</v>
      </c>
      <c r="Y52" s="3486" t="s">
        <v>3789</v>
      </c>
      <c r="Z52" s="3486" t="s">
        <v>3806</v>
      </c>
      <c r="AA52" s="3486" t="s">
        <v>3791</v>
      </c>
      <c r="AB52" s="3486"/>
    </row>
    <row r="53" spans="2:28">
      <c r="B53" s="3293" t="s">
        <v>3885</v>
      </c>
      <c r="C53" s="3246" t="s">
        <v>3905</v>
      </c>
      <c r="D53" s="3246" t="s">
        <v>3905</v>
      </c>
      <c r="F53" s="3245"/>
      <c r="G53" s="3246"/>
      <c r="K53" s="3459" t="s">
        <v>3885</v>
      </c>
      <c r="L53" s="3458">
        <v>602</v>
      </c>
      <c r="M53" s="3235">
        <v>1.9E-2</v>
      </c>
      <c r="P53">
        <v>843800</v>
      </c>
      <c r="Q53">
        <v>144.75</v>
      </c>
      <c r="U53" s="3495"/>
      <c r="V53" s="3486"/>
      <c r="W53" s="3496"/>
      <c r="X53" s="3494"/>
      <c r="Y53" s="3494"/>
      <c r="Z53" s="3494"/>
      <c r="AA53" s="3494"/>
      <c r="AB53" s="3494"/>
    </row>
    <row r="54" spans="2:28">
      <c r="B54" s="3293" t="s">
        <v>3886</v>
      </c>
      <c r="C54" s="3245">
        <v>397.6</v>
      </c>
      <c r="D54" s="3235">
        <v>4.3999999999999997E-2</v>
      </c>
      <c r="E54" s="3212"/>
      <c r="G54">
        <f>ROUND(7263379/10000,2)</f>
        <v>726.34</v>
      </c>
      <c r="I54" s="3267">
        <f>AVERAGE(D53:D56)</f>
        <v>4.6333333333333337E-2</v>
      </c>
      <c r="K54" s="3459" t="s">
        <v>3886</v>
      </c>
      <c r="L54" s="3458">
        <v>613</v>
      </c>
      <c r="M54" s="3235">
        <v>2.5000000000000001E-2</v>
      </c>
      <c r="N54" s="3212">
        <f t="shared" ref="N54:N72" si="20">(L54-L53)/L53</f>
        <v>1.8272425249169437E-2</v>
      </c>
      <c r="O54">
        <f>P54-P53</f>
        <v>0</v>
      </c>
      <c r="P54">
        <v>843800</v>
      </c>
      <c r="Q54">
        <v>170.29</v>
      </c>
      <c r="R54" s="3212">
        <f t="shared" ref="R54:R72" si="21">(L54-L53)/L53</f>
        <v>1.8272425249169437E-2</v>
      </c>
      <c r="U54" s="3495" t="s">
        <v>3886</v>
      </c>
      <c r="V54" s="3486">
        <f t="shared" ref="V54:V72" si="22">ROUND((C30+L30)/2,0)</f>
        <v>331</v>
      </c>
      <c r="W54" s="3496">
        <f>ROUND((D30+M30)/2,4)</f>
        <v>1.7000000000000001E-2</v>
      </c>
      <c r="X54" s="3497"/>
      <c r="Y54" s="3494">
        <f>Z54-Z53</f>
        <v>843800</v>
      </c>
      <c r="Z54" s="3494">
        <v>843800</v>
      </c>
      <c r="AA54" s="3494">
        <f>ROUND((G30+Q30)/2,0)</f>
        <v>96</v>
      </c>
      <c r="AB54" s="3497"/>
    </row>
    <row r="55" spans="2:28" ht="27">
      <c r="B55" s="3293" t="s">
        <v>3887</v>
      </c>
      <c r="C55" s="3245">
        <v>403.2</v>
      </c>
      <c r="D55" s="3235">
        <v>4.4999999999999998E-2</v>
      </c>
      <c r="E55" s="3212">
        <f t="shared" ref="E55:E72" si="23">(C55-C54)/C54</f>
        <v>1.4084507042253435E-2</v>
      </c>
      <c r="F55">
        <f>G55-G54</f>
        <v>11.699999999999932</v>
      </c>
      <c r="G55">
        <f>ROUND(7380379/10000,2)</f>
        <v>738.04</v>
      </c>
      <c r="H55" s="3248" t="s">
        <v>3816</v>
      </c>
      <c r="I55" s="3189">
        <f>AVERAGE(C53:C56)</f>
        <v>403.43333333333334</v>
      </c>
      <c r="K55" s="3459" t="s">
        <v>3887</v>
      </c>
      <c r="L55" s="3458">
        <v>618</v>
      </c>
      <c r="M55" s="3235">
        <v>1.4E-2</v>
      </c>
      <c r="N55" s="3212">
        <f t="shared" si="20"/>
        <v>8.1566068515497546E-3</v>
      </c>
      <c r="O55">
        <f t="shared" ref="O55:O72" si="24">P55-P54</f>
        <v>0</v>
      </c>
      <c r="P55">
        <v>843800</v>
      </c>
      <c r="Q55">
        <v>170.29</v>
      </c>
      <c r="R55" s="3212">
        <f t="shared" si="21"/>
        <v>8.1566068515497546E-3</v>
      </c>
      <c r="U55" s="3495" t="s">
        <v>3887</v>
      </c>
      <c r="V55" s="3486">
        <f t="shared" si="22"/>
        <v>340</v>
      </c>
      <c r="W55" s="3496">
        <f t="shared" ref="W55:W72" si="25">ROUND((D31+M31)/2,4)</f>
        <v>3.2000000000000001E-2</v>
      </c>
      <c r="X55" s="3497">
        <f t="shared" ref="X55:X72" si="26">(V55-V54)/V54</f>
        <v>2.7190332326283987E-2</v>
      </c>
      <c r="Y55" s="3494">
        <f t="shared" ref="Y55:Y72" si="27">Z55-Z54</f>
        <v>0</v>
      </c>
      <c r="Z55" s="3494">
        <v>843800</v>
      </c>
      <c r="AA55" s="3494">
        <f t="shared" ref="AA55:AA72" si="28">ROUND((G31+Q31)/2,0)</f>
        <v>99</v>
      </c>
      <c r="AB55" s="3497"/>
    </row>
    <row r="56" spans="2:28" ht="27">
      <c r="B56" s="3293" t="s">
        <v>3888</v>
      </c>
      <c r="C56" s="3245">
        <v>409.5</v>
      </c>
      <c r="D56" s="3235">
        <v>0.05</v>
      </c>
      <c r="E56" s="3212">
        <f t="shared" si="23"/>
        <v>1.5625000000000028E-2</v>
      </c>
      <c r="F56">
        <f t="shared" ref="F56:F72" si="29">G56-G55</f>
        <v>15</v>
      </c>
      <c r="G56">
        <f>ROUND(7530379/10000,2)</f>
        <v>753.04</v>
      </c>
      <c r="H56" s="3248" t="s">
        <v>3817</v>
      </c>
      <c r="I56" s="3">
        <f>G56</f>
        <v>753.04</v>
      </c>
      <c r="K56" s="3459" t="s">
        <v>3888</v>
      </c>
      <c r="L56" s="3458">
        <v>620</v>
      </c>
      <c r="M56" s="3235">
        <v>7.0000000000000001E-3</v>
      </c>
      <c r="N56" s="3212">
        <f t="shared" si="20"/>
        <v>3.2362459546925568E-3</v>
      </c>
      <c r="O56">
        <f t="shared" si="24"/>
        <v>-71500</v>
      </c>
      <c r="P56">
        <v>772300</v>
      </c>
      <c r="Q56">
        <v>174.16</v>
      </c>
      <c r="R56" s="3212">
        <f t="shared" si="21"/>
        <v>3.2362459546925568E-3</v>
      </c>
      <c r="U56" s="3495" t="s">
        <v>3888</v>
      </c>
      <c r="V56" s="3486">
        <f t="shared" si="22"/>
        <v>334</v>
      </c>
      <c r="W56" s="3496">
        <f t="shared" si="25"/>
        <v>1.9E-2</v>
      </c>
      <c r="X56" s="3497">
        <f t="shared" si="26"/>
        <v>-1.7647058823529412E-2</v>
      </c>
      <c r="Y56" s="3494">
        <f t="shared" si="27"/>
        <v>-71500</v>
      </c>
      <c r="Z56" s="3494">
        <v>772300</v>
      </c>
      <c r="AA56" s="3494">
        <f t="shared" si="28"/>
        <v>95</v>
      </c>
      <c r="AB56" s="3497"/>
    </row>
    <row r="57" spans="2:28" ht="54">
      <c r="B57" s="3293" t="s">
        <v>3889</v>
      </c>
      <c r="C57" s="3245">
        <v>420.65</v>
      </c>
      <c r="D57" s="3235">
        <v>5.5E-2</v>
      </c>
      <c r="E57" s="3212">
        <f t="shared" si="23"/>
        <v>2.7228327228327173E-2</v>
      </c>
      <c r="F57">
        <f t="shared" si="29"/>
        <v>15.660000000000082</v>
      </c>
      <c r="G57">
        <f>308.4+100.8+113.1+141.7+104.7</f>
        <v>768.7</v>
      </c>
      <c r="H57" s="3248" t="s">
        <v>3819</v>
      </c>
      <c r="K57" s="3459" t="s">
        <v>3889</v>
      </c>
      <c r="L57" s="3458">
        <v>621</v>
      </c>
      <c r="M57" s="3235">
        <v>7.0000000000000001E-3</v>
      </c>
      <c r="N57" s="3212">
        <f t="shared" si="20"/>
        <v>1.6129032258064516E-3</v>
      </c>
      <c r="O57">
        <f t="shared" si="24"/>
        <v>0</v>
      </c>
      <c r="P57">
        <v>772300</v>
      </c>
      <c r="Q57">
        <v>174.16</v>
      </c>
      <c r="R57" s="3212">
        <f t="shared" si="21"/>
        <v>1.6129032258064516E-3</v>
      </c>
      <c r="U57" s="3495" t="s">
        <v>3889</v>
      </c>
      <c r="V57" s="3486">
        <f t="shared" si="22"/>
        <v>334</v>
      </c>
      <c r="W57" s="3496">
        <f t="shared" si="25"/>
        <v>1.6500000000000001E-2</v>
      </c>
      <c r="X57" s="3497">
        <f t="shared" si="26"/>
        <v>0</v>
      </c>
      <c r="Y57" s="3494">
        <f t="shared" si="27"/>
        <v>0</v>
      </c>
      <c r="Z57" s="3494">
        <v>772300</v>
      </c>
      <c r="AA57" s="3494">
        <f t="shared" si="28"/>
        <v>95</v>
      </c>
      <c r="AB57" s="3497"/>
    </row>
    <row r="58" spans="2:28">
      <c r="B58" s="3293" t="s">
        <v>3890</v>
      </c>
      <c r="C58" s="3245">
        <v>415.4</v>
      </c>
      <c r="D58" s="3235">
        <v>4.3999999999999997E-2</v>
      </c>
      <c r="E58" s="3212">
        <f t="shared" si="23"/>
        <v>-1.2480684654701058E-2</v>
      </c>
      <c r="F58">
        <f t="shared" si="29"/>
        <v>-6.0000000000059117E-2</v>
      </c>
      <c r="G58">
        <v>768.64</v>
      </c>
      <c r="I58" s="3267">
        <f>AVERAGE(D57:D60)</f>
        <v>4.4750000000000005E-2</v>
      </c>
      <c r="K58" s="3459" t="s">
        <v>3890</v>
      </c>
      <c r="L58" s="3458">
        <v>627</v>
      </c>
      <c r="M58" s="3235">
        <v>8.0000000000000002E-3</v>
      </c>
      <c r="N58" s="3212">
        <f t="shared" si="20"/>
        <v>9.6618357487922701E-3</v>
      </c>
      <c r="O58">
        <f t="shared" si="24"/>
        <v>0</v>
      </c>
      <c r="P58">
        <v>772300</v>
      </c>
      <c r="Q58">
        <v>174.16</v>
      </c>
      <c r="R58" s="3212">
        <f t="shared" si="21"/>
        <v>9.6618357487922701E-3</v>
      </c>
      <c r="U58" s="3495" t="s">
        <v>3890</v>
      </c>
      <c r="V58" s="3486">
        <f t="shared" si="22"/>
        <v>336</v>
      </c>
      <c r="W58" s="3496">
        <f t="shared" si="25"/>
        <v>2.1000000000000001E-2</v>
      </c>
      <c r="X58" s="3497">
        <f t="shared" si="26"/>
        <v>5.9880239520958087E-3</v>
      </c>
      <c r="Y58" s="3494">
        <f t="shared" si="27"/>
        <v>0</v>
      </c>
      <c r="Z58" s="3494">
        <v>772300</v>
      </c>
      <c r="AA58" s="3494">
        <f t="shared" si="28"/>
        <v>95</v>
      </c>
      <c r="AB58" s="3497"/>
    </row>
    <row r="59" spans="2:28">
      <c r="B59" s="3293" t="s">
        <v>3891</v>
      </c>
      <c r="C59" s="3245">
        <v>413.7</v>
      </c>
      <c r="D59" s="3235">
        <v>4.4999999999999998E-2</v>
      </c>
      <c r="E59" s="3212">
        <f t="shared" si="23"/>
        <v>-4.0924410207029095E-3</v>
      </c>
      <c r="F59">
        <f t="shared" si="29"/>
        <v>0</v>
      </c>
      <c r="G59">
        <v>768.64</v>
      </c>
      <c r="I59" s="3189">
        <f>AVERAGE(C57:C60)</f>
        <v>418.11250000000001</v>
      </c>
      <c r="K59" s="3459" t="s">
        <v>3891</v>
      </c>
      <c r="L59" s="3458">
        <v>631</v>
      </c>
      <c r="M59" s="3235">
        <v>7.0000000000000001E-3</v>
      </c>
      <c r="N59" s="3212">
        <f t="shared" si="20"/>
        <v>6.379585326953748E-3</v>
      </c>
      <c r="O59">
        <f t="shared" si="24"/>
        <v>0</v>
      </c>
      <c r="P59">
        <v>772300</v>
      </c>
      <c r="Q59">
        <v>174.16</v>
      </c>
      <c r="R59" s="3212">
        <f t="shared" si="21"/>
        <v>6.379585326953748E-3</v>
      </c>
      <c r="U59" s="3495" t="s">
        <v>3891</v>
      </c>
      <c r="V59" s="3486">
        <f t="shared" si="22"/>
        <v>338</v>
      </c>
      <c r="W59" s="3496">
        <f t="shared" si="25"/>
        <v>2.9000000000000001E-2</v>
      </c>
      <c r="X59" s="3497">
        <f t="shared" si="26"/>
        <v>5.9523809523809521E-3</v>
      </c>
      <c r="Y59" s="3494">
        <f t="shared" si="27"/>
        <v>0</v>
      </c>
      <c r="Z59" s="3494">
        <v>772300</v>
      </c>
      <c r="AA59" s="3494">
        <f t="shared" si="28"/>
        <v>95</v>
      </c>
      <c r="AB59" s="3497"/>
    </row>
    <row r="60" spans="2:28">
      <c r="B60" s="3293" t="s">
        <v>3892</v>
      </c>
      <c r="C60" s="3245">
        <v>422.7</v>
      </c>
      <c r="D60" s="3235">
        <v>3.5000000000000003E-2</v>
      </c>
      <c r="E60" s="3212">
        <f t="shared" si="23"/>
        <v>2.1754894851341553E-2</v>
      </c>
      <c r="F60">
        <f t="shared" si="29"/>
        <v>0</v>
      </c>
      <c r="G60">
        <v>768.64</v>
      </c>
      <c r="I60" s="3">
        <f>G60</f>
        <v>768.64</v>
      </c>
      <c r="K60" s="3459" t="s">
        <v>3892</v>
      </c>
      <c r="L60" s="3458">
        <v>651</v>
      </c>
      <c r="M60" s="3235">
        <v>7.0000000000000001E-3</v>
      </c>
      <c r="N60" s="3212">
        <f t="shared" si="20"/>
        <v>3.1695721077654518E-2</v>
      </c>
      <c r="O60">
        <f t="shared" si="24"/>
        <v>0</v>
      </c>
      <c r="P60">
        <v>772300</v>
      </c>
      <c r="Q60">
        <v>174.16</v>
      </c>
      <c r="R60" s="3212">
        <f t="shared" si="21"/>
        <v>3.1695721077654518E-2</v>
      </c>
      <c r="T60" s="3212">
        <f>1+X59+X60</f>
        <v>1.0177867004790082</v>
      </c>
      <c r="U60" s="3495" t="s">
        <v>3892</v>
      </c>
      <c r="V60" s="3486">
        <f t="shared" si="22"/>
        <v>342</v>
      </c>
      <c r="W60" s="3496">
        <f t="shared" si="25"/>
        <v>2.1000000000000001E-2</v>
      </c>
      <c r="X60" s="3497">
        <f t="shared" si="26"/>
        <v>1.1834319526627219E-2</v>
      </c>
      <c r="Y60" s="3494">
        <f t="shared" si="27"/>
        <v>0</v>
      </c>
      <c r="Z60" s="3494">
        <v>772300</v>
      </c>
      <c r="AA60" s="3494">
        <f t="shared" si="28"/>
        <v>95</v>
      </c>
      <c r="AB60" s="3497"/>
    </row>
    <row r="61" spans="2:28">
      <c r="B61" s="3293" t="s">
        <v>3893</v>
      </c>
      <c r="C61" s="3245">
        <v>427.4</v>
      </c>
      <c r="D61" s="3235">
        <v>2.9000000000000001E-2</v>
      </c>
      <c r="E61" s="3212">
        <f t="shared" si="23"/>
        <v>1.1118996924532739E-2</v>
      </c>
      <c r="F61">
        <f t="shared" si="29"/>
        <v>0</v>
      </c>
      <c r="G61">
        <v>768.64</v>
      </c>
      <c r="K61" s="3459" t="s">
        <v>3893</v>
      </c>
      <c r="L61" s="3458">
        <v>652</v>
      </c>
      <c r="M61" s="3235">
        <v>6.0000000000000001E-3</v>
      </c>
      <c r="N61" s="3212">
        <f t="shared" si="20"/>
        <v>1.5360983102918587E-3</v>
      </c>
      <c r="O61">
        <f t="shared" si="24"/>
        <v>0</v>
      </c>
      <c r="P61">
        <v>772300</v>
      </c>
      <c r="Q61">
        <v>174.16</v>
      </c>
      <c r="R61" s="3212">
        <f t="shared" si="21"/>
        <v>1.5360983102918587E-3</v>
      </c>
      <c r="T61" s="3212">
        <f>1+X61+X62+X63+X64</f>
        <v>1.0378104203591902</v>
      </c>
      <c r="U61" s="3495" t="s">
        <v>3893</v>
      </c>
      <c r="V61" s="3486">
        <f t="shared" si="22"/>
        <v>349</v>
      </c>
      <c r="W61" s="3496">
        <f t="shared" si="25"/>
        <v>0.02</v>
      </c>
      <c r="X61" s="3497">
        <f t="shared" si="26"/>
        <v>2.046783625730994E-2</v>
      </c>
      <c r="Y61" s="3494">
        <f t="shared" si="27"/>
        <v>0</v>
      </c>
      <c r="Z61" s="3494">
        <v>772300</v>
      </c>
      <c r="AA61" s="3494">
        <f t="shared" si="28"/>
        <v>95</v>
      </c>
      <c r="AB61" s="3497"/>
    </row>
    <row r="62" spans="2:28">
      <c r="B62" s="3293" t="s">
        <v>3894</v>
      </c>
      <c r="C62" s="3245">
        <v>430.2</v>
      </c>
      <c r="D62" s="3235">
        <v>3.1E-2</v>
      </c>
      <c r="E62" s="3212">
        <f t="shared" si="23"/>
        <v>6.5512400561535131E-3</v>
      </c>
      <c r="F62">
        <f t="shared" si="29"/>
        <v>0</v>
      </c>
      <c r="G62">
        <v>768.64</v>
      </c>
      <c r="I62" s="3267">
        <f>AVERAGE(D61:D64)</f>
        <v>3.3000000000000002E-2</v>
      </c>
      <c r="K62" s="3459" t="s">
        <v>3894</v>
      </c>
      <c r="L62" s="3458">
        <v>654</v>
      </c>
      <c r="M62" s="3235">
        <v>0.01</v>
      </c>
      <c r="N62" s="3212">
        <f t="shared" si="20"/>
        <v>3.0674846625766872E-3</v>
      </c>
      <c r="O62">
        <f t="shared" si="24"/>
        <v>0</v>
      </c>
      <c r="P62">
        <v>772300</v>
      </c>
      <c r="Q62">
        <v>174.16</v>
      </c>
      <c r="R62" s="3212">
        <f t="shared" si="21"/>
        <v>3.0674846625766872E-3</v>
      </c>
      <c r="T62" s="3212">
        <f>1+X65+X66+X67+X68</f>
        <v>0.96584889399480667</v>
      </c>
      <c r="U62" s="3495" t="s">
        <v>3894</v>
      </c>
      <c r="V62" s="3486">
        <f t="shared" si="22"/>
        <v>350</v>
      </c>
      <c r="W62" s="3496">
        <f t="shared" si="25"/>
        <v>3.85E-2</v>
      </c>
      <c r="X62" s="3497">
        <f t="shared" si="26"/>
        <v>2.8653295128939827E-3</v>
      </c>
      <c r="Y62" s="3494">
        <f t="shared" si="27"/>
        <v>0</v>
      </c>
      <c r="Z62" s="3494">
        <v>772300</v>
      </c>
      <c r="AA62" s="3494">
        <f t="shared" si="28"/>
        <v>95</v>
      </c>
      <c r="AB62" s="3497"/>
    </row>
    <row r="63" spans="2:28" ht="27">
      <c r="B63" s="3293" t="s">
        <v>3895</v>
      </c>
      <c r="C63" s="3245">
        <v>457.2</v>
      </c>
      <c r="D63" s="3235">
        <v>3.4000000000000002E-2</v>
      </c>
      <c r="E63" s="3212">
        <f t="shared" si="23"/>
        <v>6.2761506276150625E-2</v>
      </c>
      <c r="F63">
        <f t="shared" si="29"/>
        <v>17.659999999999968</v>
      </c>
      <c r="G63">
        <f>308.4+100.8+117.7+154.7+104.7</f>
        <v>786.3</v>
      </c>
      <c r="H63" s="3248" t="s">
        <v>3820</v>
      </c>
      <c r="I63" s="3189">
        <f>AVERAGE(C61:C64)</f>
        <v>438.69</v>
      </c>
      <c r="K63" s="3459" t="s">
        <v>3895</v>
      </c>
      <c r="L63" s="3458">
        <v>662</v>
      </c>
      <c r="M63" s="3235">
        <v>1.0999999999999999E-2</v>
      </c>
      <c r="N63" s="3212">
        <f t="shared" si="20"/>
        <v>1.2232415902140673E-2</v>
      </c>
      <c r="O63">
        <f t="shared" si="24"/>
        <v>0</v>
      </c>
      <c r="P63">
        <v>772300</v>
      </c>
      <c r="Q63">
        <v>174.16</v>
      </c>
      <c r="R63" s="3212">
        <f t="shared" si="21"/>
        <v>1.2232415902140673E-2</v>
      </c>
      <c r="T63" s="3212">
        <f>1+X69+X70+X71+X72</f>
        <v>0.940616532563885</v>
      </c>
      <c r="U63" s="3495" t="s">
        <v>3895</v>
      </c>
      <c r="V63" s="3486">
        <f t="shared" si="22"/>
        <v>358</v>
      </c>
      <c r="W63" s="3496">
        <f t="shared" si="25"/>
        <v>3.15E-2</v>
      </c>
      <c r="X63" s="3497">
        <f t="shared" si="26"/>
        <v>2.2857142857142857E-2</v>
      </c>
      <c r="Y63" s="3494">
        <f t="shared" si="27"/>
        <v>0</v>
      </c>
      <c r="Z63" s="3494">
        <v>772300</v>
      </c>
      <c r="AA63" s="3494">
        <f t="shared" si="28"/>
        <v>97</v>
      </c>
      <c r="AB63" s="3497"/>
    </row>
    <row r="64" spans="2:28">
      <c r="B64" s="3293" t="s">
        <v>3896</v>
      </c>
      <c r="C64" s="3245">
        <v>439.96</v>
      </c>
      <c r="D64" s="3235">
        <v>3.7999999999999999E-2</v>
      </c>
      <c r="E64" s="3212">
        <f t="shared" si="23"/>
        <v>-3.7707786526684182E-2</v>
      </c>
      <c r="F64">
        <f t="shared" si="29"/>
        <v>-5.999999999994543E-2</v>
      </c>
      <c r="G64">
        <v>786.24</v>
      </c>
      <c r="I64" s="3">
        <f>G64</f>
        <v>786.24</v>
      </c>
      <c r="K64" s="3459" t="s">
        <v>3896</v>
      </c>
      <c r="L64" s="3458">
        <v>665</v>
      </c>
      <c r="M64" s="3235">
        <v>0.01</v>
      </c>
      <c r="N64" s="3212">
        <f t="shared" si="20"/>
        <v>4.5317220543806651E-3</v>
      </c>
      <c r="O64">
        <f t="shared" si="24"/>
        <v>0</v>
      </c>
      <c r="P64">
        <v>772300</v>
      </c>
      <c r="Q64">
        <v>174.16</v>
      </c>
      <c r="R64" s="3212">
        <f t="shared" si="21"/>
        <v>4.5317220543806651E-3</v>
      </c>
      <c r="U64" s="3495" t="s">
        <v>3896</v>
      </c>
      <c r="V64" s="3486">
        <f t="shared" si="22"/>
        <v>355</v>
      </c>
      <c r="W64" s="3496">
        <f t="shared" si="25"/>
        <v>3.0499999999999999E-2</v>
      </c>
      <c r="X64" s="3497">
        <f t="shared" si="26"/>
        <v>-8.3798882681564244E-3</v>
      </c>
      <c r="Y64" s="3494">
        <f t="shared" si="27"/>
        <v>0</v>
      </c>
      <c r="Z64" s="3494">
        <v>772300</v>
      </c>
      <c r="AA64" s="3494">
        <f t="shared" si="28"/>
        <v>97</v>
      </c>
      <c r="AB64" s="3497"/>
    </row>
    <row r="65" spans="2:28">
      <c r="B65" s="3293" t="s">
        <v>3897</v>
      </c>
      <c r="C65" s="3245">
        <v>438.88</v>
      </c>
      <c r="D65" s="3235">
        <v>4.3200000000000002E-2</v>
      </c>
      <c r="E65" s="3212">
        <f t="shared" si="23"/>
        <v>-2.45476861532863E-3</v>
      </c>
      <c r="F65">
        <f t="shared" si="29"/>
        <v>0</v>
      </c>
      <c r="G65">
        <v>786.24</v>
      </c>
      <c r="K65" s="3459" t="s">
        <v>3897</v>
      </c>
      <c r="L65" s="3458">
        <f>ROUND(L66/(1-0.1%),0)</f>
        <v>668</v>
      </c>
      <c r="M65" s="3235">
        <f>M66-0.003</f>
        <v>8.0000000000000002E-3</v>
      </c>
      <c r="N65" s="3212">
        <f t="shared" si="20"/>
        <v>4.5112781954887221E-3</v>
      </c>
      <c r="O65">
        <f t="shared" si="24"/>
        <v>0</v>
      </c>
      <c r="P65">
        <v>772300</v>
      </c>
      <c r="Q65">
        <v>174.16</v>
      </c>
      <c r="R65" s="3212">
        <f t="shared" si="21"/>
        <v>4.5112781954887221E-3</v>
      </c>
      <c r="U65" s="3495" t="s">
        <v>3897</v>
      </c>
      <c r="V65" s="3486">
        <f t="shared" si="22"/>
        <v>353</v>
      </c>
      <c r="W65" s="3496">
        <f t="shared" si="25"/>
        <v>2.64E-2</v>
      </c>
      <c r="X65" s="3497">
        <f t="shared" si="26"/>
        <v>-5.6338028169014088E-3</v>
      </c>
      <c r="Y65" s="3494">
        <f t="shared" si="27"/>
        <v>0</v>
      </c>
      <c r="Z65" s="3494">
        <v>772300</v>
      </c>
      <c r="AA65" s="3494">
        <f t="shared" si="28"/>
        <v>97</v>
      </c>
      <c r="AB65" s="3497"/>
    </row>
    <row r="66" spans="2:28">
      <c r="B66" s="3293" t="s">
        <v>3898</v>
      </c>
      <c r="C66" s="3245">
        <v>436.62</v>
      </c>
      <c r="D66" s="3235">
        <v>5.6000000000000001E-2</v>
      </c>
      <c r="E66" s="3212">
        <f t="shared" si="23"/>
        <v>-5.1494713816988488E-3</v>
      </c>
      <c r="F66">
        <f t="shared" si="29"/>
        <v>-24.980000000000018</v>
      </c>
      <c r="G66">
        <v>761.26</v>
      </c>
      <c r="I66" s="3267">
        <f>AVERAGE(D65:D68)</f>
        <v>5.7724999999999999E-2</v>
      </c>
      <c r="K66" s="3459" t="s">
        <v>3898</v>
      </c>
      <c r="L66" s="3458">
        <v>667</v>
      </c>
      <c r="M66" s="3235">
        <v>1.0999999999999999E-2</v>
      </c>
      <c r="N66" s="3212">
        <f t="shared" si="20"/>
        <v>-1.4970059880239522E-3</v>
      </c>
      <c r="O66">
        <f t="shared" si="24"/>
        <v>0</v>
      </c>
      <c r="P66">
        <v>772300</v>
      </c>
      <c r="Q66">
        <v>174.16</v>
      </c>
      <c r="R66" s="3212">
        <f t="shared" si="21"/>
        <v>-1.4970059880239522E-3</v>
      </c>
      <c r="U66" s="3495" t="s">
        <v>3898</v>
      </c>
      <c r="V66" s="3486">
        <f t="shared" si="22"/>
        <v>346</v>
      </c>
      <c r="W66" s="3496">
        <f t="shared" si="25"/>
        <v>3.2500000000000001E-2</v>
      </c>
      <c r="X66" s="3497">
        <f t="shared" si="26"/>
        <v>-1.9830028328611898E-2</v>
      </c>
      <c r="Y66" s="3494">
        <f t="shared" si="27"/>
        <v>0</v>
      </c>
      <c r="Z66" s="3494">
        <v>772300</v>
      </c>
      <c r="AA66" s="3494">
        <f t="shared" si="28"/>
        <v>100</v>
      </c>
      <c r="AB66" s="3497"/>
    </row>
    <row r="67" spans="2:28">
      <c r="B67" s="3293" t="s">
        <v>3899</v>
      </c>
      <c r="C67" s="3245">
        <v>433.64</v>
      </c>
      <c r="D67" s="3235">
        <v>5.57E-2</v>
      </c>
      <c r="E67" s="3212">
        <f t="shared" si="23"/>
        <v>-6.8251568869955983E-3</v>
      </c>
      <c r="F67">
        <f t="shared" si="29"/>
        <v>0</v>
      </c>
      <c r="G67">
        <v>761.26</v>
      </c>
      <c r="I67" s="3189">
        <f>AVERAGE(C65:C68)</f>
        <v>434.27749999999997</v>
      </c>
      <c r="K67" s="3459" t="s">
        <v>3899</v>
      </c>
      <c r="L67" s="3458">
        <v>668</v>
      </c>
      <c r="M67" s="3235">
        <v>1.2999999999999999E-2</v>
      </c>
      <c r="N67" s="3212">
        <f t="shared" si="20"/>
        <v>1.4992503748125937E-3</v>
      </c>
      <c r="O67">
        <f t="shared" si="24"/>
        <v>0</v>
      </c>
      <c r="P67">
        <v>772300</v>
      </c>
      <c r="Q67">
        <v>174.16</v>
      </c>
      <c r="R67" s="3212">
        <f t="shared" si="21"/>
        <v>1.4992503748125937E-3</v>
      </c>
      <c r="U67" s="3495" t="s">
        <v>3899</v>
      </c>
      <c r="V67" s="3486">
        <f t="shared" si="22"/>
        <v>345</v>
      </c>
      <c r="W67" s="3496">
        <f t="shared" si="25"/>
        <v>2.9499999999999998E-2</v>
      </c>
      <c r="X67" s="3497">
        <f t="shared" si="26"/>
        <v>-2.8901734104046241E-3</v>
      </c>
      <c r="Y67" s="3494">
        <f t="shared" si="27"/>
        <v>0</v>
      </c>
      <c r="Z67" s="3494">
        <v>772300</v>
      </c>
      <c r="AA67" s="3494">
        <f t="shared" si="28"/>
        <v>100</v>
      </c>
      <c r="AB67" s="3497"/>
    </row>
    <row r="68" spans="2:28">
      <c r="B68" s="3293" t="s">
        <v>3900</v>
      </c>
      <c r="C68" s="3245">
        <v>427.97</v>
      </c>
      <c r="D68" s="3235">
        <v>7.5999999999999998E-2</v>
      </c>
      <c r="E68" s="3212">
        <f t="shared" si="23"/>
        <v>-1.3075362051471173E-2</v>
      </c>
      <c r="F68">
        <f t="shared" si="29"/>
        <v>26</v>
      </c>
      <c r="G68">
        <v>787.26</v>
      </c>
      <c r="H68" s="3248" t="s">
        <v>3821</v>
      </c>
      <c r="I68" s="3">
        <f>G68</f>
        <v>787.26</v>
      </c>
      <c r="K68" s="3459" t="s">
        <v>3900</v>
      </c>
      <c r="L68" s="3458">
        <v>670</v>
      </c>
      <c r="M68" s="3235">
        <v>2.1000000000000001E-2</v>
      </c>
      <c r="N68" s="3212">
        <f t="shared" si="20"/>
        <v>2.9940119760479044E-3</v>
      </c>
      <c r="O68">
        <f t="shared" si="24"/>
        <v>0</v>
      </c>
      <c r="P68">
        <v>772300</v>
      </c>
      <c r="Q68">
        <v>179.43</v>
      </c>
      <c r="R68" s="3212">
        <f t="shared" si="21"/>
        <v>2.9940119760479044E-3</v>
      </c>
      <c r="U68" s="3495" t="s">
        <v>3900</v>
      </c>
      <c r="V68" s="3486">
        <f t="shared" si="22"/>
        <v>343</v>
      </c>
      <c r="W68" s="3496">
        <f t="shared" si="25"/>
        <v>2.8500000000000001E-2</v>
      </c>
      <c r="X68" s="3497">
        <f t="shared" si="26"/>
        <v>-5.7971014492753624E-3</v>
      </c>
      <c r="Y68" s="3494">
        <f t="shared" si="27"/>
        <v>0</v>
      </c>
      <c r="Z68" s="3494">
        <v>772300</v>
      </c>
      <c r="AA68" s="3494">
        <f t="shared" si="28"/>
        <v>100</v>
      </c>
      <c r="AB68" s="3497"/>
    </row>
    <row r="69" spans="2:28">
      <c r="B69" s="3293" t="s">
        <v>3992</v>
      </c>
      <c r="C69" s="3245">
        <v>423.66</v>
      </c>
      <c r="D69" s="3235">
        <v>0.08</v>
      </c>
      <c r="E69" s="3212">
        <f t="shared" si="23"/>
        <v>-1.0070799355094988E-2</v>
      </c>
      <c r="F69">
        <f t="shared" si="29"/>
        <v>0</v>
      </c>
      <c r="G69">
        <v>787.26</v>
      </c>
      <c r="K69" s="3459" t="s">
        <v>3901</v>
      </c>
      <c r="L69" s="3458">
        <v>670</v>
      </c>
      <c r="M69" s="3235">
        <v>1.9E-2</v>
      </c>
      <c r="N69" s="3212">
        <f t="shared" si="20"/>
        <v>0</v>
      </c>
      <c r="O69">
        <f t="shared" si="24"/>
        <v>0</v>
      </c>
      <c r="P69">
        <v>772300</v>
      </c>
      <c r="Q69">
        <v>179.43</v>
      </c>
      <c r="R69" s="3212">
        <f t="shared" si="21"/>
        <v>0</v>
      </c>
      <c r="U69" s="3495" t="s">
        <v>3992</v>
      </c>
      <c r="V69" s="3486">
        <f t="shared" si="22"/>
        <v>342</v>
      </c>
      <c r="W69" s="3496">
        <f t="shared" si="25"/>
        <v>3.4000000000000002E-2</v>
      </c>
      <c r="X69" s="3497">
        <f t="shared" si="26"/>
        <v>-2.9154518950437317E-3</v>
      </c>
      <c r="Y69" s="3494">
        <f t="shared" si="27"/>
        <v>0</v>
      </c>
      <c r="Z69" s="3494">
        <v>772300</v>
      </c>
      <c r="AA69" s="3494">
        <f t="shared" si="28"/>
        <v>100</v>
      </c>
      <c r="AB69" s="3497"/>
    </row>
    <row r="70" spans="2:28">
      <c r="B70" s="3293" t="s">
        <v>3993</v>
      </c>
      <c r="C70" s="3245">
        <v>404.79</v>
      </c>
      <c r="D70" s="3235">
        <v>9.9000000000000005E-2</v>
      </c>
      <c r="E70" s="3212">
        <f t="shared" si="23"/>
        <v>-4.4540433366378709E-2</v>
      </c>
      <c r="F70">
        <f t="shared" si="29"/>
        <v>22.340000000000032</v>
      </c>
      <c r="G70">
        <v>809.6</v>
      </c>
      <c r="H70" s="3248" t="s">
        <v>3821</v>
      </c>
      <c r="I70" s="3267">
        <f>AVERAGE(D69:D72)</f>
        <v>9.9749999999999991E-2</v>
      </c>
      <c r="K70" s="3459" t="s">
        <v>3902</v>
      </c>
      <c r="L70" s="3458">
        <v>663</v>
      </c>
      <c r="M70" s="3235">
        <v>3.3000000000000002E-2</v>
      </c>
      <c r="N70" s="3212">
        <f t="shared" si="20"/>
        <v>-1.0447761194029851E-2</v>
      </c>
      <c r="O70">
        <f t="shared" si="24"/>
        <v>0</v>
      </c>
      <c r="P70">
        <v>772300</v>
      </c>
      <c r="Q70">
        <v>179.43</v>
      </c>
      <c r="R70" s="3212">
        <f t="shared" si="21"/>
        <v>-1.0447761194029851E-2</v>
      </c>
      <c r="U70" s="3495" t="s">
        <v>3993</v>
      </c>
      <c r="V70" s="3486">
        <f t="shared" si="22"/>
        <v>335</v>
      </c>
      <c r="W70" s="3496">
        <f t="shared" si="25"/>
        <v>3.7499999999999999E-2</v>
      </c>
      <c r="X70" s="3497">
        <f t="shared" si="26"/>
        <v>-2.046783625730994E-2</v>
      </c>
      <c r="Y70" s="3494">
        <f t="shared" si="27"/>
        <v>0</v>
      </c>
      <c r="Z70" s="3494">
        <v>772300</v>
      </c>
      <c r="AA70" s="3494">
        <f t="shared" si="28"/>
        <v>100</v>
      </c>
      <c r="AB70" s="3497"/>
    </row>
    <row r="71" spans="2:28">
      <c r="B71" s="3293" t="s">
        <v>3994</v>
      </c>
      <c r="C71" s="3245">
        <v>393.19</v>
      </c>
      <c r="D71" s="3235">
        <v>0.112</v>
      </c>
      <c r="E71" s="3212">
        <f t="shared" si="23"/>
        <v>-2.8656834407964678E-2</v>
      </c>
      <c r="F71">
        <f t="shared" si="29"/>
        <v>12</v>
      </c>
      <c r="G71">
        <v>821.6</v>
      </c>
      <c r="H71" s="3248" t="s">
        <v>3822</v>
      </c>
      <c r="I71" s="3189">
        <f>AVERAGE(C69:C72)</f>
        <v>402.22750000000002</v>
      </c>
      <c r="K71" s="3459" t="s">
        <v>3903</v>
      </c>
      <c r="L71" s="3458">
        <v>659</v>
      </c>
      <c r="M71" s="3235">
        <v>3.5999999999999997E-2</v>
      </c>
      <c r="N71" s="3212">
        <f t="shared" si="20"/>
        <v>-6.0331825037707393E-3</v>
      </c>
      <c r="O71">
        <f t="shared" si="24"/>
        <v>0</v>
      </c>
      <c r="P71">
        <v>772300</v>
      </c>
      <c r="Q71">
        <v>179.43</v>
      </c>
      <c r="R71" s="3212">
        <f t="shared" si="21"/>
        <v>-6.0331825037707393E-3</v>
      </c>
      <c r="U71" s="3495" t="s">
        <v>3994</v>
      </c>
      <c r="V71" s="3486">
        <f t="shared" si="22"/>
        <v>333</v>
      </c>
      <c r="W71" s="3496">
        <f t="shared" si="25"/>
        <v>8.1500000000000003E-2</v>
      </c>
      <c r="X71" s="3497">
        <f t="shared" si="26"/>
        <v>-5.9701492537313433E-3</v>
      </c>
      <c r="Y71" s="3494">
        <f t="shared" si="27"/>
        <v>0</v>
      </c>
      <c r="Z71" s="3494">
        <v>772300</v>
      </c>
      <c r="AA71" s="3494">
        <f t="shared" si="28"/>
        <v>106</v>
      </c>
      <c r="AB71" s="3497"/>
    </row>
    <row r="72" spans="2:28">
      <c r="B72" s="3293" t="s">
        <v>3995</v>
      </c>
      <c r="C72" s="3245">
        <v>387.27</v>
      </c>
      <c r="D72" s="3249">
        <v>0.108</v>
      </c>
      <c r="E72" s="3212">
        <f t="shared" si="23"/>
        <v>-1.5056334087845612E-2</v>
      </c>
      <c r="F72">
        <f t="shared" si="29"/>
        <v>0.49000000000000909</v>
      </c>
      <c r="G72">
        <v>822.09</v>
      </c>
      <c r="H72" s="3248" t="s">
        <v>3821</v>
      </c>
      <c r="I72" s="3">
        <f>G72</f>
        <v>822.09</v>
      </c>
      <c r="K72" s="3459" t="s">
        <v>3904</v>
      </c>
      <c r="L72" s="3458">
        <v>652</v>
      </c>
      <c r="M72" s="3235">
        <v>3.7999999999999999E-2</v>
      </c>
      <c r="N72" s="3212">
        <f t="shared" si="20"/>
        <v>-1.0622154779969651E-2</v>
      </c>
      <c r="O72">
        <f t="shared" si="24"/>
        <v>124000</v>
      </c>
      <c r="P72">
        <v>896300</v>
      </c>
      <c r="Q72">
        <v>179.43</v>
      </c>
      <c r="R72" s="3212">
        <f t="shared" si="21"/>
        <v>-1.0622154779969651E-2</v>
      </c>
      <c r="U72" s="3495" t="s">
        <v>3995</v>
      </c>
      <c r="V72" s="3486">
        <f t="shared" si="22"/>
        <v>323</v>
      </c>
      <c r="W72" s="3496">
        <f t="shared" si="25"/>
        <v>0.126</v>
      </c>
      <c r="X72" s="3497">
        <f t="shared" si="26"/>
        <v>-3.003003003003003E-2</v>
      </c>
      <c r="Y72" s="3494">
        <f t="shared" si="27"/>
        <v>124000</v>
      </c>
      <c r="Z72" s="3494">
        <v>896300</v>
      </c>
      <c r="AA72" s="3494">
        <f t="shared" si="28"/>
        <v>112</v>
      </c>
      <c r="AB72" s="3497"/>
    </row>
    <row r="75" spans="2:28">
      <c r="B75" s="3940" t="s">
        <v>4280</v>
      </c>
      <c r="C75" s="3872"/>
      <c r="D75" s="3872"/>
      <c r="E75" s="3872"/>
      <c r="F75" s="3872"/>
      <c r="G75" s="3872"/>
      <c r="H75" s="3872"/>
      <c r="I75" s="3458"/>
      <c r="K75" s="3938" t="s">
        <v>4324</v>
      </c>
      <c r="L75" s="3939"/>
      <c r="M75" s="3939"/>
      <c r="N75" s="3939"/>
      <c r="O75" s="3490"/>
      <c r="P75" s="3490"/>
      <c r="Q75" s="3339"/>
      <c r="R75" s="3339"/>
      <c r="U75" s="3942" t="s">
        <v>4280</v>
      </c>
      <c r="V75" s="3943"/>
      <c r="W75" s="3943"/>
      <c r="X75" s="3943"/>
      <c r="Y75" s="3943"/>
      <c r="Z75" s="3943"/>
      <c r="AA75" s="3943"/>
    </row>
    <row r="76" spans="2:28">
      <c r="C76" s="3458" t="s">
        <v>3786</v>
      </c>
      <c r="D76" s="3458" t="s">
        <v>3787</v>
      </c>
      <c r="E76" t="s">
        <v>3788</v>
      </c>
      <c r="F76" s="3458" t="s">
        <v>3789</v>
      </c>
      <c r="G76" s="3459" t="s">
        <v>3818</v>
      </c>
      <c r="K76" s="3490"/>
      <c r="L76" s="3490" t="s">
        <v>3786</v>
      </c>
      <c r="M76" s="3490" t="s">
        <v>3787</v>
      </c>
      <c r="N76" s="3339" t="s">
        <v>3788</v>
      </c>
      <c r="O76" s="3490" t="s">
        <v>3789</v>
      </c>
      <c r="P76" s="3490" t="s">
        <v>3806</v>
      </c>
      <c r="Q76" s="3490" t="s">
        <v>3791</v>
      </c>
      <c r="R76" s="3490"/>
      <c r="U76" s="3498"/>
      <c r="V76" s="3499" t="s">
        <v>3786</v>
      </c>
      <c r="W76" s="3499" t="s">
        <v>3787</v>
      </c>
      <c r="X76" s="3498" t="s">
        <v>3788</v>
      </c>
      <c r="Y76" s="3499" t="s">
        <v>3789</v>
      </c>
      <c r="Z76" s="3500" t="s">
        <v>3818</v>
      </c>
      <c r="AA76" s="3499" t="s">
        <v>3791</v>
      </c>
    </row>
    <row r="77" spans="2:28">
      <c r="B77" s="3459" t="s">
        <v>3885</v>
      </c>
      <c r="C77" s="3459" t="s">
        <v>3905</v>
      </c>
      <c r="D77" s="3459" t="s">
        <v>3905</v>
      </c>
      <c r="F77" s="3458"/>
      <c r="G77" s="3459"/>
      <c r="K77" s="3491"/>
      <c r="L77" s="3490"/>
      <c r="M77" s="3492"/>
      <c r="N77" s="3339"/>
      <c r="O77" s="3339"/>
      <c r="P77" s="3339"/>
      <c r="Q77" s="3339"/>
      <c r="R77" s="3339"/>
      <c r="U77" s="3500" t="s">
        <v>3885</v>
      </c>
      <c r="V77" s="3500" t="s">
        <v>3905</v>
      </c>
      <c r="W77" s="3500" t="s">
        <v>3905</v>
      </c>
      <c r="X77" s="3498"/>
      <c r="Y77" s="3499"/>
      <c r="Z77" s="3500"/>
      <c r="AA77" s="3145"/>
    </row>
    <row r="78" spans="2:28">
      <c r="B78" s="3459" t="s">
        <v>3886</v>
      </c>
      <c r="C78" s="3458">
        <v>637.70000000000005</v>
      </c>
      <c r="D78" s="3235">
        <v>8.0000000000000002E-3</v>
      </c>
      <c r="E78" s="3212"/>
      <c r="G78">
        <v>138.25</v>
      </c>
      <c r="I78" s="3267">
        <f>AVERAGE(D77:D80)</f>
        <v>5.3333333333333332E-3</v>
      </c>
      <c r="K78" s="3491" t="s">
        <v>3886</v>
      </c>
      <c r="L78" s="3490">
        <f t="shared" ref="L78:L96" si="30">ROUND((C5+L5+V5)/3,0)</f>
        <v>363</v>
      </c>
      <c r="M78" s="3492">
        <f>ROUND((D5+M5+W5)/3,4)</f>
        <v>5.4300000000000001E-2</v>
      </c>
      <c r="N78" s="3493" t="e">
        <f t="shared" ref="N78:N96" si="31">(L78-L77)/L77</f>
        <v>#DIV/0!</v>
      </c>
      <c r="O78" s="3339">
        <f>P78-P77</f>
        <v>843800</v>
      </c>
      <c r="P78" s="3339">
        <v>843800</v>
      </c>
      <c r="Q78" s="3339">
        <f>ROUND((G5+Q5+AA5)/3,0)</f>
        <v>839</v>
      </c>
      <c r="R78" s="3493"/>
      <c r="U78" s="3500" t="s">
        <v>3886</v>
      </c>
      <c r="V78" s="3499">
        <f>ROUND((C78+L54)/2,0)</f>
        <v>625</v>
      </c>
      <c r="W78" s="3501">
        <f>ROUND((D78+M54)/2,4)</f>
        <v>1.6500000000000001E-2</v>
      </c>
      <c r="X78" s="3502"/>
      <c r="Y78" s="3498"/>
      <c r="Z78" s="3498">
        <v>138.25</v>
      </c>
      <c r="AA78" s="3498">
        <f>ROUND((G78+Q54)/2,0)</f>
        <v>154</v>
      </c>
    </row>
    <row r="79" spans="2:28">
      <c r="B79" s="3459" t="s">
        <v>3887</v>
      </c>
      <c r="C79" s="3458">
        <v>643.6</v>
      </c>
      <c r="D79" s="3235">
        <v>2E-3</v>
      </c>
      <c r="E79" s="3212">
        <f t="shared" ref="E79:E96" si="32">(C79-C78)/C78</f>
        <v>9.2519993727457686E-3</v>
      </c>
      <c r="F79">
        <f>G79-G78</f>
        <v>0</v>
      </c>
      <c r="G79">
        <v>138.25</v>
      </c>
      <c r="H79" s="3248"/>
      <c r="I79" s="3189">
        <f>AVERAGE(C77:C80)</f>
        <v>648.6</v>
      </c>
      <c r="K79" s="3491" t="s">
        <v>3887</v>
      </c>
      <c r="L79" s="3490">
        <f t="shared" si="30"/>
        <v>364</v>
      </c>
      <c r="M79" s="3492">
        <f t="shared" ref="M79:M96" si="33">ROUND((D6+M6+W6)/3,4)</f>
        <v>5.1999999999999998E-2</v>
      </c>
      <c r="N79" s="3493">
        <f t="shared" si="31"/>
        <v>2.7548209366391185E-3</v>
      </c>
      <c r="O79" s="3339">
        <f t="shared" ref="O79:O96" si="34">P79-P78</f>
        <v>0</v>
      </c>
      <c r="P79" s="3339">
        <v>843800</v>
      </c>
      <c r="Q79" s="3339">
        <f t="shared" ref="Q79:Q96" si="35">ROUND((G6+Q6+AA6)/3,0)</f>
        <v>869</v>
      </c>
      <c r="R79" s="3493">
        <f t="shared" ref="R79:R96" si="36">(L79-L78)/L78</f>
        <v>2.7548209366391185E-3</v>
      </c>
      <c r="U79" s="3500" t="s">
        <v>3887</v>
      </c>
      <c r="V79" s="3499">
        <f t="shared" ref="V79:V96" si="37">ROUND((C79+L55)/2,0)</f>
        <v>631</v>
      </c>
      <c r="W79" s="3501">
        <f t="shared" ref="W79:W96" si="38">ROUND((D79+M55)/2,4)</f>
        <v>8.0000000000000002E-3</v>
      </c>
      <c r="X79" s="3502">
        <f t="shared" ref="X79:X96" si="39">(V79-V78)/V78</f>
        <v>9.5999999999999992E-3</v>
      </c>
      <c r="Y79" s="3498">
        <f>Z79-Z78</f>
        <v>0</v>
      </c>
      <c r="Z79" s="3498">
        <v>138.25</v>
      </c>
      <c r="AA79" s="3498">
        <f t="shared" ref="AA79:AA96" si="40">ROUND((G79+Q55)/2,0)</f>
        <v>154</v>
      </c>
    </row>
    <row r="80" spans="2:28">
      <c r="B80" s="3459" t="s">
        <v>3888</v>
      </c>
      <c r="C80" s="3458">
        <v>664.5</v>
      </c>
      <c r="D80" s="3235">
        <v>6.0000000000000001E-3</v>
      </c>
      <c r="E80" s="3212">
        <f t="shared" si="32"/>
        <v>3.2473586078309476E-2</v>
      </c>
      <c r="F80">
        <f t="shared" ref="F80:F96" si="41">G80-G79</f>
        <v>0</v>
      </c>
      <c r="G80">
        <v>138.25</v>
      </c>
      <c r="H80" s="3248"/>
      <c r="I80" s="3">
        <f>G80</f>
        <v>138.25</v>
      </c>
      <c r="K80" s="3491" t="s">
        <v>3888</v>
      </c>
      <c r="L80" s="3490">
        <f t="shared" si="30"/>
        <v>366</v>
      </c>
      <c r="M80" s="3492">
        <f t="shared" si="33"/>
        <v>5.3699999999999998E-2</v>
      </c>
      <c r="N80" s="3493">
        <f t="shared" si="31"/>
        <v>5.4945054945054949E-3</v>
      </c>
      <c r="O80" s="3339">
        <f t="shared" si="34"/>
        <v>-71500</v>
      </c>
      <c r="P80" s="3339">
        <v>772300</v>
      </c>
      <c r="Q80" s="3339">
        <f t="shared" si="35"/>
        <v>886</v>
      </c>
      <c r="R80" s="3493">
        <f t="shared" si="36"/>
        <v>5.4945054945054949E-3</v>
      </c>
      <c r="U80" s="3500" t="s">
        <v>3888</v>
      </c>
      <c r="V80" s="3499">
        <f t="shared" si="37"/>
        <v>642</v>
      </c>
      <c r="W80" s="3501">
        <f t="shared" si="38"/>
        <v>6.4999999999999997E-3</v>
      </c>
      <c r="X80" s="3502">
        <f t="shared" si="39"/>
        <v>1.7432646592709985E-2</v>
      </c>
      <c r="Y80" s="3498">
        <f t="shared" ref="Y80:Y96" si="42">Z80-Z79</f>
        <v>0</v>
      </c>
      <c r="Z80" s="3498">
        <v>138.25</v>
      </c>
      <c r="AA80" s="3498">
        <f t="shared" si="40"/>
        <v>156</v>
      </c>
    </row>
    <row r="81" spans="2:27">
      <c r="B81" s="3459" t="s">
        <v>3889</v>
      </c>
      <c r="C81" s="3458">
        <v>660.7</v>
      </c>
      <c r="D81" s="3235">
        <v>2.7E-2</v>
      </c>
      <c r="E81" s="3212">
        <f t="shared" si="32"/>
        <v>-5.7185854025582463E-3</v>
      </c>
      <c r="F81">
        <f t="shared" si="41"/>
        <v>3.4099999999999966</v>
      </c>
      <c r="G81">
        <v>141.66</v>
      </c>
      <c r="H81" s="3248"/>
      <c r="K81" s="3491" t="s">
        <v>3889</v>
      </c>
      <c r="L81" s="3490">
        <f t="shared" si="30"/>
        <v>365</v>
      </c>
      <c r="M81" s="3492">
        <f t="shared" si="33"/>
        <v>5.7700000000000001E-2</v>
      </c>
      <c r="N81" s="3493">
        <f t="shared" si="31"/>
        <v>-2.7322404371584699E-3</v>
      </c>
      <c r="O81" s="3339">
        <f t="shared" si="34"/>
        <v>0</v>
      </c>
      <c r="P81" s="3339">
        <v>772300</v>
      </c>
      <c r="Q81" s="3339">
        <f t="shared" si="35"/>
        <v>901</v>
      </c>
      <c r="R81" s="3493">
        <f t="shared" si="36"/>
        <v>-2.7322404371584699E-3</v>
      </c>
      <c r="U81" s="3500" t="s">
        <v>3889</v>
      </c>
      <c r="V81" s="3499">
        <f t="shared" si="37"/>
        <v>641</v>
      </c>
      <c r="W81" s="3501">
        <f t="shared" si="38"/>
        <v>1.7000000000000001E-2</v>
      </c>
      <c r="X81" s="3502">
        <f t="shared" si="39"/>
        <v>-1.557632398753894E-3</v>
      </c>
      <c r="Y81" s="3498">
        <f t="shared" si="42"/>
        <v>3.4099999999999966</v>
      </c>
      <c r="Z81" s="3498">
        <v>141.66</v>
      </c>
      <c r="AA81" s="3498">
        <f t="shared" si="40"/>
        <v>158</v>
      </c>
    </row>
    <row r="82" spans="2:27">
      <c r="B82" s="3459" t="s">
        <v>3890</v>
      </c>
      <c r="C82" s="3458">
        <v>675.5</v>
      </c>
      <c r="D82" s="3235">
        <v>2.4E-2</v>
      </c>
      <c r="E82" s="3212">
        <f t="shared" si="32"/>
        <v>2.2400484334796359E-2</v>
      </c>
      <c r="F82">
        <f t="shared" si="41"/>
        <v>0</v>
      </c>
      <c r="G82">
        <v>141.66</v>
      </c>
      <c r="I82" s="3267">
        <f>AVERAGE(D81:D84)</f>
        <v>2.6250000000000002E-2</v>
      </c>
      <c r="K82" s="3491" t="s">
        <v>3890</v>
      </c>
      <c r="L82" s="3490">
        <f t="shared" si="30"/>
        <v>368</v>
      </c>
      <c r="M82" s="3492">
        <f t="shared" si="33"/>
        <v>6.6699999999999995E-2</v>
      </c>
      <c r="N82" s="3493">
        <f t="shared" si="31"/>
        <v>8.21917808219178E-3</v>
      </c>
      <c r="O82" s="3339">
        <f t="shared" si="34"/>
        <v>0</v>
      </c>
      <c r="P82" s="3339">
        <v>772300</v>
      </c>
      <c r="Q82" s="3339">
        <f t="shared" si="35"/>
        <v>921</v>
      </c>
      <c r="R82" s="3493">
        <f t="shared" si="36"/>
        <v>8.21917808219178E-3</v>
      </c>
      <c r="U82" s="3500" t="s">
        <v>3890</v>
      </c>
      <c r="V82" s="3499">
        <f t="shared" si="37"/>
        <v>651</v>
      </c>
      <c r="W82" s="3501">
        <f t="shared" si="38"/>
        <v>1.6E-2</v>
      </c>
      <c r="X82" s="3502">
        <f t="shared" si="39"/>
        <v>1.5600624024960999E-2</v>
      </c>
      <c r="Y82" s="3498">
        <f t="shared" si="42"/>
        <v>0</v>
      </c>
      <c r="Z82" s="3498">
        <v>141.66</v>
      </c>
      <c r="AA82" s="3498">
        <f t="shared" si="40"/>
        <v>158</v>
      </c>
    </row>
    <row r="83" spans="2:27">
      <c r="B83" s="3459" t="s">
        <v>3891</v>
      </c>
      <c r="C83" s="3458">
        <v>682</v>
      </c>
      <c r="D83" s="3235">
        <v>2.3E-2</v>
      </c>
      <c r="E83" s="3212">
        <f t="shared" si="32"/>
        <v>9.6225018504811251E-3</v>
      </c>
      <c r="F83">
        <f t="shared" si="41"/>
        <v>0</v>
      </c>
      <c r="G83">
        <v>141.66</v>
      </c>
      <c r="I83" s="3189">
        <f>AVERAGE(C81:C84)</f>
        <v>675.375</v>
      </c>
      <c r="K83" s="3491" t="s">
        <v>3891</v>
      </c>
      <c r="L83" s="3490">
        <f t="shared" si="30"/>
        <v>369</v>
      </c>
      <c r="M83" s="3492">
        <f t="shared" si="33"/>
        <v>5.8000000000000003E-2</v>
      </c>
      <c r="N83" s="3493">
        <f t="shared" si="31"/>
        <v>2.717391304347826E-3</v>
      </c>
      <c r="O83" s="3339">
        <f t="shared" si="34"/>
        <v>0</v>
      </c>
      <c r="P83" s="3339">
        <v>772300</v>
      </c>
      <c r="Q83" s="3339">
        <f t="shared" si="35"/>
        <v>924</v>
      </c>
      <c r="R83" s="3493">
        <f t="shared" si="36"/>
        <v>2.717391304347826E-3</v>
      </c>
      <c r="U83" s="3500" t="s">
        <v>3891</v>
      </c>
      <c r="V83" s="3499">
        <f t="shared" si="37"/>
        <v>657</v>
      </c>
      <c r="W83" s="3501">
        <f t="shared" si="38"/>
        <v>1.4999999999999999E-2</v>
      </c>
      <c r="X83" s="3502">
        <f t="shared" si="39"/>
        <v>9.2165898617511521E-3</v>
      </c>
      <c r="Y83" s="3498">
        <f t="shared" si="42"/>
        <v>0</v>
      </c>
      <c r="Z83" s="3498">
        <v>141.66</v>
      </c>
      <c r="AA83" s="3498">
        <f t="shared" si="40"/>
        <v>158</v>
      </c>
    </row>
    <row r="84" spans="2:27">
      <c r="B84" s="3459" t="s">
        <v>3892</v>
      </c>
      <c r="C84" s="3458">
        <v>683.3</v>
      </c>
      <c r="D84" s="3235">
        <v>3.1E-2</v>
      </c>
      <c r="E84" s="3212">
        <f t="shared" si="32"/>
        <v>1.9061583577711944E-3</v>
      </c>
      <c r="F84">
        <f t="shared" si="41"/>
        <v>0</v>
      </c>
      <c r="G84">
        <v>141.66</v>
      </c>
      <c r="I84" s="3">
        <f>G84</f>
        <v>141.66</v>
      </c>
      <c r="K84" s="3491" t="s">
        <v>3892</v>
      </c>
      <c r="L84" s="3490">
        <f t="shared" si="30"/>
        <v>370</v>
      </c>
      <c r="M84" s="3492">
        <f t="shared" si="33"/>
        <v>7.4700000000000003E-2</v>
      </c>
      <c r="N84" s="3493">
        <f t="shared" si="31"/>
        <v>2.7100271002710027E-3</v>
      </c>
      <c r="O84" s="3339">
        <f t="shared" si="34"/>
        <v>0</v>
      </c>
      <c r="P84" s="3339">
        <v>772300</v>
      </c>
      <c r="Q84" s="3339">
        <f t="shared" si="35"/>
        <v>966</v>
      </c>
      <c r="R84" s="3493">
        <f t="shared" si="36"/>
        <v>2.7100271002710027E-3</v>
      </c>
      <c r="U84" s="3500" t="s">
        <v>3892</v>
      </c>
      <c r="V84" s="3499">
        <f t="shared" si="37"/>
        <v>667</v>
      </c>
      <c r="W84" s="3501">
        <f t="shared" si="38"/>
        <v>1.9E-2</v>
      </c>
      <c r="X84" s="3502">
        <f t="shared" si="39"/>
        <v>1.5220700152207001E-2</v>
      </c>
      <c r="Y84" s="3498">
        <f t="shared" si="42"/>
        <v>0</v>
      </c>
      <c r="Z84" s="3498">
        <v>141.66</v>
      </c>
      <c r="AA84" s="3498">
        <f t="shared" si="40"/>
        <v>158</v>
      </c>
    </row>
    <row r="85" spans="2:27">
      <c r="B85" s="3459" t="s">
        <v>3893</v>
      </c>
      <c r="C85" s="3458">
        <v>691</v>
      </c>
      <c r="D85" s="3235">
        <v>3.1E-2</v>
      </c>
      <c r="E85" s="3212">
        <f t="shared" si="32"/>
        <v>1.1268842382555313E-2</v>
      </c>
      <c r="F85">
        <f t="shared" si="41"/>
        <v>0</v>
      </c>
      <c r="G85">
        <v>141.66</v>
      </c>
      <c r="K85" s="3491" t="s">
        <v>3893</v>
      </c>
      <c r="L85" s="3490">
        <f t="shared" si="30"/>
        <v>369</v>
      </c>
      <c r="M85" s="3492">
        <f t="shared" si="33"/>
        <v>6.5000000000000002E-2</v>
      </c>
      <c r="N85" s="3493">
        <f t="shared" si="31"/>
        <v>-2.7027027027027029E-3</v>
      </c>
      <c r="O85" s="3339">
        <f t="shared" si="34"/>
        <v>0</v>
      </c>
      <c r="P85" s="3339">
        <v>772300</v>
      </c>
      <c r="Q85" s="3339">
        <f t="shared" si="35"/>
        <v>976</v>
      </c>
      <c r="R85" s="3493">
        <f t="shared" si="36"/>
        <v>-2.7027027027027029E-3</v>
      </c>
      <c r="U85" s="3500" t="s">
        <v>3893</v>
      </c>
      <c r="V85" s="3499">
        <f t="shared" si="37"/>
        <v>672</v>
      </c>
      <c r="W85" s="3501">
        <f t="shared" si="38"/>
        <v>1.8499999999999999E-2</v>
      </c>
      <c r="X85" s="3502">
        <f t="shared" si="39"/>
        <v>7.4962518740629685E-3</v>
      </c>
      <c r="Y85" s="3498">
        <f t="shared" si="42"/>
        <v>0</v>
      </c>
      <c r="Z85" s="3498">
        <v>141.66</v>
      </c>
      <c r="AA85" s="3498">
        <f t="shared" si="40"/>
        <v>158</v>
      </c>
    </row>
    <row r="86" spans="2:27">
      <c r="B86" s="3459" t="s">
        <v>3894</v>
      </c>
      <c r="C86" s="3458">
        <v>697.8</v>
      </c>
      <c r="D86" s="3235">
        <v>2.1000000000000001E-2</v>
      </c>
      <c r="E86" s="3212">
        <f t="shared" si="32"/>
        <v>9.8408104196815553E-3</v>
      </c>
      <c r="F86">
        <f t="shared" si="41"/>
        <v>0</v>
      </c>
      <c r="G86">
        <v>141.66</v>
      </c>
      <c r="I86" s="3267">
        <f>AVERAGE(D85:D88)</f>
        <v>2.9250000000000002E-2</v>
      </c>
      <c r="K86" s="3491" t="s">
        <v>3894</v>
      </c>
      <c r="L86" s="3490">
        <f t="shared" si="30"/>
        <v>378</v>
      </c>
      <c r="M86" s="3492">
        <f t="shared" si="33"/>
        <v>5.3999999999999999E-2</v>
      </c>
      <c r="N86" s="3493">
        <f t="shared" si="31"/>
        <v>2.4390243902439025E-2</v>
      </c>
      <c r="O86" s="3339">
        <f t="shared" si="34"/>
        <v>0</v>
      </c>
      <c r="P86" s="3339">
        <v>772300</v>
      </c>
      <c r="Q86" s="3339">
        <f t="shared" si="35"/>
        <v>981</v>
      </c>
      <c r="R86" s="3493">
        <f t="shared" si="36"/>
        <v>2.4390243902439025E-2</v>
      </c>
      <c r="U86" s="3500" t="s">
        <v>3894</v>
      </c>
      <c r="V86" s="3499">
        <f t="shared" si="37"/>
        <v>676</v>
      </c>
      <c r="W86" s="3501">
        <f t="shared" si="38"/>
        <v>1.55E-2</v>
      </c>
      <c r="X86" s="3502">
        <f t="shared" si="39"/>
        <v>5.9523809523809521E-3</v>
      </c>
      <c r="Y86" s="3498">
        <f t="shared" si="42"/>
        <v>0</v>
      </c>
      <c r="Z86" s="3498">
        <v>141.66</v>
      </c>
      <c r="AA86" s="3498">
        <f t="shared" si="40"/>
        <v>158</v>
      </c>
    </row>
    <row r="87" spans="2:27">
      <c r="B87" s="3459" t="s">
        <v>3895</v>
      </c>
      <c r="C87" s="3458">
        <v>712.5</v>
      </c>
      <c r="D87" s="3235">
        <v>3.4000000000000002E-2</v>
      </c>
      <c r="E87" s="3212">
        <f t="shared" si="32"/>
        <v>2.106620808254521E-2</v>
      </c>
      <c r="F87">
        <f t="shared" si="41"/>
        <v>13</v>
      </c>
      <c r="G87">
        <v>154.66</v>
      </c>
      <c r="H87" s="3248"/>
      <c r="I87" s="3189">
        <f>AVERAGE(C85:C88)</f>
        <v>701.86500000000001</v>
      </c>
      <c r="K87" s="3491" t="s">
        <v>3895</v>
      </c>
      <c r="L87" s="3490">
        <f t="shared" si="30"/>
        <v>387</v>
      </c>
      <c r="M87" s="3492">
        <f t="shared" si="33"/>
        <v>5.8700000000000002E-2</v>
      </c>
      <c r="N87" s="3493">
        <f t="shared" si="31"/>
        <v>2.3809523809523808E-2</v>
      </c>
      <c r="O87" s="3339">
        <f t="shared" si="34"/>
        <v>0</v>
      </c>
      <c r="P87" s="3339">
        <v>772300</v>
      </c>
      <c r="Q87" s="3339">
        <f t="shared" si="35"/>
        <v>989</v>
      </c>
      <c r="R87" s="3493">
        <f t="shared" si="36"/>
        <v>2.3809523809523808E-2</v>
      </c>
      <c r="U87" s="3500" t="s">
        <v>3895</v>
      </c>
      <c r="V87" s="3499">
        <f t="shared" si="37"/>
        <v>687</v>
      </c>
      <c r="W87" s="3501">
        <f t="shared" si="38"/>
        <v>2.2499999999999999E-2</v>
      </c>
      <c r="X87" s="3502">
        <f t="shared" si="39"/>
        <v>1.6272189349112426E-2</v>
      </c>
      <c r="Y87" s="3498">
        <f t="shared" si="42"/>
        <v>13</v>
      </c>
      <c r="Z87" s="3498">
        <v>154.66</v>
      </c>
      <c r="AA87" s="3498">
        <f t="shared" si="40"/>
        <v>164</v>
      </c>
    </row>
    <row r="88" spans="2:27">
      <c r="B88" s="3459" t="s">
        <v>3896</v>
      </c>
      <c r="C88" s="3458">
        <v>706.16</v>
      </c>
      <c r="D88" s="3235">
        <v>3.1E-2</v>
      </c>
      <c r="E88" s="3212">
        <f t="shared" si="32"/>
        <v>-8.8982456140351326E-3</v>
      </c>
      <c r="F88">
        <f t="shared" si="41"/>
        <v>0</v>
      </c>
      <c r="G88">
        <v>154.66</v>
      </c>
      <c r="I88" s="3">
        <f>G88</f>
        <v>154.66</v>
      </c>
      <c r="K88" s="3491" t="s">
        <v>3896</v>
      </c>
      <c r="L88" s="3490">
        <f t="shared" si="30"/>
        <v>385</v>
      </c>
      <c r="M88" s="3492">
        <f t="shared" si="33"/>
        <v>6.6699999999999995E-2</v>
      </c>
      <c r="N88" s="3493">
        <f t="shared" si="31"/>
        <v>-5.1679586563307496E-3</v>
      </c>
      <c r="O88" s="3339">
        <f t="shared" si="34"/>
        <v>0</v>
      </c>
      <c r="P88" s="3339">
        <v>772300</v>
      </c>
      <c r="Q88" s="3339">
        <f t="shared" si="35"/>
        <v>1005</v>
      </c>
      <c r="R88" s="3493">
        <f t="shared" si="36"/>
        <v>-5.1679586563307496E-3</v>
      </c>
      <c r="U88" s="3500" t="s">
        <v>3896</v>
      </c>
      <c r="V88" s="3499">
        <f t="shared" si="37"/>
        <v>686</v>
      </c>
      <c r="W88" s="3501">
        <f t="shared" si="38"/>
        <v>2.0500000000000001E-2</v>
      </c>
      <c r="X88" s="3502">
        <f t="shared" si="39"/>
        <v>-1.455604075691412E-3</v>
      </c>
      <c r="Y88" s="3498">
        <f t="shared" si="42"/>
        <v>0</v>
      </c>
      <c r="Z88" s="3498">
        <v>154.66</v>
      </c>
      <c r="AA88" s="3498">
        <f t="shared" si="40"/>
        <v>164</v>
      </c>
    </row>
    <row r="89" spans="2:27">
      <c r="B89" s="3459" t="s">
        <v>3897</v>
      </c>
      <c r="C89" s="3458">
        <v>714.43</v>
      </c>
      <c r="D89" s="3235">
        <v>3.2199999999999999E-2</v>
      </c>
      <c r="E89" s="3212">
        <f t="shared" si="32"/>
        <v>1.1711226917412458E-2</v>
      </c>
      <c r="F89">
        <f t="shared" si="41"/>
        <v>0</v>
      </c>
      <c r="G89">
        <v>154.66</v>
      </c>
      <c r="K89" s="3491" t="s">
        <v>3897</v>
      </c>
      <c r="L89" s="3490">
        <f t="shared" si="30"/>
        <v>383</v>
      </c>
      <c r="M89" s="3492">
        <f t="shared" si="33"/>
        <v>6.8699999999999997E-2</v>
      </c>
      <c r="N89" s="3493">
        <f t="shared" si="31"/>
        <v>-5.1948051948051948E-3</v>
      </c>
      <c r="O89" s="3339">
        <f t="shared" si="34"/>
        <v>0</v>
      </c>
      <c r="P89" s="3339">
        <v>772300</v>
      </c>
      <c r="Q89" s="3339">
        <f t="shared" si="35"/>
        <v>1009</v>
      </c>
      <c r="R89" s="3493">
        <f t="shared" si="36"/>
        <v>-5.1948051948051948E-3</v>
      </c>
      <c r="U89" s="3500" t="s">
        <v>3897</v>
      </c>
      <c r="V89" s="3499">
        <f t="shared" si="37"/>
        <v>691</v>
      </c>
      <c r="W89" s="3501">
        <f t="shared" si="38"/>
        <v>2.01E-2</v>
      </c>
      <c r="X89" s="3502">
        <f t="shared" si="39"/>
        <v>7.2886297376093291E-3</v>
      </c>
      <c r="Y89" s="3498">
        <f t="shared" si="42"/>
        <v>0</v>
      </c>
      <c r="Z89" s="3498">
        <v>154.66</v>
      </c>
      <c r="AA89" s="3498">
        <f t="shared" si="40"/>
        <v>164</v>
      </c>
    </row>
    <row r="90" spans="2:27">
      <c r="B90" s="3459" t="s">
        <v>3898</v>
      </c>
      <c r="C90" s="3458">
        <v>717.29</v>
      </c>
      <c r="D90" s="3235">
        <v>3.1E-2</v>
      </c>
      <c r="E90" s="3212">
        <f t="shared" si="32"/>
        <v>4.0031913553462391E-3</v>
      </c>
      <c r="F90">
        <f t="shared" si="41"/>
        <v>0</v>
      </c>
      <c r="G90">
        <v>154.66</v>
      </c>
      <c r="I90" s="3267">
        <f>AVERAGE(D89:D92)</f>
        <v>2.7800000000000002E-2</v>
      </c>
      <c r="K90" s="3491" t="s">
        <v>3898</v>
      </c>
      <c r="L90" s="3490">
        <f t="shared" si="30"/>
        <v>380</v>
      </c>
      <c r="M90" s="3492">
        <f t="shared" si="33"/>
        <v>8.1299999999999997E-2</v>
      </c>
      <c r="N90" s="3493">
        <f t="shared" si="31"/>
        <v>-7.832898172323759E-3</v>
      </c>
      <c r="O90" s="3339">
        <f t="shared" si="34"/>
        <v>0</v>
      </c>
      <c r="P90" s="3339">
        <v>772300</v>
      </c>
      <c r="Q90" s="3339">
        <f t="shared" si="35"/>
        <v>1016</v>
      </c>
      <c r="R90" s="3493">
        <f t="shared" si="36"/>
        <v>-7.832898172323759E-3</v>
      </c>
      <c r="U90" s="3500" t="s">
        <v>3898</v>
      </c>
      <c r="V90" s="3499">
        <f t="shared" si="37"/>
        <v>692</v>
      </c>
      <c r="W90" s="3501">
        <f t="shared" si="38"/>
        <v>2.1000000000000001E-2</v>
      </c>
      <c r="X90" s="3502">
        <f t="shared" si="39"/>
        <v>1.4471780028943559E-3</v>
      </c>
      <c r="Y90" s="3498">
        <f t="shared" si="42"/>
        <v>0</v>
      </c>
      <c r="Z90" s="3498">
        <v>154.66</v>
      </c>
      <c r="AA90" s="3498">
        <f t="shared" si="40"/>
        <v>164</v>
      </c>
    </row>
    <row r="91" spans="2:27">
      <c r="B91" s="3459" t="s">
        <v>3899</v>
      </c>
      <c r="C91" s="3458">
        <v>717.29</v>
      </c>
      <c r="D91" s="3235">
        <v>1.9E-2</v>
      </c>
      <c r="E91" s="3212">
        <f t="shared" si="32"/>
        <v>0</v>
      </c>
      <c r="F91">
        <f t="shared" si="41"/>
        <v>0</v>
      </c>
      <c r="G91">
        <v>154.66</v>
      </c>
      <c r="I91" s="3189">
        <f>AVERAGE(C89:C92)</f>
        <v>715.11749999999995</v>
      </c>
      <c r="K91" s="3491" t="s">
        <v>3899</v>
      </c>
      <c r="L91" s="3490">
        <f t="shared" si="30"/>
        <v>377</v>
      </c>
      <c r="M91" s="3492">
        <f t="shared" si="33"/>
        <v>8.8200000000000001E-2</v>
      </c>
      <c r="N91" s="3493">
        <f t="shared" si="31"/>
        <v>-7.8947368421052634E-3</v>
      </c>
      <c r="O91" s="3339">
        <f t="shared" si="34"/>
        <v>0</v>
      </c>
      <c r="P91" s="3339">
        <v>772300</v>
      </c>
      <c r="Q91" s="3339">
        <f t="shared" si="35"/>
        <v>1029</v>
      </c>
      <c r="R91" s="3493">
        <f t="shared" si="36"/>
        <v>-7.8947368421052634E-3</v>
      </c>
      <c r="U91" s="3500" t="s">
        <v>3899</v>
      </c>
      <c r="V91" s="3499">
        <f t="shared" si="37"/>
        <v>693</v>
      </c>
      <c r="W91" s="3501">
        <f t="shared" si="38"/>
        <v>1.6E-2</v>
      </c>
      <c r="X91" s="3502">
        <f t="shared" si="39"/>
        <v>1.4450867052023121E-3</v>
      </c>
      <c r="Y91" s="3498">
        <f t="shared" si="42"/>
        <v>0</v>
      </c>
      <c r="Z91" s="3498">
        <v>154.66</v>
      </c>
      <c r="AA91" s="3498">
        <f t="shared" si="40"/>
        <v>164</v>
      </c>
    </row>
    <row r="92" spans="2:27">
      <c r="B92" s="3459" t="s">
        <v>3900</v>
      </c>
      <c r="C92" s="3458">
        <v>711.46</v>
      </c>
      <c r="D92" s="3235">
        <v>2.9000000000000001E-2</v>
      </c>
      <c r="E92" s="3212">
        <f t="shared" si="32"/>
        <v>-8.1278144125805848E-3</v>
      </c>
      <c r="F92">
        <f t="shared" si="41"/>
        <v>0</v>
      </c>
      <c r="G92">
        <v>154.66</v>
      </c>
      <c r="H92" s="3248"/>
      <c r="I92" s="3">
        <f>G92</f>
        <v>154.66</v>
      </c>
      <c r="K92" s="3491" t="s">
        <v>3900</v>
      </c>
      <c r="L92" s="3490">
        <f t="shared" si="30"/>
        <v>375</v>
      </c>
      <c r="M92" s="3492">
        <f t="shared" si="33"/>
        <v>0.125</v>
      </c>
      <c r="N92" s="3493">
        <f t="shared" si="31"/>
        <v>-5.3050397877984082E-3</v>
      </c>
      <c r="O92" s="3339">
        <f t="shared" si="34"/>
        <v>0</v>
      </c>
      <c r="P92" s="3339">
        <v>772300</v>
      </c>
      <c r="Q92" s="3339">
        <f t="shared" si="35"/>
        <v>1106</v>
      </c>
      <c r="R92" s="3493">
        <f t="shared" si="36"/>
        <v>-5.3050397877984082E-3</v>
      </c>
      <c r="U92" s="3500" t="s">
        <v>3900</v>
      </c>
      <c r="V92" s="3499">
        <f t="shared" si="37"/>
        <v>691</v>
      </c>
      <c r="W92" s="3501">
        <f t="shared" si="38"/>
        <v>2.5000000000000001E-2</v>
      </c>
      <c r="X92" s="3502">
        <f t="shared" si="39"/>
        <v>-2.886002886002886E-3</v>
      </c>
      <c r="Y92" s="3498">
        <f t="shared" si="42"/>
        <v>0</v>
      </c>
      <c r="Z92" s="3498">
        <v>154.66</v>
      </c>
      <c r="AA92" s="3498">
        <f t="shared" si="40"/>
        <v>167</v>
      </c>
    </row>
    <row r="93" spans="2:27">
      <c r="B93" s="3459" t="s">
        <v>3992</v>
      </c>
      <c r="C93" s="3458">
        <v>707.87</v>
      </c>
      <c r="D93" s="3235">
        <v>0.03</v>
      </c>
      <c r="E93" s="3212">
        <f t="shared" si="32"/>
        <v>-5.0459618249796634E-3</v>
      </c>
      <c r="F93">
        <f t="shared" si="41"/>
        <v>0</v>
      </c>
      <c r="G93">
        <v>154.66</v>
      </c>
      <c r="K93" s="3491" t="s">
        <v>3992</v>
      </c>
      <c r="L93" s="3490">
        <f t="shared" si="30"/>
        <v>371</v>
      </c>
      <c r="M93" s="3492">
        <f t="shared" si="33"/>
        <v>0.12770000000000001</v>
      </c>
      <c r="N93" s="3493">
        <f t="shared" si="31"/>
        <v>-1.0666666666666666E-2</v>
      </c>
      <c r="O93" s="3339">
        <f t="shared" si="34"/>
        <v>0</v>
      </c>
      <c r="P93" s="3339">
        <v>772300</v>
      </c>
      <c r="Q93" s="3339">
        <f t="shared" si="35"/>
        <v>1105</v>
      </c>
      <c r="R93" s="3493">
        <f t="shared" si="36"/>
        <v>-1.0666666666666666E-2</v>
      </c>
      <c r="U93" s="3500" t="s">
        <v>3992</v>
      </c>
      <c r="V93" s="3499">
        <f t="shared" si="37"/>
        <v>689</v>
      </c>
      <c r="W93" s="3501">
        <f t="shared" si="38"/>
        <v>2.4500000000000001E-2</v>
      </c>
      <c r="X93" s="3502">
        <f t="shared" si="39"/>
        <v>-2.8943560057887118E-3</v>
      </c>
      <c r="Y93" s="3498">
        <f t="shared" si="42"/>
        <v>0</v>
      </c>
      <c r="Z93" s="3498">
        <v>154.66</v>
      </c>
      <c r="AA93" s="3498">
        <f t="shared" si="40"/>
        <v>167</v>
      </c>
    </row>
    <row r="94" spans="2:27">
      <c r="B94" s="3459" t="s">
        <v>3993</v>
      </c>
      <c r="C94" s="3458">
        <v>682</v>
      </c>
      <c r="D94" s="3235">
        <v>2.9000000000000001E-2</v>
      </c>
      <c r="E94" s="3212">
        <f t="shared" si="32"/>
        <v>-3.6546258493791242E-2</v>
      </c>
      <c r="F94">
        <f t="shared" si="41"/>
        <v>5</v>
      </c>
      <c r="G94">
        <v>159.66</v>
      </c>
      <c r="H94" s="3248"/>
      <c r="I94" s="3267">
        <f>AVERAGE(D93:D96)</f>
        <v>2.7999999999999997E-2</v>
      </c>
      <c r="K94" s="3491" t="s">
        <v>3993</v>
      </c>
      <c r="L94" s="3490">
        <f t="shared" si="30"/>
        <v>358</v>
      </c>
      <c r="M94" s="3492">
        <f t="shared" si="33"/>
        <v>0.14599999999999999</v>
      </c>
      <c r="N94" s="3493">
        <f t="shared" si="31"/>
        <v>-3.5040431266846361E-2</v>
      </c>
      <c r="O94" s="3339">
        <f t="shared" si="34"/>
        <v>0</v>
      </c>
      <c r="P94" s="3339">
        <v>772300</v>
      </c>
      <c r="Q94" s="3339">
        <f t="shared" si="35"/>
        <v>1120</v>
      </c>
      <c r="R94" s="3493">
        <f t="shared" si="36"/>
        <v>-3.5040431266846361E-2</v>
      </c>
      <c r="U94" s="3500" t="s">
        <v>3993</v>
      </c>
      <c r="V94" s="3499">
        <f t="shared" si="37"/>
        <v>673</v>
      </c>
      <c r="W94" s="3501">
        <f t="shared" si="38"/>
        <v>3.1E-2</v>
      </c>
      <c r="X94" s="3502">
        <f t="shared" si="39"/>
        <v>-2.3222060957910014E-2</v>
      </c>
      <c r="Y94" s="3498">
        <f t="shared" si="42"/>
        <v>5</v>
      </c>
      <c r="Z94" s="3498">
        <v>159.66</v>
      </c>
      <c r="AA94" s="3498">
        <f t="shared" si="40"/>
        <v>170</v>
      </c>
    </row>
    <row r="95" spans="2:27">
      <c r="B95" s="3459" t="s">
        <v>3994</v>
      </c>
      <c r="C95" s="3458">
        <v>662.98</v>
      </c>
      <c r="D95" s="3235">
        <v>2.5999999999999999E-2</v>
      </c>
      <c r="E95" s="3212">
        <f t="shared" si="32"/>
        <v>-2.7888563049853345E-2</v>
      </c>
      <c r="F95">
        <f t="shared" si="41"/>
        <v>0</v>
      </c>
      <c r="G95">
        <v>159.66</v>
      </c>
      <c r="H95" s="3248"/>
      <c r="I95" s="3189">
        <f>AVERAGE(C93:C96)</f>
        <v>673.95749999999998</v>
      </c>
      <c r="K95" s="3491" t="s">
        <v>3994</v>
      </c>
      <c r="L95" s="3490">
        <f t="shared" si="30"/>
        <v>352</v>
      </c>
      <c r="M95" s="3492">
        <f t="shared" si="33"/>
        <v>0.1517</v>
      </c>
      <c r="N95" s="3493">
        <f t="shared" si="31"/>
        <v>-1.6759776536312849E-2</v>
      </c>
      <c r="O95" s="3339">
        <f t="shared" si="34"/>
        <v>0</v>
      </c>
      <c r="P95" s="3339">
        <v>772300</v>
      </c>
      <c r="Q95" s="3339">
        <f t="shared" si="35"/>
        <v>1134</v>
      </c>
      <c r="R95" s="3493">
        <f t="shared" si="36"/>
        <v>-1.6759776536312849E-2</v>
      </c>
      <c r="U95" s="3500" t="s">
        <v>3994</v>
      </c>
      <c r="V95" s="3499">
        <f t="shared" si="37"/>
        <v>661</v>
      </c>
      <c r="W95" s="3501">
        <f t="shared" si="38"/>
        <v>3.1E-2</v>
      </c>
      <c r="X95" s="3502">
        <f t="shared" si="39"/>
        <v>-1.7830609212481426E-2</v>
      </c>
      <c r="Y95" s="3498">
        <f t="shared" si="42"/>
        <v>0</v>
      </c>
      <c r="Z95" s="3498">
        <v>159.66</v>
      </c>
      <c r="AA95" s="3498">
        <f t="shared" si="40"/>
        <v>170</v>
      </c>
    </row>
    <row r="96" spans="2:27">
      <c r="B96" s="3459" t="s">
        <v>3995</v>
      </c>
      <c r="C96" s="3458">
        <v>642.98</v>
      </c>
      <c r="D96" s="3249">
        <v>2.7E-2</v>
      </c>
      <c r="E96" s="3212">
        <f t="shared" si="32"/>
        <v>-3.0166822528583062E-2</v>
      </c>
      <c r="F96">
        <f t="shared" si="41"/>
        <v>0</v>
      </c>
      <c r="G96">
        <v>159.66</v>
      </c>
      <c r="H96" s="3248"/>
      <c r="I96" s="3">
        <f>G96</f>
        <v>159.66</v>
      </c>
      <c r="K96" s="3491" t="s">
        <v>3995</v>
      </c>
      <c r="L96" s="3490">
        <f t="shared" si="30"/>
        <v>343</v>
      </c>
      <c r="M96" s="3492">
        <f t="shared" si="33"/>
        <v>0.16070000000000001</v>
      </c>
      <c r="N96" s="3493">
        <f t="shared" si="31"/>
        <v>-2.556818181818182E-2</v>
      </c>
      <c r="O96" s="3339">
        <f t="shared" si="34"/>
        <v>124000</v>
      </c>
      <c r="P96" s="3339">
        <v>896300</v>
      </c>
      <c r="Q96" s="3339">
        <f t="shared" si="35"/>
        <v>1168</v>
      </c>
      <c r="R96" s="3493">
        <f t="shared" si="36"/>
        <v>-2.556818181818182E-2</v>
      </c>
      <c r="U96" s="3500" t="s">
        <v>3995</v>
      </c>
      <c r="V96" s="3499">
        <f t="shared" si="37"/>
        <v>647</v>
      </c>
      <c r="W96" s="3501">
        <f t="shared" si="38"/>
        <v>3.2500000000000001E-2</v>
      </c>
      <c r="X96" s="3502">
        <f t="shared" si="39"/>
        <v>-2.118003025718608E-2</v>
      </c>
      <c r="Y96" s="3498">
        <f t="shared" si="42"/>
        <v>0</v>
      </c>
      <c r="Z96" s="3498">
        <v>159.66</v>
      </c>
      <c r="AA96" s="3498">
        <f t="shared" si="40"/>
        <v>170</v>
      </c>
    </row>
    <row r="97" spans="21:28">
      <c r="AA97" s="3"/>
    </row>
    <row r="100" spans="21:28">
      <c r="U100" s="3938" t="s">
        <v>4326</v>
      </c>
      <c r="V100" s="3939"/>
      <c r="W100" s="3939"/>
      <c r="X100" s="3939"/>
      <c r="Y100" s="3490"/>
      <c r="Z100" s="3490"/>
      <c r="AA100" s="3339"/>
      <c r="AB100" s="3339"/>
    </row>
    <row r="101" spans="21:28">
      <c r="U101" s="3490"/>
      <c r="V101" s="3490" t="s">
        <v>3786</v>
      </c>
      <c r="W101" s="3490" t="s">
        <v>3787</v>
      </c>
      <c r="X101" s="3339" t="s">
        <v>3788</v>
      </c>
      <c r="Y101" s="3490" t="s">
        <v>3789</v>
      </c>
      <c r="Z101" s="3490" t="s">
        <v>3806</v>
      </c>
      <c r="AA101" s="3490" t="s">
        <v>3791</v>
      </c>
      <c r="AB101" s="3490"/>
    </row>
    <row r="102" spans="21:28">
      <c r="U102" s="3491"/>
      <c r="V102" s="3490"/>
      <c r="W102" s="3492"/>
      <c r="X102" s="3339"/>
      <c r="Y102" s="3339"/>
      <c r="Z102" s="3339"/>
      <c r="AA102" s="3339"/>
      <c r="AB102" s="3339"/>
    </row>
    <row r="103" spans="21:28">
      <c r="U103" s="3491" t="s">
        <v>3886</v>
      </c>
      <c r="V103" s="3490">
        <f>ROUND((C5+L5)/2,0)</f>
        <v>376</v>
      </c>
      <c r="W103" s="3492">
        <f>ROUND((D5+M5)/2,4)</f>
        <v>5.9499999999999997E-2</v>
      </c>
      <c r="X103" s="3493"/>
      <c r="Y103" s="3339">
        <f>Z103-Z102</f>
        <v>843800</v>
      </c>
      <c r="Z103" s="3339">
        <v>843800</v>
      </c>
      <c r="AA103" s="3339">
        <f>ROUND((G5+Q5)/2,0)</f>
        <v>781</v>
      </c>
      <c r="AB103" s="3493"/>
    </row>
    <row r="104" spans="21:28">
      <c r="U104" s="3491" t="s">
        <v>3887</v>
      </c>
      <c r="V104" s="3490">
        <f t="shared" ref="V104:V121" si="43">ROUND((C6+L6)/2,0)</f>
        <v>377</v>
      </c>
      <c r="W104" s="3492">
        <f t="shared" ref="W104:W121" si="44">ROUND((D6+M6)/2,4)</f>
        <v>5.3499999999999999E-2</v>
      </c>
      <c r="X104" s="3493">
        <f>(V104-V103)/V103</f>
        <v>2.6595744680851063E-3</v>
      </c>
      <c r="Y104" s="3339">
        <f t="shared" ref="Y104:Y121" si="45">Z104-Z103</f>
        <v>0</v>
      </c>
      <c r="Z104" s="3339">
        <v>843800</v>
      </c>
      <c r="AA104" s="3339">
        <f t="shared" ref="AA104:AA121" si="46">ROUND((G6+Q6)/2,0)</f>
        <v>815</v>
      </c>
      <c r="AB104" s="3493"/>
    </row>
    <row r="105" spans="21:28">
      <c r="U105" s="3491" t="s">
        <v>3888</v>
      </c>
      <c r="V105" s="3490">
        <f t="shared" si="43"/>
        <v>380</v>
      </c>
      <c r="W105" s="3492">
        <f t="shared" si="44"/>
        <v>5.2499999999999998E-2</v>
      </c>
      <c r="X105" s="3493">
        <f t="shared" ref="X105:X121" si="47">(V105-V104)/V104</f>
        <v>7.9575596816976128E-3</v>
      </c>
      <c r="Y105" s="3339">
        <f t="shared" si="45"/>
        <v>-71500</v>
      </c>
      <c r="Z105" s="3339">
        <v>772300</v>
      </c>
      <c r="AA105" s="3339">
        <f t="shared" si="46"/>
        <v>833</v>
      </c>
      <c r="AB105" s="3493"/>
    </row>
    <row r="106" spans="21:28">
      <c r="U106" s="3491" t="s">
        <v>3889</v>
      </c>
      <c r="V106" s="3490">
        <f t="shared" si="43"/>
        <v>380</v>
      </c>
      <c r="W106" s="3492">
        <f t="shared" si="44"/>
        <v>5.6000000000000001E-2</v>
      </c>
      <c r="X106" s="3493">
        <f t="shared" si="47"/>
        <v>0</v>
      </c>
      <c r="Y106" s="3339">
        <f t="shared" si="45"/>
        <v>0</v>
      </c>
      <c r="Z106" s="3339">
        <v>772300</v>
      </c>
      <c r="AA106" s="3339">
        <f t="shared" si="46"/>
        <v>847</v>
      </c>
      <c r="AB106" s="3493"/>
    </row>
    <row r="107" spans="21:28">
      <c r="U107" s="3491" t="s">
        <v>3890</v>
      </c>
      <c r="V107" s="3490">
        <f t="shared" si="43"/>
        <v>383</v>
      </c>
      <c r="W107" s="3492">
        <f t="shared" si="44"/>
        <v>6.7500000000000004E-2</v>
      </c>
      <c r="X107" s="3493">
        <f t="shared" si="47"/>
        <v>7.8947368421052634E-3</v>
      </c>
      <c r="Y107" s="3339">
        <f t="shared" si="45"/>
        <v>0</v>
      </c>
      <c r="Z107" s="3339">
        <v>772300</v>
      </c>
      <c r="AA107" s="3339">
        <f t="shared" si="46"/>
        <v>871</v>
      </c>
      <c r="AB107" s="3493"/>
    </row>
    <row r="108" spans="21:28">
      <c r="U108" s="3491" t="s">
        <v>3891</v>
      </c>
      <c r="V108" s="3490">
        <f t="shared" si="43"/>
        <v>384</v>
      </c>
      <c r="W108" s="3492">
        <f t="shared" si="44"/>
        <v>5.9499999999999997E-2</v>
      </c>
      <c r="X108" s="3493">
        <f t="shared" si="47"/>
        <v>2.6109660574412533E-3</v>
      </c>
      <c r="Y108" s="3339">
        <f t="shared" si="45"/>
        <v>0</v>
      </c>
      <c r="Z108" s="3339">
        <v>772300</v>
      </c>
      <c r="AA108" s="3339">
        <f t="shared" si="46"/>
        <v>871</v>
      </c>
      <c r="AB108" s="3493"/>
    </row>
    <row r="109" spans="21:28">
      <c r="U109" s="3491" t="s">
        <v>3892</v>
      </c>
      <c r="V109" s="3490">
        <f t="shared" si="43"/>
        <v>385</v>
      </c>
      <c r="W109" s="3492">
        <f t="shared" si="44"/>
        <v>7.3999999999999996E-2</v>
      </c>
      <c r="X109" s="3493">
        <f t="shared" si="47"/>
        <v>2.6041666666666665E-3</v>
      </c>
      <c r="Y109" s="3339">
        <f t="shared" si="45"/>
        <v>0</v>
      </c>
      <c r="Z109" s="3339">
        <v>772300</v>
      </c>
      <c r="AA109" s="3339">
        <f t="shared" si="46"/>
        <v>912</v>
      </c>
      <c r="AB109" s="3493"/>
    </row>
    <row r="110" spans="21:28">
      <c r="U110" s="3491" t="s">
        <v>3893</v>
      </c>
      <c r="V110" s="3490">
        <f t="shared" si="43"/>
        <v>381</v>
      </c>
      <c r="W110" s="3492">
        <f t="shared" si="44"/>
        <v>6.3500000000000001E-2</v>
      </c>
      <c r="X110" s="3493">
        <f t="shared" si="47"/>
        <v>-1.038961038961039E-2</v>
      </c>
      <c r="Y110" s="3339">
        <f t="shared" si="45"/>
        <v>0</v>
      </c>
      <c r="Z110" s="3339">
        <v>772300</v>
      </c>
      <c r="AA110" s="3339">
        <f t="shared" si="46"/>
        <v>931</v>
      </c>
      <c r="AB110" s="3493"/>
    </row>
    <row r="111" spans="21:28">
      <c r="U111" s="3491" t="s">
        <v>3894</v>
      </c>
      <c r="V111" s="3490">
        <f t="shared" si="43"/>
        <v>389</v>
      </c>
      <c r="W111" s="3492">
        <f t="shared" si="44"/>
        <v>5.1999999999999998E-2</v>
      </c>
      <c r="X111" s="3493">
        <f t="shared" si="47"/>
        <v>2.0997375328083989E-2</v>
      </c>
      <c r="Y111" s="3339">
        <f t="shared" si="45"/>
        <v>0</v>
      </c>
      <c r="Z111" s="3339">
        <v>772300</v>
      </c>
      <c r="AA111" s="3339">
        <f t="shared" si="46"/>
        <v>935</v>
      </c>
      <c r="AB111" s="3493"/>
    </row>
    <row r="112" spans="21:28">
      <c r="U112" s="3491" t="s">
        <v>3895</v>
      </c>
      <c r="V112" s="3490">
        <f t="shared" si="43"/>
        <v>397</v>
      </c>
      <c r="W112" s="3492">
        <f t="shared" si="44"/>
        <v>5.5500000000000001E-2</v>
      </c>
      <c r="X112" s="3493">
        <f t="shared" si="47"/>
        <v>2.056555269922879E-2</v>
      </c>
      <c r="Y112" s="3339">
        <f t="shared" si="45"/>
        <v>0</v>
      </c>
      <c r="Z112" s="3339">
        <v>772300</v>
      </c>
      <c r="AA112" s="3339">
        <f t="shared" si="46"/>
        <v>940</v>
      </c>
      <c r="AB112" s="3493"/>
    </row>
    <row r="113" spans="7:28">
      <c r="U113" s="3491" t="s">
        <v>3896</v>
      </c>
      <c r="V113" s="3490">
        <f t="shared" si="43"/>
        <v>393</v>
      </c>
      <c r="W113" s="3492">
        <f t="shared" si="44"/>
        <v>6.5000000000000002E-2</v>
      </c>
      <c r="X113" s="3493">
        <f t="shared" si="47"/>
        <v>-1.0075566750629723E-2</v>
      </c>
      <c r="Y113" s="3339">
        <f t="shared" si="45"/>
        <v>0</v>
      </c>
      <c r="Z113" s="3339">
        <v>772300</v>
      </c>
      <c r="AA113" s="3339">
        <f t="shared" si="46"/>
        <v>957</v>
      </c>
      <c r="AB113" s="3493"/>
    </row>
    <row r="114" spans="7:28">
      <c r="U114" s="3491" t="s">
        <v>3897</v>
      </c>
      <c r="V114" s="3490">
        <f t="shared" si="43"/>
        <v>391</v>
      </c>
      <c r="W114" s="3492">
        <f t="shared" si="44"/>
        <v>6.8599999999999994E-2</v>
      </c>
      <c r="X114" s="3493">
        <f t="shared" si="47"/>
        <v>-5.0890585241730284E-3</v>
      </c>
      <c r="Y114" s="3339">
        <f t="shared" si="45"/>
        <v>0</v>
      </c>
      <c r="Z114" s="3339">
        <v>772300</v>
      </c>
      <c r="AA114" s="3339">
        <f t="shared" si="46"/>
        <v>963</v>
      </c>
      <c r="AB114" s="3493"/>
    </row>
    <row r="115" spans="7:28">
      <c r="U115" s="3491" t="s">
        <v>3898</v>
      </c>
      <c r="V115" s="3490">
        <f t="shared" si="43"/>
        <v>387</v>
      </c>
      <c r="W115" s="3492">
        <f t="shared" si="44"/>
        <v>7.9000000000000001E-2</v>
      </c>
      <c r="X115" s="3493">
        <f t="shared" si="47"/>
        <v>-1.0230179028132993E-2</v>
      </c>
      <c r="Y115" s="3339">
        <f t="shared" si="45"/>
        <v>0</v>
      </c>
      <c r="Z115" s="3339">
        <v>772300</v>
      </c>
      <c r="AA115" s="3339">
        <f t="shared" si="46"/>
        <v>959</v>
      </c>
      <c r="AB115" s="3493"/>
    </row>
    <row r="116" spans="7:28">
      <c r="U116" s="3491" t="s">
        <v>3899</v>
      </c>
      <c r="V116" s="3490">
        <f t="shared" si="43"/>
        <v>381</v>
      </c>
      <c r="W116" s="3492">
        <f t="shared" si="44"/>
        <v>8.6300000000000002E-2</v>
      </c>
      <c r="X116" s="3493">
        <f t="shared" si="47"/>
        <v>-1.5503875968992248E-2</v>
      </c>
      <c r="Y116" s="3339">
        <f t="shared" si="45"/>
        <v>0</v>
      </c>
      <c r="Z116" s="3339">
        <v>772300</v>
      </c>
      <c r="AA116" s="3339">
        <f t="shared" si="46"/>
        <v>969</v>
      </c>
      <c r="AB116" s="3493"/>
    </row>
    <row r="117" spans="7:28">
      <c r="G117" s="3"/>
      <c r="H117"/>
      <c r="I117"/>
      <c r="U117" s="3491" t="s">
        <v>3900</v>
      </c>
      <c r="V117" s="3490">
        <f t="shared" si="43"/>
        <v>381</v>
      </c>
      <c r="W117" s="3492">
        <f t="shared" si="44"/>
        <v>0.124</v>
      </c>
      <c r="X117" s="3493">
        <f t="shared" si="47"/>
        <v>0</v>
      </c>
      <c r="Y117" s="3339">
        <f t="shared" si="45"/>
        <v>0</v>
      </c>
      <c r="Z117" s="3339">
        <v>772300</v>
      </c>
      <c r="AA117" s="3339">
        <f t="shared" si="46"/>
        <v>1038</v>
      </c>
      <c r="AB117" s="3493"/>
    </row>
    <row r="118" spans="7:28">
      <c r="G118" s="3"/>
      <c r="H118"/>
      <c r="I118"/>
      <c r="U118" s="3491" t="s">
        <v>3992</v>
      </c>
      <c r="V118" s="3490">
        <f t="shared" si="43"/>
        <v>376</v>
      </c>
      <c r="W118" s="3492">
        <f t="shared" si="44"/>
        <v>0.1255</v>
      </c>
      <c r="X118" s="3493">
        <f t="shared" si="47"/>
        <v>-1.3123359580052493E-2</v>
      </c>
      <c r="Y118" s="3339">
        <f t="shared" si="45"/>
        <v>0</v>
      </c>
      <c r="Z118" s="3339">
        <v>772300</v>
      </c>
      <c r="AA118" s="3339">
        <f t="shared" si="46"/>
        <v>1038</v>
      </c>
      <c r="AB118" s="3493"/>
    </row>
    <row r="119" spans="7:28">
      <c r="G119" s="3"/>
      <c r="H119"/>
      <c r="I119"/>
      <c r="U119" s="3491" t="s">
        <v>3993</v>
      </c>
      <c r="V119" s="3490">
        <f t="shared" si="43"/>
        <v>357</v>
      </c>
      <c r="W119" s="3492">
        <f t="shared" si="44"/>
        <v>0.151</v>
      </c>
      <c r="X119" s="3493">
        <f t="shared" si="47"/>
        <v>-5.0531914893617018E-2</v>
      </c>
      <c r="Y119" s="3339">
        <f t="shared" si="45"/>
        <v>0</v>
      </c>
      <c r="Z119" s="3339">
        <v>772300</v>
      </c>
      <c r="AA119" s="3339">
        <f t="shared" si="46"/>
        <v>1056</v>
      </c>
      <c r="AB119" s="3493"/>
    </row>
    <row r="120" spans="7:28">
      <c r="G120" s="3"/>
      <c r="H120"/>
      <c r="I120"/>
      <c r="U120" s="3491" t="s">
        <v>3994</v>
      </c>
      <c r="V120" s="3490">
        <f t="shared" si="43"/>
        <v>350</v>
      </c>
      <c r="W120" s="3492">
        <f t="shared" si="44"/>
        <v>0.1525</v>
      </c>
      <c r="X120" s="3493">
        <f t="shared" si="47"/>
        <v>-1.9607843137254902E-2</v>
      </c>
      <c r="Y120" s="3339">
        <f t="shared" si="45"/>
        <v>0</v>
      </c>
      <c r="Z120" s="3339">
        <v>772300</v>
      </c>
      <c r="AA120" s="3339">
        <f t="shared" si="46"/>
        <v>1065</v>
      </c>
      <c r="AB120" s="3493"/>
    </row>
    <row r="121" spans="7:28">
      <c r="G121" s="3"/>
      <c r="H121"/>
      <c r="I121"/>
      <c r="U121" s="3491" t="s">
        <v>3995</v>
      </c>
      <c r="V121" s="3490">
        <f t="shared" si="43"/>
        <v>340</v>
      </c>
      <c r="W121" s="3492">
        <f t="shared" si="44"/>
        <v>0.16200000000000001</v>
      </c>
      <c r="X121" s="3493">
        <f t="shared" si="47"/>
        <v>-2.8571428571428571E-2</v>
      </c>
      <c r="Y121" s="3339">
        <f t="shared" si="45"/>
        <v>124000</v>
      </c>
      <c r="Z121" s="3339">
        <v>896300</v>
      </c>
      <c r="AA121" s="3339">
        <f t="shared" si="46"/>
        <v>1108</v>
      </c>
      <c r="AB121" s="3493"/>
    </row>
    <row r="122" spans="7:28">
      <c r="G122" s="3"/>
    </row>
  </sheetData>
  <mergeCells count="13">
    <mergeCell ref="U100:X100"/>
    <mergeCell ref="U2:X2"/>
    <mergeCell ref="B27:E27"/>
    <mergeCell ref="K27:N27"/>
    <mergeCell ref="U27:X27"/>
    <mergeCell ref="B75:H75"/>
    <mergeCell ref="K51:N51"/>
    <mergeCell ref="B51:H51"/>
    <mergeCell ref="B2:E2"/>
    <mergeCell ref="K2:N2"/>
    <mergeCell ref="K75:N75"/>
    <mergeCell ref="U51:X51"/>
    <mergeCell ref="U75:AA75"/>
  </mergeCells>
  <phoneticPr fontId="141" type="noConversion"/>
  <hyperlinks>
    <hyperlink ref="AE13" r:id="rId1" display="http://bj.cityhouse.cn/lmarketha/pa00025093dc043/" xr:uid="{00000000-0004-0000-2E00-000000000000}"/>
    <hyperlink ref="AE14" r:id="rId2" display="http://bj.cityhouse.cn/lmarketha/pa00022420dc689/" xr:uid="{00000000-0004-0000-2E00-000001000000}"/>
    <hyperlink ref="AE15" r:id="rId3" display="http://bj.cityhouse.cn/lmarketha/pa00024376dc680/" xr:uid="{00000000-0004-0000-2E00-000002000000}"/>
    <hyperlink ref="AE16" r:id="rId4" display="http://bj.cityhouse.cn/lmarketha/pa00024048dc020/" xr:uid="{00000000-0004-0000-2E00-000003000000}"/>
    <hyperlink ref="AE17" r:id="rId5" display="http://bj.cityhouse.cn/lmarketha/pa0123004cy866/" xr:uid="{00000000-0004-0000-2E00-000004000000}"/>
    <hyperlink ref="AE18" r:id="rId6" display="http://bj.cityhouse.cn/lmarketha/sa0036900dc705/" xr:uid="{00000000-0004-0000-2E00-000005000000}"/>
    <hyperlink ref="AE19" r:id="rId7" display="http://bj.cityhouse.cn/lmarketha/0163022498/" xr:uid="{00000000-0004-0000-2E00-000006000000}"/>
    <hyperlink ref="AE20" r:id="rId8" display="http://bj.cityhouse.cn/lmarketha/pa00022566dc977/" xr:uid="{00000000-0004-0000-2E00-000007000000}"/>
    <hyperlink ref="AE21" r:id="rId9" display="http://bj.cityhouse.cn/lmarketha/pa00025908dc061/" xr:uid="{00000000-0004-0000-2E00-000008000000}"/>
    <hyperlink ref="AE22" r:id="rId10" display="http://bj.cityhouse.cn/lmarketha/pa00023555dc402/" xr:uid="{00000000-0004-0000-2E00-000009000000}"/>
  </hyperlinks>
  <pageMargins left="0.7" right="0.7" top="0.75" bottom="0.75" header="0.3" footer="0.3"/>
  <drawing r:id="rId1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CEF81-EEA2-430F-BDB4-4594D7122516}">
  <dimension ref="A1"/>
  <sheetViews>
    <sheetView topLeftCell="A21" workbookViewId="0">
      <selection activeCell="D5" sqref="D5"/>
    </sheetView>
  </sheetViews>
  <sheetFormatPr defaultRowHeight="13.5"/>
  <sheetData/>
  <phoneticPr fontId="141"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sheetPr>
  <dimension ref="A1:AH118"/>
  <sheetViews>
    <sheetView zoomScale="80" zoomScaleNormal="80" workbookViewId="0">
      <selection activeCell="AA25" sqref="AA25"/>
    </sheetView>
  </sheetViews>
  <sheetFormatPr defaultColWidth="9" defaultRowHeight="12.75"/>
  <cols>
    <col min="1" max="1" width="9" style="2410"/>
    <col min="2" max="6" width="9" style="2410" hidden="1" customWidth="1"/>
    <col min="7" max="7" width="0" style="2448" hidden="1" customWidth="1"/>
    <col min="8" max="8" width="0" style="2410" hidden="1" customWidth="1"/>
    <col min="9" max="12" width="9" style="2410" hidden="1" customWidth="1"/>
    <col min="13" max="13" width="2.25" style="2410" hidden="1" customWidth="1"/>
    <col min="14" max="14" width="9" style="2448" customWidth="1"/>
    <col min="15" max="17" width="9" style="2410" customWidth="1"/>
    <col min="18" max="18" width="2.375" style="2410" customWidth="1"/>
    <col min="19" max="19" width="7.125" style="2448" customWidth="1"/>
    <col min="20" max="22" width="7.125" style="2410" customWidth="1"/>
    <col min="23" max="23" width="12.6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949" t="s">
        <v>1117</v>
      </c>
      <c r="C1" s="3949"/>
      <c r="D1" s="3949"/>
      <c r="E1" s="3949"/>
      <c r="F1" s="3949"/>
      <c r="G1" s="3945" t="s">
        <v>1118</v>
      </c>
      <c r="H1" s="3945"/>
      <c r="I1" s="3945"/>
      <c r="J1" s="3945"/>
      <c r="K1" s="3945"/>
      <c r="L1" s="3945"/>
      <c r="N1" s="3945" t="s">
        <v>1119</v>
      </c>
      <c r="O1" s="3945"/>
      <c r="P1" s="3945"/>
      <c r="Q1" s="3945"/>
      <c r="S1" s="3945" t="s">
        <v>1120</v>
      </c>
      <c r="T1" s="3945"/>
      <c r="U1" s="3945"/>
      <c r="V1" s="3945"/>
      <c r="X1" s="3944" t="s">
        <v>1121</v>
      </c>
      <c r="Y1" s="3945"/>
      <c r="Z1" s="3945"/>
      <c r="AA1" s="3945"/>
      <c r="AB1" s="3945"/>
      <c r="AD1" s="3944" t="s">
        <v>1122</v>
      </c>
      <c r="AE1" s="3945"/>
      <c r="AF1" s="3945"/>
      <c r="AG1" s="3945"/>
      <c r="AH1" s="3945"/>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2852</v>
      </c>
      <c r="B3" s="2395"/>
      <c r="C3" s="2395"/>
      <c r="D3" s="2396"/>
      <c r="E3" s="2396"/>
      <c r="F3" s="2395"/>
      <c r="G3" s="2397"/>
      <c r="H3" s="2398"/>
      <c r="I3" s="2399">
        <f>ROUND(AVERAGE($I4:$I35),2)</f>
        <v>1.7</v>
      </c>
      <c r="J3" s="2399">
        <f>ROUND(AVERAGE($J4:$J35),2)</f>
        <v>1.07</v>
      </c>
      <c r="K3" s="2399">
        <f>ROUND(AVERAGE($K4:$K35),2)</f>
        <v>1.87</v>
      </c>
      <c r="L3" s="2399">
        <f>ROUND(AVERAGE($L4:$L35),2)</f>
        <v>1.24</v>
      </c>
      <c r="N3" s="2397"/>
      <c r="S3" s="2397"/>
      <c r="W3" s="2401"/>
      <c r="X3" s="2402">
        <f>ROUND(SUMPRODUCT(PRODUCT(1+N3:N$34)),4)</f>
        <v>1.6338999999999999</v>
      </c>
      <c r="Y3" s="2402">
        <f>ROUND(SUMPRODUCT(PRODUCT(1+O3:O$34)),4)</f>
        <v>1.3588</v>
      </c>
      <c r="Z3" s="2402">
        <f>Y3</f>
        <v>1.3588</v>
      </c>
      <c r="AA3" s="2402">
        <f>ROUND(SUMPRODUCT(PRODUCT(1+P3:P$34)),4)</f>
        <v>1.7150000000000001</v>
      </c>
      <c r="AB3" s="2402">
        <f>ROUND(SUMPRODUCT(PRODUCT(1+Q3:Q$34)),4)</f>
        <v>1.446</v>
      </c>
      <c r="AD3" s="2403">
        <f>ROUND(AVERAGE(I3:I$35)/100,4)</f>
        <v>1.7000000000000001E-2</v>
      </c>
      <c r="AE3" s="2403">
        <f>ROUND(AVERAGE(J3:J$35)/100,4)</f>
        <v>1.0699999999999999E-2</v>
      </c>
      <c r="AF3" s="2403">
        <f t="shared" ref="AF3:AF33" si="0">AE3</f>
        <v>1.0699999999999999E-2</v>
      </c>
      <c r="AG3" s="2403">
        <f>ROUND(AVERAGE(K3:K$35)/100,4)</f>
        <v>1.8700000000000001E-2</v>
      </c>
      <c r="AH3" s="2403">
        <f>ROUND(AVERAGE(L3:L$35)/100,4)</f>
        <v>1.24E-2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3057</v>
      </c>
      <c r="B5" s="2413">
        <f t="shared" ref="B5:B19" si="1">B6*(1+N5)</f>
        <v>502.50893609650217</v>
      </c>
      <c r="C5" s="2413">
        <f t="shared" ref="C5:C19" si="2">C6*(1+O5)</f>
        <v>350.27569313914915</v>
      </c>
      <c r="D5" s="2413">
        <f t="shared" ref="D5:D24" si="3">C5</f>
        <v>350.27569313914915</v>
      </c>
      <c r="E5" s="2413">
        <f t="shared" ref="E5:E19" si="4">E6*(1+P5)</f>
        <v>725.27220201394141</v>
      </c>
      <c r="F5" s="2413">
        <f t="shared" ref="F5:F19" si="5">F6*(1+Q5)</f>
        <v>332.45017846012797</v>
      </c>
      <c r="G5" s="3058">
        <v>2021</v>
      </c>
      <c r="H5" s="2415">
        <v>3</v>
      </c>
      <c r="I5" s="2416">
        <v>0</v>
      </c>
      <c r="J5" s="2416">
        <v>0</v>
      </c>
      <c r="K5" s="2416">
        <v>0</v>
      </c>
      <c r="L5" s="2416">
        <v>0</v>
      </c>
      <c r="N5" s="2418">
        <f t="shared" ref="N5:Q11" si="6">I5/100</f>
        <v>0</v>
      </c>
      <c r="O5" s="2418">
        <f t="shared" si="6"/>
        <v>0</v>
      </c>
      <c r="P5" s="2418">
        <f t="shared" si="6"/>
        <v>0</v>
      </c>
      <c r="Q5" s="2418">
        <f t="shared" si="6"/>
        <v>0</v>
      </c>
      <c r="S5" s="2419"/>
      <c r="W5" s="2420" t="s">
        <v>2853</v>
      </c>
      <c r="X5" s="2421">
        <f>ROUND(IF(项目基本情况!B3="出让",SUMPRODUCT(PRODUCT(1+N5:N$35)),SUMPRODUCT(PRODUCT(1+N5:N$34))),4)</f>
        <v>1.6338999999999999</v>
      </c>
      <c r="Y5" s="2421">
        <f>ROUND(IF(项目基本情况!B3="出让",SUMPRODUCT(PRODUCT(1+O5:O$35)),SUMPRODUCT(PRODUCT(1+O5:O$34))),4)</f>
        <v>1.3588</v>
      </c>
      <c r="Z5" s="2421">
        <f t="shared" ref="Z5:Z34" si="7">Y5</f>
        <v>1.3588</v>
      </c>
      <c r="AA5" s="2421">
        <f>ROUND(IF(项目基本情况!B3="出让",SUMPRODUCT(PRODUCT(1+P5:P$35)),SUMPRODUCT(PRODUCT(1+P5:P$34))),4)</f>
        <v>1.7150000000000001</v>
      </c>
      <c r="AB5" s="2421">
        <f>ROUND(IF(项目基本情况!B3="出让",SUMPRODUCT(PRODUCT(1+Q5:Q$35)),SUMPRODUCT(PRODUCT(1+Q5:Q$34))),4)</f>
        <v>1.446</v>
      </c>
      <c r="AD5" s="2422">
        <f>ROUND(AVERAGE(I5:I$35)/100,4)</f>
        <v>1.7000000000000001E-2</v>
      </c>
      <c r="AE5" s="2422">
        <f>ROUND(AVERAGE(J5:J$35)/100,4)</f>
        <v>1.0699999999999999E-2</v>
      </c>
      <c r="AF5" s="2422">
        <f t="shared" ref="AF5:AF19" si="8">AE5</f>
        <v>1.0699999999999999E-2</v>
      </c>
      <c r="AG5" s="2422">
        <f>ROUND(AVERAGE(K5:K$35)/100,4)</f>
        <v>1.8700000000000001E-2</v>
      </c>
      <c r="AH5" s="2422">
        <f>ROUND(AVERAGE(L5:L$35)/100,4)</f>
        <v>1.24E-2</v>
      </c>
    </row>
    <row r="6" spans="1:34" s="2430" customFormat="1">
      <c r="A6" s="2423" t="s">
        <v>3056</v>
      </c>
      <c r="B6" s="2424">
        <f t="shared" si="1"/>
        <v>502.50893609650217</v>
      </c>
      <c r="C6" s="2424">
        <f t="shared" si="2"/>
        <v>350.27569313914915</v>
      </c>
      <c r="D6" s="2424">
        <f t="shared" si="3"/>
        <v>350.27569313914915</v>
      </c>
      <c r="E6" s="2424">
        <f t="shared" si="4"/>
        <v>725.27220201394141</v>
      </c>
      <c r="F6" s="2424">
        <f t="shared" si="5"/>
        <v>332.45017846012797</v>
      </c>
      <c r="G6" s="3058">
        <v>2021</v>
      </c>
      <c r="H6" s="2425">
        <v>2</v>
      </c>
      <c r="I6" s="2387">
        <v>0.92</v>
      </c>
      <c r="J6" s="2387">
        <v>0.72</v>
      </c>
      <c r="K6" s="2387">
        <v>0.95</v>
      </c>
      <c r="L6" s="2388">
        <v>1.01</v>
      </c>
      <c r="M6" s="2410"/>
      <c r="N6" s="2426">
        <f t="shared" si="6"/>
        <v>9.1999999999999998E-3</v>
      </c>
      <c r="O6" s="2462">
        <f t="shared" si="6"/>
        <v>7.1999999999999998E-3</v>
      </c>
      <c r="P6" s="2411">
        <f t="shared" si="6"/>
        <v>9.4999999999999998E-3</v>
      </c>
      <c r="Q6" s="2411">
        <f t="shared" si="6"/>
        <v>1.01E-2</v>
      </c>
      <c r="R6" s="2427"/>
      <c r="S6" s="2426"/>
      <c r="T6" s="2411"/>
      <c r="U6" s="2411"/>
      <c r="V6" s="2411"/>
      <c r="W6" s="2428"/>
      <c r="X6" s="2428">
        <f>ROUND(IF(项目基本情况!B4="出让",SUMPRODUCT(PRODUCT(1+N6:N$35)),SUMPRODUCT(PRODUCT(1+N6:N$34))),4)</f>
        <v>1.6338999999999999</v>
      </c>
      <c r="Y6" s="2460">
        <f>ROUND(IF(项目基本情况!B4="出让",SUMPRODUCT(PRODUCT(1+O6:O$35)),SUMPRODUCT(PRODUCT(1+O6:O$34))),4)</f>
        <v>1.3588</v>
      </c>
      <c r="Z6" s="2428">
        <f t="shared" si="7"/>
        <v>1.3588</v>
      </c>
      <c r="AA6" s="2428">
        <f>ROUND(IF(项目基本情况!B4="出让",SUMPRODUCT(PRODUCT(1+P6:P$35)),SUMPRODUCT(PRODUCT(1+P6:P$34))),4)</f>
        <v>1.7150000000000001</v>
      </c>
      <c r="AB6" s="2428">
        <f>ROUND(IF(项目基本情况!B4="出让",SUMPRODUCT(PRODUCT(1+Q6:Q$35)),SUMPRODUCT(PRODUCT(1+Q6:Q$34))),4)</f>
        <v>1.446</v>
      </c>
      <c r="AC6" s="2428"/>
      <c r="AD6" s="2429">
        <f>ROUND(AVERAGE(I6:I$35)/100,4)</f>
        <v>1.7600000000000001E-2</v>
      </c>
      <c r="AE6" s="2429">
        <f>ROUND(AVERAGE(J6:J$35)/100,4)</f>
        <v>1.11E-2</v>
      </c>
      <c r="AF6" s="2429">
        <f t="shared" si="8"/>
        <v>1.11E-2</v>
      </c>
      <c r="AG6" s="2429">
        <f>ROUND(AVERAGE(K6:K$35)/100,4)</f>
        <v>1.9400000000000001E-2</v>
      </c>
      <c r="AH6" s="2429">
        <f>ROUND(AVERAGE(L6:L$35)/100,4)</f>
        <v>1.2800000000000001E-2</v>
      </c>
    </row>
    <row r="7" spans="1:34" s="2430" customFormat="1">
      <c r="A7" s="2423" t="s">
        <v>3055</v>
      </c>
      <c r="B7" s="2424">
        <f t="shared" si="1"/>
        <v>497.92799851020823</v>
      </c>
      <c r="C7" s="2424">
        <f t="shared" si="2"/>
        <v>347.77173663537445</v>
      </c>
      <c r="D7" s="2424">
        <f t="shared" si="3"/>
        <v>347.77173663537445</v>
      </c>
      <c r="E7" s="2424">
        <f t="shared" si="4"/>
        <v>718.44695593258189</v>
      </c>
      <c r="F7" s="2424">
        <f t="shared" si="5"/>
        <v>329.12600580153247</v>
      </c>
      <c r="G7" s="3042">
        <v>2021</v>
      </c>
      <c r="H7" s="2425">
        <v>1</v>
      </c>
      <c r="I7" s="2387">
        <v>0.97</v>
      </c>
      <c r="J7" s="2387">
        <v>0.16</v>
      </c>
      <c r="K7" s="2387">
        <v>1.1100000000000001</v>
      </c>
      <c r="L7" s="2388">
        <v>0.36</v>
      </c>
      <c r="M7" s="2410"/>
      <c r="N7" s="2426">
        <f t="shared" si="6"/>
        <v>9.7000000000000003E-3</v>
      </c>
      <c r="O7" s="2462">
        <f t="shared" si="6"/>
        <v>1.6000000000000001E-3</v>
      </c>
      <c r="P7" s="2411">
        <f t="shared" si="6"/>
        <v>1.11E-2</v>
      </c>
      <c r="Q7" s="2411">
        <f t="shared" si="6"/>
        <v>3.5999999999999999E-3</v>
      </c>
      <c r="R7" s="2427"/>
      <c r="S7" s="2426">
        <f>B7/B8-1</f>
        <v>9.7000000000000419E-3</v>
      </c>
      <c r="T7" s="2411">
        <f>C7/C8-1</f>
        <v>1.6000000000000458E-3</v>
      </c>
      <c r="U7" s="2411">
        <f>D7/D8-1</f>
        <v>1.6000000000000458E-3</v>
      </c>
      <c r="V7" s="2411">
        <f>E7/E8-1</f>
        <v>1.110000000000011E-2</v>
      </c>
      <c r="W7" s="2428"/>
      <c r="X7" s="2428">
        <f>ROUND(IF(项目基本情况!B5="出让",SUMPRODUCT(PRODUCT(1+N7:N$35)),SUMPRODUCT(PRODUCT(1+N7:N$34))),4)</f>
        <v>1.619</v>
      </c>
      <c r="Y7" s="2460">
        <f>ROUND(IF(项目基本情况!B5="出让",SUMPRODUCT(PRODUCT(1+O7:O$35)),SUMPRODUCT(PRODUCT(1+O7:O$34))),4)</f>
        <v>1.3491</v>
      </c>
      <c r="Z7" s="2428">
        <f t="shared" si="7"/>
        <v>1.3491</v>
      </c>
      <c r="AA7" s="2428">
        <f>ROUND(IF(项目基本情况!B5="出让",SUMPRODUCT(PRODUCT(1+P7:P$35)),SUMPRODUCT(PRODUCT(1+P7:P$34))),4)</f>
        <v>1.6988000000000001</v>
      </c>
      <c r="AB7" s="2428">
        <f>ROUND(IF(项目基本情况!B5="出让",SUMPRODUCT(PRODUCT(1+Q7:Q$35)),SUMPRODUCT(PRODUCT(1+Q7:Q$34))),4)</f>
        <v>1.4315</v>
      </c>
      <c r="AC7" s="2428"/>
      <c r="AD7" s="2429">
        <f>ROUND(AVERAGE(I7:I$35)/100,4)</f>
        <v>1.7899999999999999E-2</v>
      </c>
      <c r="AE7" s="2429">
        <f>ROUND(AVERAGE(J7:J$35)/100,4)</f>
        <v>1.12E-2</v>
      </c>
      <c r="AF7" s="2429">
        <f t="shared" si="8"/>
        <v>1.12E-2</v>
      </c>
      <c r="AG7" s="2429">
        <f>ROUND(AVERAGE(K7:K$35)/100,4)</f>
        <v>1.9699999999999999E-2</v>
      </c>
      <c r="AH7" s="2429">
        <f>ROUND(AVERAGE(L7:L$35)/100,4)</f>
        <v>1.29E-2</v>
      </c>
    </row>
    <row r="8" spans="1:34" s="2430" customFormat="1">
      <c r="A8" s="2423" t="s">
        <v>3053</v>
      </c>
      <c r="B8" s="2424">
        <f t="shared" si="1"/>
        <v>493.14449689037161</v>
      </c>
      <c r="C8" s="2424">
        <f t="shared" si="2"/>
        <v>347.21619073020611</v>
      </c>
      <c r="D8" s="2424">
        <f t="shared" si="3"/>
        <v>347.21619073020611</v>
      </c>
      <c r="E8" s="2424">
        <f t="shared" si="4"/>
        <v>710.55974278763904</v>
      </c>
      <c r="F8" s="2424">
        <f t="shared" si="5"/>
        <v>327.94540235306141</v>
      </c>
      <c r="G8" s="3041">
        <v>2020</v>
      </c>
      <c r="H8" s="2425">
        <v>4</v>
      </c>
      <c r="I8" s="2387">
        <v>2.0699999999999998</v>
      </c>
      <c r="J8" s="2387">
        <v>0.37</v>
      </c>
      <c r="K8" s="2387">
        <v>2.35</v>
      </c>
      <c r="L8" s="2388">
        <v>2.69</v>
      </c>
      <c r="M8" s="2410"/>
      <c r="N8" s="2426">
        <f t="shared" si="6"/>
        <v>2.07E-2</v>
      </c>
      <c r="O8" s="2462">
        <f t="shared" si="6"/>
        <v>3.7000000000000002E-3</v>
      </c>
      <c r="P8" s="2411">
        <f t="shared" si="6"/>
        <v>2.35E-2</v>
      </c>
      <c r="Q8" s="2411">
        <f t="shared" si="6"/>
        <v>2.69E-2</v>
      </c>
      <c r="R8" s="2427"/>
      <c r="S8" s="2426"/>
      <c r="T8" s="2411"/>
      <c r="U8" s="2411"/>
      <c r="V8" s="2411"/>
      <c r="W8" s="2428"/>
      <c r="X8" s="2428">
        <f>ROUND(IF(项目基本情况!B6="出让",SUMPRODUCT(PRODUCT(1+N8:N$35)),SUMPRODUCT(PRODUCT(1+N8:N$34))),4)</f>
        <v>1.6034999999999999</v>
      </c>
      <c r="Y8" s="2460">
        <f>ROUND(IF(项目基本情况!B6="出让",SUMPRODUCT(PRODUCT(1+O8:O$35)),SUMPRODUCT(PRODUCT(1+O8:O$34))),4)</f>
        <v>1.3469</v>
      </c>
      <c r="Z8" s="2428">
        <f t="shared" si="7"/>
        <v>1.3469</v>
      </c>
      <c r="AA8" s="2428">
        <f>ROUND(IF(项目基本情况!B6="出让",SUMPRODUCT(PRODUCT(1+P8:P$35)),SUMPRODUCT(PRODUCT(1+P8:P$34))),4)</f>
        <v>1.6801999999999999</v>
      </c>
      <c r="AB8" s="2428">
        <f>ROUND(IF(项目基本情况!B6="出让",SUMPRODUCT(PRODUCT(1+Q8:Q$35)),SUMPRODUCT(PRODUCT(1+Q8:Q$34))),4)</f>
        <v>1.4263999999999999</v>
      </c>
      <c r="AC8" s="2428"/>
      <c r="AD8" s="2429">
        <f>ROUND(AVERAGE(I8:I$35)/100,4)</f>
        <v>1.8200000000000001E-2</v>
      </c>
      <c r="AE8" s="2429">
        <f>ROUND(AVERAGE(J8:J$35)/100,4)</f>
        <v>1.1599999999999999E-2</v>
      </c>
      <c r="AF8" s="2429">
        <f t="shared" si="8"/>
        <v>1.1599999999999999E-2</v>
      </c>
      <c r="AG8" s="2429">
        <f>ROUND(AVERAGE(K8:K$35)/100,4)</f>
        <v>0.02</v>
      </c>
      <c r="AH8" s="2429">
        <f>ROUND(AVERAGE(L8:L$35)/100,4)</f>
        <v>1.3299999999999999E-2</v>
      </c>
    </row>
    <row r="9" spans="1:34" s="2430" customFormat="1">
      <c r="A9" s="2423" t="s">
        <v>3052</v>
      </c>
      <c r="B9" s="2424">
        <f t="shared" si="1"/>
        <v>483.1434279321756</v>
      </c>
      <c r="C9" s="2424">
        <f t="shared" si="2"/>
        <v>345.93622669144776</v>
      </c>
      <c r="D9" s="2424">
        <f t="shared" si="3"/>
        <v>345.93622669144776</v>
      </c>
      <c r="E9" s="2424">
        <f t="shared" si="4"/>
        <v>694.24498562544113</v>
      </c>
      <c r="F9" s="2424">
        <f t="shared" si="5"/>
        <v>319.35475932716082</v>
      </c>
      <c r="G9" s="3038">
        <v>2020</v>
      </c>
      <c r="H9" s="2425">
        <v>3</v>
      </c>
      <c r="I9" s="2387">
        <v>0.36</v>
      </c>
      <c r="J9" s="2387">
        <v>-0.39</v>
      </c>
      <c r="K9" s="2387">
        <v>0.49</v>
      </c>
      <c r="L9" s="2388">
        <v>7.0000000000000007E-2</v>
      </c>
      <c r="M9" s="2410"/>
      <c r="N9" s="2426">
        <f t="shared" si="6"/>
        <v>3.5999999999999999E-3</v>
      </c>
      <c r="O9" s="2462">
        <f t="shared" si="6"/>
        <v>-3.9000000000000003E-3</v>
      </c>
      <c r="P9" s="2411">
        <f t="shared" si="6"/>
        <v>4.8999999999999998E-3</v>
      </c>
      <c r="Q9" s="2411">
        <f t="shared" si="6"/>
        <v>7.000000000000001E-4</v>
      </c>
      <c r="R9" s="2427"/>
      <c r="S9" s="2426"/>
      <c r="T9" s="2411"/>
      <c r="U9" s="2411"/>
      <c r="V9" s="2411"/>
      <c r="W9" s="2428"/>
      <c r="X9" s="2428">
        <f>ROUND(IF(项目基本情况!B7="出让",SUMPRODUCT(PRODUCT(1+N9:N$35)),SUMPRODUCT(PRODUCT(1+N9:N$34))),4)</f>
        <v>1.571</v>
      </c>
      <c r="Y9" s="2460">
        <f>ROUND(IF(项目基本情况!B7="出让",SUMPRODUCT(PRODUCT(1+O9:O$35)),SUMPRODUCT(PRODUCT(1+O9:O$34))),4)</f>
        <v>1.3420000000000001</v>
      </c>
      <c r="Z9" s="2428">
        <f t="shared" si="7"/>
        <v>1.3420000000000001</v>
      </c>
      <c r="AA9" s="2428">
        <f>ROUND(IF(项目基本情况!B7="出让",SUMPRODUCT(PRODUCT(1+P9:P$35)),SUMPRODUCT(PRODUCT(1+P9:P$34))),4)</f>
        <v>1.6415999999999999</v>
      </c>
      <c r="AB9" s="2428">
        <f>ROUND(IF(项目基本情况!B7="出让",SUMPRODUCT(PRODUCT(1+Q9:Q$35)),SUMPRODUCT(PRODUCT(1+Q9:Q$34))),4)</f>
        <v>1.389</v>
      </c>
      <c r="AC9" s="2428"/>
      <c r="AD9" s="2429">
        <f>ROUND(AVERAGE(I9:I$35)/100,4)</f>
        <v>1.8100000000000002E-2</v>
      </c>
      <c r="AE9" s="2429">
        <f>ROUND(AVERAGE(J9:J$35)/100,4)</f>
        <v>1.1900000000000001E-2</v>
      </c>
      <c r="AF9" s="2429">
        <f t="shared" si="8"/>
        <v>1.1900000000000001E-2</v>
      </c>
      <c r="AG9" s="2429">
        <f>ROUND(AVERAGE(K9:K$35)/100,4)</f>
        <v>1.9900000000000001E-2</v>
      </c>
      <c r="AH9" s="2429">
        <f>ROUND(AVERAGE(L9:L$35)/100,4)</f>
        <v>1.2800000000000001E-2</v>
      </c>
    </row>
    <row r="10" spans="1:34" s="2430" customFormat="1">
      <c r="A10" s="2423" t="s">
        <v>2869</v>
      </c>
      <c r="B10" s="2424">
        <f t="shared" si="1"/>
        <v>481.4103506697644</v>
      </c>
      <c r="C10" s="2424">
        <f t="shared" si="2"/>
        <v>347.29066026648707</v>
      </c>
      <c r="D10" s="2424">
        <f t="shared" si="3"/>
        <v>347.29066026648707</v>
      </c>
      <c r="E10" s="2424">
        <f t="shared" si="4"/>
        <v>690.85977273901995</v>
      </c>
      <c r="F10" s="2424">
        <f t="shared" si="5"/>
        <v>319.13136737000184</v>
      </c>
      <c r="G10" s="2414">
        <v>2020</v>
      </c>
      <c r="H10" s="2425">
        <v>2</v>
      </c>
      <c r="I10" s="2387">
        <v>0.31</v>
      </c>
      <c r="J10" s="2387">
        <v>-0.78</v>
      </c>
      <c r="K10" s="2387">
        <v>0.5</v>
      </c>
      <c r="L10" s="2388">
        <v>0.47</v>
      </c>
      <c r="M10" s="2410"/>
      <c r="N10" s="2426">
        <f t="shared" si="6"/>
        <v>3.0999999999999999E-3</v>
      </c>
      <c r="O10" s="2462">
        <f t="shared" si="6"/>
        <v>-7.8000000000000005E-3</v>
      </c>
      <c r="P10" s="2411">
        <f t="shared" si="6"/>
        <v>5.0000000000000001E-3</v>
      </c>
      <c r="Q10" s="2411">
        <f t="shared" si="6"/>
        <v>4.6999999999999993E-3</v>
      </c>
      <c r="R10" s="2427"/>
      <c r="S10" s="2426"/>
      <c r="T10" s="2411"/>
      <c r="U10" s="2411"/>
      <c r="V10" s="2411"/>
      <c r="W10" s="2428"/>
      <c r="X10" s="2428">
        <f>ROUND(IF(项目基本情况!B8="出让",SUMPRODUCT(PRODUCT(1+N10:N$35)),SUMPRODUCT(PRODUCT(1+N10:N$34))),4)</f>
        <v>1.5652999999999999</v>
      </c>
      <c r="Y10" s="2460">
        <f>ROUND(IF(项目基本情况!B8="出让",SUMPRODUCT(PRODUCT(1+O10:O$35)),SUMPRODUCT(PRODUCT(1+O10:O$34))),4)</f>
        <v>1.3472</v>
      </c>
      <c r="Z10" s="2428">
        <f t="shared" si="7"/>
        <v>1.3472</v>
      </c>
      <c r="AA10" s="2428">
        <f>ROUND(IF(项目基本情况!B8="出让",SUMPRODUCT(PRODUCT(1+P10:P$35)),SUMPRODUCT(PRODUCT(1+P10:P$34))),4)</f>
        <v>1.6335999999999999</v>
      </c>
      <c r="AB10" s="2428">
        <f>ROUND(IF(项目基本情况!B8="出让",SUMPRODUCT(PRODUCT(1+Q10:Q$35)),SUMPRODUCT(PRODUCT(1+Q10:Q$34))),4)</f>
        <v>1.3880999999999999</v>
      </c>
      <c r="AC10" s="2428"/>
      <c r="AD10" s="2429">
        <f>ROUND(AVERAGE(I10:I$35)/100,4)</f>
        <v>1.8599999999999998E-2</v>
      </c>
      <c r="AE10" s="2429">
        <f>ROUND(AVERAGE(J10:J$35)/100,4)</f>
        <v>1.2500000000000001E-2</v>
      </c>
      <c r="AF10" s="2429">
        <f t="shared" si="8"/>
        <v>1.2500000000000001E-2</v>
      </c>
      <c r="AG10" s="2429">
        <f>ROUND(AVERAGE(K10:K$35)/100,4)</f>
        <v>2.0400000000000001E-2</v>
      </c>
      <c r="AH10" s="2429">
        <f>ROUND(AVERAGE(L10:L$35)/100,4)</f>
        <v>1.32E-2</v>
      </c>
    </row>
    <row r="11" spans="1:34" s="2430" customFormat="1">
      <c r="A11" s="2423" t="s">
        <v>2867</v>
      </c>
      <c r="B11" s="2424">
        <f t="shared" si="1"/>
        <v>479.92259063878413</v>
      </c>
      <c r="C11" s="2424">
        <f t="shared" si="2"/>
        <v>350.02082268341775</v>
      </c>
      <c r="D11" s="2424">
        <f t="shared" si="3"/>
        <v>350.02082268341775</v>
      </c>
      <c r="E11" s="2424">
        <f t="shared" si="4"/>
        <v>687.42265944181099</v>
      </c>
      <c r="F11" s="2424">
        <f t="shared" si="5"/>
        <v>317.63846657708956</v>
      </c>
      <c r="G11" s="2414">
        <v>2020</v>
      </c>
      <c r="H11" s="2425">
        <v>1</v>
      </c>
      <c r="I11" s="2387">
        <v>0.12</v>
      </c>
      <c r="J11" s="2387">
        <v>-0.4</v>
      </c>
      <c r="K11" s="2387">
        <v>0.21</v>
      </c>
      <c r="L11" s="2388">
        <v>0.27</v>
      </c>
      <c r="M11" s="2410"/>
      <c r="N11" s="2426">
        <f t="shared" si="6"/>
        <v>1.1999999999999999E-3</v>
      </c>
      <c r="O11" s="2462">
        <f t="shared" si="6"/>
        <v>-4.0000000000000001E-3</v>
      </c>
      <c r="P11" s="2411">
        <f t="shared" si="6"/>
        <v>2.0999999999999999E-3</v>
      </c>
      <c r="Q11" s="2411">
        <f t="shared" si="6"/>
        <v>2.7000000000000001E-3</v>
      </c>
      <c r="R11" s="2427"/>
      <c r="S11" s="2426">
        <f>B11/B12-1</f>
        <v>1.2000000000000899E-3</v>
      </c>
      <c r="T11" s="2411">
        <f>C11/C12-1</f>
        <v>-4.0000000000000036E-3</v>
      </c>
      <c r="U11" s="2411">
        <f>D11/D12-1</f>
        <v>-4.0000000000000036E-3</v>
      </c>
      <c r="V11" s="2411">
        <f>E11/E12-1</f>
        <v>2.0999999999999908E-3</v>
      </c>
      <c r="W11" s="2428"/>
      <c r="X11" s="2428">
        <f>ROUND(IF(项目基本情况!B8="出让",SUMPRODUCT(PRODUCT(1+N11:N$35)),SUMPRODUCT(PRODUCT(1+N11:N$34))),4)</f>
        <v>1.5605</v>
      </c>
      <c r="Y11" s="2460">
        <f>ROUND(IF(项目基本情况!B8="出让",SUMPRODUCT(PRODUCT(1+O11:O$35)),SUMPRODUCT(PRODUCT(1+O11:O$34))),4)</f>
        <v>1.3577999999999999</v>
      </c>
      <c r="Z11" s="2428">
        <f t="shared" si="7"/>
        <v>1.3577999999999999</v>
      </c>
      <c r="AA11" s="2428">
        <f>ROUND(IF(项目基本情况!B8="出让",SUMPRODUCT(PRODUCT(1+P11:P$35)),SUMPRODUCT(PRODUCT(1+P11:P$34))),4)</f>
        <v>1.6254999999999999</v>
      </c>
      <c r="AB11" s="2428">
        <f>ROUND(IF(项目基本情况!B8="出让",SUMPRODUCT(PRODUCT(1+Q11:Q$35)),SUMPRODUCT(PRODUCT(1+Q11:Q$34))),4)</f>
        <v>1.3815999999999999</v>
      </c>
      <c r="AC11" s="2428"/>
      <c r="AD11" s="2429">
        <f>ROUND(AVERAGE(I11:I$35)/100,4)</f>
        <v>1.9199999999999998E-2</v>
      </c>
      <c r="AE11" s="2429">
        <f>ROUND(AVERAGE(J11:J$35)/100,4)</f>
        <v>1.3299999999999999E-2</v>
      </c>
      <c r="AF11" s="2429">
        <f t="shared" si="8"/>
        <v>1.3299999999999999E-2</v>
      </c>
      <c r="AG11" s="2429">
        <f>ROUND(AVERAGE(K11:K$35)/100,4)</f>
        <v>2.1100000000000001E-2</v>
      </c>
      <c r="AH11" s="2429">
        <f>ROUND(AVERAGE(L11:L$35)/100,4)</f>
        <v>1.3599999999999999E-2</v>
      </c>
    </row>
    <row r="12" spans="1:34" s="2430" customFormat="1">
      <c r="A12" s="2423" t="s">
        <v>2866</v>
      </c>
      <c r="B12" s="2424">
        <f t="shared" si="1"/>
        <v>479.34737379023579</v>
      </c>
      <c r="C12" s="2424">
        <f t="shared" si="2"/>
        <v>351.4265287986122</v>
      </c>
      <c r="D12" s="2424">
        <f t="shared" si="3"/>
        <v>351.4265287986122</v>
      </c>
      <c r="E12" s="2424">
        <f t="shared" si="4"/>
        <v>685.98209703803116</v>
      </c>
      <c r="F12" s="2424">
        <f t="shared" si="5"/>
        <v>316.78315206651001</v>
      </c>
      <c r="G12" s="2414">
        <v>2019</v>
      </c>
      <c r="H12" s="2425">
        <v>4</v>
      </c>
      <c r="I12" s="2425">
        <v>0.45</v>
      </c>
      <c r="J12" s="2425">
        <v>-0.12</v>
      </c>
      <c r="K12" s="2425">
        <v>0.54</v>
      </c>
      <c r="L12" s="2431">
        <v>0.48</v>
      </c>
      <c r="M12" s="2410"/>
      <c r="N12" s="2426">
        <f t="shared" ref="N12:N17" si="9">I12/100</f>
        <v>4.5000000000000005E-3</v>
      </c>
      <c r="O12" s="2462">
        <f t="shared" ref="O12:O22" si="10">J12/100</f>
        <v>-1.1999999999999999E-3</v>
      </c>
      <c r="P12" s="2411">
        <f t="shared" ref="P12:P22" si="11">K12/100</f>
        <v>5.4000000000000003E-3</v>
      </c>
      <c r="Q12" s="2411">
        <f t="shared" ref="Q12:Q22" si="12">L12/100</f>
        <v>4.7999999999999996E-3</v>
      </c>
      <c r="R12" s="2427"/>
      <c r="S12" s="2426"/>
      <c r="T12" s="2411"/>
      <c r="U12" s="2411"/>
      <c r="V12" s="2411"/>
      <c r="W12" s="2428"/>
      <c r="X12" s="2428">
        <f>ROUND(IF(项目基本情况!B8="出让",SUMPRODUCT(PRODUCT(1+N12:N$35)),SUMPRODUCT(PRODUCT(1+N12:N$34))),4)</f>
        <v>1.5586</v>
      </c>
      <c r="Y12" s="2460">
        <f>ROUND(IF(项目基本情况!B8="出让",SUMPRODUCT(PRODUCT(1+O12:O$35)),SUMPRODUCT(PRODUCT(1+O12:O$34))),4)</f>
        <v>1.3633</v>
      </c>
      <c r="Z12" s="2428">
        <f t="shared" si="7"/>
        <v>1.3633</v>
      </c>
      <c r="AA12" s="2428">
        <f>ROUND(IF(项目基本情况!B8="出让",SUMPRODUCT(PRODUCT(1+P12:P$35)),SUMPRODUCT(PRODUCT(1+P12:P$34))),4)</f>
        <v>1.6221000000000001</v>
      </c>
      <c r="AB12" s="2428">
        <f>ROUND(IF(项目基本情况!B8="出让",SUMPRODUCT(PRODUCT(1+Q12:Q$35)),SUMPRODUCT(PRODUCT(1+Q12:Q$34))),4)</f>
        <v>1.3777999999999999</v>
      </c>
      <c r="AC12" s="2428"/>
      <c r="AD12" s="2429">
        <f>ROUND(AVERAGE(I12:I$35)/100,4)</f>
        <v>0.02</v>
      </c>
      <c r="AE12" s="2429">
        <f>ROUND(AVERAGE(J12:J$35)/100,4)</f>
        <v>1.4E-2</v>
      </c>
      <c r="AF12" s="2429">
        <f t="shared" si="8"/>
        <v>1.4E-2</v>
      </c>
      <c r="AG12" s="2429">
        <f>ROUND(AVERAGE(K12:K$35)/100,4)</f>
        <v>2.1899999999999999E-2</v>
      </c>
      <c r="AH12" s="2429">
        <f>ROUND(AVERAGE(L12:L$35)/100,4)</f>
        <v>1.4E-2</v>
      </c>
    </row>
    <row r="13" spans="1:34" s="2430" customFormat="1" ht="13.5" thickBot="1">
      <c r="A13" s="2423" t="s">
        <v>2865</v>
      </c>
      <c r="B13" s="2424">
        <f t="shared" si="1"/>
        <v>477.19997390765138</v>
      </c>
      <c r="C13" s="2424">
        <f t="shared" si="2"/>
        <v>351.84874729536665</v>
      </c>
      <c r="D13" s="2424">
        <f t="shared" si="3"/>
        <v>351.84874729536665</v>
      </c>
      <c r="E13" s="2424">
        <f t="shared" si="4"/>
        <v>682.29768951465201</v>
      </c>
      <c r="F13" s="2424">
        <f t="shared" si="5"/>
        <v>315.26985675409043</v>
      </c>
      <c r="G13" s="2414">
        <v>2019</v>
      </c>
      <c r="H13" s="2425">
        <v>3</v>
      </c>
      <c r="I13" s="2425">
        <v>0.61</v>
      </c>
      <c r="J13" s="2425">
        <v>0.67</v>
      </c>
      <c r="K13" s="2425">
        <v>0.6</v>
      </c>
      <c r="L13" s="2431">
        <v>1.03</v>
      </c>
      <c r="M13" s="2410"/>
      <c r="N13" s="2426">
        <f t="shared" si="9"/>
        <v>6.0999999999999995E-3</v>
      </c>
      <c r="O13" s="2462">
        <f t="shared" si="10"/>
        <v>6.7000000000000002E-3</v>
      </c>
      <c r="P13" s="2411">
        <f t="shared" si="11"/>
        <v>6.0000000000000001E-3</v>
      </c>
      <c r="Q13" s="2411">
        <f t="shared" si="12"/>
        <v>1.03E-2</v>
      </c>
      <c r="R13" s="2427"/>
      <c r="S13" s="2426"/>
      <c r="T13" s="2411"/>
      <c r="U13" s="2411"/>
      <c r="V13" s="2411"/>
      <c r="W13" s="2428"/>
      <c r="X13" s="2428">
        <f>ROUND(IF(项目基本情况!B8="出让",SUMPRODUCT(PRODUCT(1+N13:N$35)),SUMPRODUCT(PRODUCT(1+N13:N$34))),4)</f>
        <v>1.5516000000000001</v>
      </c>
      <c r="Y13" s="2460">
        <f>ROUND(IF(项目基本情况!B8="出让",SUMPRODUCT(PRODUCT(1+O13:O$35)),SUMPRODUCT(PRODUCT(1+O13:O$34))),4)</f>
        <v>1.3649</v>
      </c>
      <c r="Z13" s="2428">
        <f t="shared" si="7"/>
        <v>1.3649</v>
      </c>
      <c r="AA13" s="2428">
        <f>ROUND(IF(项目基本情况!B8="出让",SUMPRODUCT(PRODUCT(1+P13:P$35)),SUMPRODUCT(PRODUCT(1+P13:P$34))),4)</f>
        <v>1.6133999999999999</v>
      </c>
      <c r="AB13" s="2428">
        <f>ROUND(IF(项目基本情况!B8="出让",SUMPRODUCT(PRODUCT(1+Q13:Q$35)),SUMPRODUCT(PRODUCT(1+Q13:Q$34))),4)</f>
        <v>1.3713</v>
      </c>
      <c r="AC13" s="2428"/>
      <c r="AD13" s="2429">
        <f>ROUND(AVERAGE(I13:I$35)/100,4)</f>
        <v>2.07E-2</v>
      </c>
      <c r="AE13" s="2429">
        <f>ROUND(AVERAGE(J13:J$35)/100,4)</f>
        <v>1.47E-2</v>
      </c>
      <c r="AF13" s="2429">
        <f t="shared" si="8"/>
        <v>1.47E-2</v>
      </c>
      <c r="AG13" s="2429">
        <f>ROUND(AVERAGE(K13:K$35)/100,4)</f>
        <v>2.2599999999999999E-2</v>
      </c>
      <c r="AH13" s="2429">
        <f>ROUND(AVERAGE(L13:L$35)/100,4)</f>
        <v>1.44E-2</v>
      </c>
    </row>
    <row r="14" spans="1:34" s="2430" customFormat="1">
      <c r="A14" s="2423" t="s">
        <v>2863</v>
      </c>
      <c r="B14" s="2424">
        <f t="shared" si="1"/>
        <v>474.30670301923408</v>
      </c>
      <c r="C14" s="2424">
        <f t="shared" si="2"/>
        <v>349.50705005996491</v>
      </c>
      <c r="D14" s="2424">
        <f t="shared" si="3"/>
        <v>349.50705005996491</v>
      </c>
      <c r="E14" s="2424">
        <f t="shared" si="4"/>
        <v>678.22831959706957</v>
      </c>
      <c r="F14" s="2424">
        <f t="shared" si="5"/>
        <v>312.0556832169558</v>
      </c>
      <c r="G14" s="2414">
        <v>2019</v>
      </c>
      <c r="H14" s="2432">
        <v>2</v>
      </c>
      <c r="I14" s="2432">
        <v>1.53</v>
      </c>
      <c r="J14" s="2432">
        <v>1.01</v>
      </c>
      <c r="K14" s="2432">
        <v>1.62</v>
      </c>
      <c r="L14" s="2433">
        <v>1.25</v>
      </c>
      <c r="M14" s="2410"/>
      <c r="N14" s="2426">
        <f t="shared" si="9"/>
        <v>1.5300000000000001E-2</v>
      </c>
      <c r="O14" s="2462">
        <f t="shared" si="10"/>
        <v>1.01E-2</v>
      </c>
      <c r="P14" s="2411">
        <f t="shared" si="11"/>
        <v>1.6200000000000003E-2</v>
      </c>
      <c r="Q14" s="2411">
        <f t="shared" si="12"/>
        <v>1.2500000000000001E-2</v>
      </c>
      <c r="R14" s="2427"/>
      <c r="S14" s="2426"/>
      <c r="T14" s="2411"/>
      <c r="U14" s="2411"/>
      <c r="V14" s="2411"/>
      <c r="W14" s="2428"/>
      <c r="X14" s="2428">
        <f>ROUND(IF(项目基本情况!B8="出让",SUMPRODUCT(PRODUCT(1+N14:N$35)),SUMPRODUCT(PRODUCT(1+N14:N$34))),4)</f>
        <v>1.5422</v>
      </c>
      <c r="Y14" s="2460">
        <f>ROUND(IF(项目基本情况!B8="出让",SUMPRODUCT(PRODUCT(1+O14:O$35)),SUMPRODUCT(PRODUCT(1+O14:O$34))),4)</f>
        <v>1.3557999999999999</v>
      </c>
      <c r="Z14" s="2428">
        <f t="shared" si="7"/>
        <v>1.3557999999999999</v>
      </c>
      <c r="AA14" s="2428">
        <f>ROUND(IF(项目基本情况!B8="出让",SUMPRODUCT(PRODUCT(1+P14:P$35)),SUMPRODUCT(PRODUCT(1+P14:P$34))),4)</f>
        <v>1.6036999999999999</v>
      </c>
      <c r="AB14" s="2428">
        <f>ROUND(IF(项目基本情况!B8="出让",SUMPRODUCT(PRODUCT(1+Q14:Q$35)),SUMPRODUCT(PRODUCT(1+Q14:Q$34))),4)</f>
        <v>1.3573</v>
      </c>
      <c r="AC14" s="2428"/>
      <c r="AD14" s="2429">
        <f>ROUND(AVERAGE(I14:I$35)/100,4)</f>
        <v>2.1299999999999999E-2</v>
      </c>
      <c r="AE14" s="2429">
        <f>ROUND(AVERAGE(J14:J$35)/100,4)</f>
        <v>1.4999999999999999E-2</v>
      </c>
      <c r="AF14" s="2429">
        <f t="shared" si="8"/>
        <v>1.4999999999999999E-2</v>
      </c>
      <c r="AG14" s="2429">
        <f>ROUND(AVERAGE(K14:K$35)/100,4)</f>
        <v>2.3300000000000001E-2</v>
      </c>
      <c r="AH14" s="2429">
        <f>ROUND(AVERAGE(L14:L$35)/100,4)</f>
        <v>1.46E-2</v>
      </c>
    </row>
    <row r="15" spans="1:34" s="2430" customFormat="1" ht="13.5" thickBot="1">
      <c r="A15" s="2423" t="s">
        <v>2861</v>
      </c>
      <c r="B15" s="2424">
        <f t="shared" si="1"/>
        <v>467.15916775261894</v>
      </c>
      <c r="C15" s="2424">
        <f t="shared" si="2"/>
        <v>346.01232557169084</v>
      </c>
      <c r="D15" s="2424">
        <f t="shared" si="3"/>
        <v>346.01232557169084</v>
      </c>
      <c r="E15" s="2424">
        <f t="shared" si="4"/>
        <v>667.41617752122568</v>
      </c>
      <c r="F15" s="2424">
        <f t="shared" si="5"/>
        <v>308.20314391798104</v>
      </c>
      <c r="G15" s="2414">
        <v>2019</v>
      </c>
      <c r="H15" s="2425">
        <v>1</v>
      </c>
      <c r="I15" s="2425">
        <v>0.6</v>
      </c>
      <c r="J15" s="2425">
        <v>0.37</v>
      </c>
      <c r="K15" s="2425">
        <v>0.63</v>
      </c>
      <c r="L15" s="2431">
        <v>1.1299999999999999</v>
      </c>
      <c r="M15" s="2410"/>
      <c r="N15" s="2426">
        <f t="shared" si="9"/>
        <v>6.0000000000000001E-3</v>
      </c>
      <c r="O15" s="2462">
        <f t="shared" si="10"/>
        <v>3.7000000000000002E-3</v>
      </c>
      <c r="P15" s="2411">
        <f t="shared" si="11"/>
        <v>6.3E-3</v>
      </c>
      <c r="Q15" s="2411">
        <f t="shared" si="12"/>
        <v>1.1299999999999999E-2</v>
      </c>
      <c r="R15" s="2427"/>
      <c r="S15" s="2426">
        <f>B15/B16-1</f>
        <v>6.0000000000000053E-3</v>
      </c>
      <c r="T15" s="2411">
        <f>C15/C16-1</f>
        <v>3.7000000000000366E-3</v>
      </c>
      <c r="U15" s="2411">
        <f>D15/D16-1</f>
        <v>3.7000000000000366E-3</v>
      </c>
      <c r="V15" s="2411">
        <f>E15/E16-1</f>
        <v>6.2999999999999723E-3</v>
      </c>
      <c r="W15" s="2428"/>
      <c r="X15" s="2428">
        <f>ROUND(IF(项目基本情况!B8="出让",SUMPRODUCT(PRODUCT(1+N15:N$35)),SUMPRODUCT(PRODUCT(1+N15:N$34))),4)</f>
        <v>1.5189999999999999</v>
      </c>
      <c r="Y15" s="2460">
        <f>ROUND(IF(项目基本情况!B8="出让",SUMPRODUCT(PRODUCT(1+O15:O$35)),SUMPRODUCT(PRODUCT(1+O15:O$34))),4)</f>
        <v>1.3423</v>
      </c>
      <c r="Z15" s="2428">
        <f t="shared" si="7"/>
        <v>1.3423</v>
      </c>
      <c r="AA15" s="2428">
        <f>ROUND(IF(项目基本情况!B8="出让",SUMPRODUCT(PRODUCT(1+P15:P$35)),SUMPRODUCT(PRODUCT(1+P15:P$34))),4)</f>
        <v>1.5782</v>
      </c>
      <c r="AB15" s="2428">
        <f>ROUND(IF(项目基本情况!B8="出让",SUMPRODUCT(PRODUCT(1+Q15:Q$35)),SUMPRODUCT(PRODUCT(1+Q15:Q$34))),4)</f>
        <v>1.3405</v>
      </c>
      <c r="AC15" s="2428"/>
      <c r="AD15" s="2429">
        <f>ROUND(AVERAGE(I15:I$35)/100,4)</f>
        <v>2.1600000000000001E-2</v>
      </c>
      <c r="AE15" s="2429">
        <f>ROUND(AVERAGE(J15:J$35)/100,4)</f>
        <v>1.5299999999999999E-2</v>
      </c>
      <c r="AF15" s="2429">
        <f t="shared" si="8"/>
        <v>1.5299999999999999E-2</v>
      </c>
      <c r="AG15" s="2429">
        <f>ROUND(AVERAGE(K15:K$35)/100,4)</f>
        <v>2.3699999999999999E-2</v>
      </c>
      <c r="AH15" s="2429">
        <f>ROUND(AVERAGE(L15:L$35)/100,4)</f>
        <v>1.47E-2</v>
      </c>
    </row>
    <row r="16" spans="1:34" s="2430" customFormat="1">
      <c r="A16" s="2423" t="s">
        <v>2864</v>
      </c>
      <c r="B16" s="2434">
        <f t="shared" si="1"/>
        <v>464.37293017158942</v>
      </c>
      <c r="C16" s="2434">
        <f t="shared" si="2"/>
        <v>344.73679941385956</v>
      </c>
      <c r="D16" s="2434">
        <f t="shared" si="3"/>
        <v>344.73679941385956</v>
      </c>
      <c r="E16" s="2434">
        <f t="shared" si="4"/>
        <v>663.2377795103107</v>
      </c>
      <c r="F16" s="2435">
        <f t="shared" si="5"/>
        <v>304.75936311478398</v>
      </c>
      <c r="G16" s="3947">
        <v>2018</v>
      </c>
      <c r="H16" s="2432">
        <v>4</v>
      </c>
      <c r="I16" s="2432">
        <v>0.96</v>
      </c>
      <c r="J16" s="2432">
        <v>1.03</v>
      </c>
      <c r="K16" s="2432">
        <v>0.92</v>
      </c>
      <c r="L16" s="2433">
        <v>1.29</v>
      </c>
      <c r="M16" s="2410"/>
      <c r="N16" s="2426">
        <f t="shared" si="9"/>
        <v>9.5999999999999992E-3</v>
      </c>
      <c r="O16" s="2462">
        <f t="shared" si="10"/>
        <v>1.03E-2</v>
      </c>
      <c r="P16" s="2411">
        <f t="shared" si="11"/>
        <v>9.1999999999999998E-3</v>
      </c>
      <c r="Q16" s="2411">
        <f t="shared" si="12"/>
        <v>1.29E-2</v>
      </c>
      <c r="R16" s="2427"/>
      <c r="S16" s="2426"/>
      <c r="T16" s="2411"/>
      <c r="U16" s="2411"/>
      <c r="V16" s="2411"/>
      <c r="W16" s="2428"/>
      <c r="X16" s="2428">
        <f>ROUND(SUMPRODUCT(PRODUCT(1+N16:N$34)),4)</f>
        <v>1.5099</v>
      </c>
      <c r="Y16" s="2460">
        <f>ROUND(SUMPRODUCT(PRODUCT(1+O16:O$34)),4)</f>
        <v>1.3372999999999999</v>
      </c>
      <c r="Z16" s="2428">
        <f t="shared" si="7"/>
        <v>1.3372999999999999</v>
      </c>
      <c r="AA16" s="2428">
        <f>ROUND(SUMPRODUCT(PRODUCT(1+P16:P$34)),4)</f>
        <v>1.5683</v>
      </c>
      <c r="AB16" s="2428">
        <f>ROUND(SUMPRODUCT(PRODUCT(1+Q16:Q$34)),4)</f>
        <v>1.3255999999999999</v>
      </c>
      <c r="AC16" s="2428"/>
      <c r="AD16" s="2429">
        <f>ROUND(AVERAGE(I16:I$35)/100,4)</f>
        <v>2.24E-2</v>
      </c>
      <c r="AE16" s="2429">
        <f>ROUND(AVERAGE(J16:J$35)/100,4)</f>
        <v>1.5800000000000002E-2</v>
      </c>
      <c r="AF16" s="2429">
        <f t="shared" si="8"/>
        <v>1.5800000000000002E-2</v>
      </c>
      <c r="AG16" s="2429">
        <f>ROUND(AVERAGE(K16:K$35)/100,4)</f>
        <v>2.4500000000000001E-2</v>
      </c>
      <c r="AH16" s="2429">
        <f>ROUND(AVERAGE(L16:L$35)/100,4)</f>
        <v>1.49E-2</v>
      </c>
    </row>
    <row r="17" spans="1:34" s="2430" customFormat="1" ht="14.45" customHeight="1">
      <c r="A17" s="2423" t="s">
        <v>2859</v>
      </c>
      <c r="B17" s="2424">
        <f t="shared" si="1"/>
        <v>459.95733971036987</v>
      </c>
      <c r="C17" s="2424">
        <f t="shared" si="2"/>
        <v>341.22221064422405</v>
      </c>
      <c r="D17" s="2424">
        <f t="shared" si="3"/>
        <v>341.22221064422405</v>
      </c>
      <c r="E17" s="2424">
        <f t="shared" si="4"/>
        <v>657.19161663724799</v>
      </c>
      <c r="F17" s="2424">
        <f t="shared" si="5"/>
        <v>300.87803644464805</v>
      </c>
      <c r="G17" s="3947"/>
      <c r="H17" s="2425">
        <v>3</v>
      </c>
      <c r="I17" s="2425">
        <v>1.51</v>
      </c>
      <c r="J17" s="2425">
        <v>1.41</v>
      </c>
      <c r="K17" s="2425">
        <v>1.52</v>
      </c>
      <c r="L17" s="2431">
        <v>1.74</v>
      </c>
      <c r="M17" s="2410"/>
      <c r="N17" s="2426">
        <f t="shared" si="9"/>
        <v>1.5100000000000001E-2</v>
      </c>
      <c r="O17" s="2462">
        <f t="shared" si="10"/>
        <v>1.41E-2</v>
      </c>
      <c r="P17" s="2411">
        <f t="shared" si="11"/>
        <v>1.52E-2</v>
      </c>
      <c r="Q17" s="2411">
        <f t="shared" si="12"/>
        <v>1.7399999999999999E-2</v>
      </c>
      <c r="R17" s="2427"/>
      <c r="S17" s="2426"/>
      <c r="T17" s="2411"/>
      <c r="U17" s="2411"/>
      <c r="V17" s="2411"/>
      <c r="W17" s="2428"/>
      <c r="X17" s="2428">
        <f>ROUND(SUMPRODUCT(PRODUCT(1+N17:N$34)),4)</f>
        <v>1.4956</v>
      </c>
      <c r="Y17" s="2460">
        <f>ROUND(SUMPRODUCT(PRODUCT(1+O17:O$34)),4)</f>
        <v>1.3237000000000001</v>
      </c>
      <c r="Z17" s="2428">
        <f t="shared" si="7"/>
        <v>1.3237000000000001</v>
      </c>
      <c r="AA17" s="2428">
        <f>ROUND(SUMPRODUCT(PRODUCT(1+P17:P$34)),4)</f>
        <v>1.554</v>
      </c>
      <c r="AB17" s="2428">
        <f>ROUND(SUMPRODUCT(PRODUCT(1+Q17:Q$34)),4)</f>
        <v>1.3087</v>
      </c>
      <c r="AC17" s="2428"/>
      <c r="AD17" s="2429">
        <f>ROUND(AVERAGE(I17:I$35)/100,4)</f>
        <v>2.3099999999999999E-2</v>
      </c>
      <c r="AE17" s="2429">
        <f>ROUND(AVERAGE(J17:J$35)/100,4)</f>
        <v>1.61E-2</v>
      </c>
      <c r="AF17" s="2429">
        <f t="shared" si="8"/>
        <v>1.61E-2</v>
      </c>
      <c r="AG17" s="2429">
        <f>ROUND(AVERAGE(K17:K$35)/100,4)</f>
        <v>2.53E-2</v>
      </c>
      <c r="AH17" s="2429">
        <f>ROUND(AVERAGE(L17:L$35)/100,4)</f>
        <v>1.4999999999999999E-2</v>
      </c>
    </row>
    <row r="18" spans="1:34" s="2430" customFormat="1" ht="14.45" customHeight="1">
      <c r="A18" s="2423" t="s">
        <v>2858</v>
      </c>
      <c r="B18" s="2424">
        <f t="shared" si="1"/>
        <v>453.11529869999993</v>
      </c>
      <c r="C18" s="2424">
        <f t="shared" si="2"/>
        <v>336.47787264000004</v>
      </c>
      <c r="D18" s="2424">
        <f t="shared" si="3"/>
        <v>336.47787264000004</v>
      </c>
      <c r="E18" s="2424">
        <f t="shared" si="4"/>
        <v>647.35186823999993</v>
      </c>
      <c r="F18" s="2424">
        <f t="shared" si="5"/>
        <v>295.73229452000004</v>
      </c>
      <c r="G18" s="3947"/>
      <c r="H18" s="2436">
        <v>2</v>
      </c>
      <c r="I18" s="2436">
        <v>1.49</v>
      </c>
      <c r="J18" s="2436">
        <v>0.96</v>
      </c>
      <c r="K18" s="2436">
        <v>1.58</v>
      </c>
      <c r="L18" s="2437">
        <v>2.44</v>
      </c>
      <c r="M18" s="2410"/>
      <c r="N18" s="2426">
        <f>I18/100</f>
        <v>1.49E-2</v>
      </c>
      <c r="O18" s="2462">
        <f t="shared" si="10"/>
        <v>9.5999999999999992E-3</v>
      </c>
      <c r="P18" s="2411">
        <f t="shared" si="11"/>
        <v>1.5800000000000002E-2</v>
      </c>
      <c r="Q18" s="2411">
        <f t="shared" si="12"/>
        <v>2.4399999999999998E-2</v>
      </c>
      <c r="R18" s="2427"/>
      <c r="S18" s="2426"/>
      <c r="T18" s="2411"/>
      <c r="U18" s="2411"/>
      <c r="V18" s="2411"/>
      <c r="W18" s="2428"/>
      <c r="X18" s="2428">
        <f>ROUND(SUMPRODUCT(PRODUCT(1+N18:N$34)),4)</f>
        <v>1.4733000000000001</v>
      </c>
      <c r="Y18" s="2460">
        <f>ROUND(SUMPRODUCT(PRODUCT(1+O18:O$34)),4)</f>
        <v>1.3052999999999999</v>
      </c>
      <c r="Z18" s="2428">
        <f t="shared" si="7"/>
        <v>1.3052999999999999</v>
      </c>
      <c r="AA18" s="2428">
        <f>ROUND(SUMPRODUCT(PRODUCT(1+P18:P$34)),4)</f>
        <v>1.5306999999999999</v>
      </c>
      <c r="AB18" s="2428">
        <f>ROUND(SUMPRODUCT(PRODUCT(1+Q18:Q$34)),4)</f>
        <v>1.2863</v>
      </c>
      <c r="AC18" s="2428"/>
      <c r="AD18" s="2429">
        <f>ROUND(AVERAGE(I18:I$35)/100,4)</f>
        <v>2.35E-2</v>
      </c>
      <c r="AE18" s="2429">
        <f>ROUND(AVERAGE(J18:J$35)/100,4)</f>
        <v>1.6199999999999999E-2</v>
      </c>
      <c r="AF18" s="2429">
        <f t="shared" si="8"/>
        <v>1.6199999999999999E-2</v>
      </c>
      <c r="AG18" s="2429">
        <f>ROUND(AVERAGE(K18:K$35)/100,4)</f>
        <v>2.5899999999999999E-2</v>
      </c>
      <c r="AH18" s="2429">
        <f>ROUND(AVERAGE(L18:L$35)/100,4)</f>
        <v>1.49E-2</v>
      </c>
    </row>
    <row r="19" spans="1:34" s="2430" customFormat="1" ht="15" customHeight="1" thickBot="1">
      <c r="A19" s="2423" t="s">
        <v>2851</v>
      </c>
      <c r="B19" s="2424">
        <f t="shared" si="1"/>
        <v>446.46299999999997</v>
      </c>
      <c r="C19" s="2424">
        <f t="shared" si="2"/>
        <v>333.27840000000003</v>
      </c>
      <c r="D19" s="2424">
        <f t="shared" si="3"/>
        <v>333.27840000000003</v>
      </c>
      <c r="E19" s="2424">
        <f t="shared" si="4"/>
        <v>637.28279999999995</v>
      </c>
      <c r="F19" s="2424">
        <f t="shared" si="5"/>
        <v>288.68830000000003</v>
      </c>
      <c r="G19" s="3954"/>
      <c r="H19" s="2425">
        <v>1</v>
      </c>
      <c r="I19" s="2425">
        <v>1.7</v>
      </c>
      <c r="J19" s="2425">
        <v>1.92</v>
      </c>
      <c r="K19" s="2425">
        <v>1.64</v>
      </c>
      <c r="L19" s="2431">
        <v>2.0099999999999998</v>
      </c>
      <c r="M19" s="2410"/>
      <c r="N19" s="2426">
        <f t="shared" ref="N19:N24" si="13">I19/100</f>
        <v>1.7000000000000001E-2</v>
      </c>
      <c r="O19" s="2462">
        <f t="shared" si="10"/>
        <v>1.9199999999999998E-2</v>
      </c>
      <c r="P19" s="2411">
        <f t="shared" si="11"/>
        <v>1.6399999999999998E-2</v>
      </c>
      <c r="Q19" s="2411">
        <f t="shared" si="12"/>
        <v>2.0099999999999996E-2</v>
      </c>
      <c r="R19" s="2427"/>
      <c r="S19" s="2426">
        <f>B19/B20-1</f>
        <v>1.6999999999999904E-2</v>
      </c>
      <c r="T19" s="2411">
        <f>C19/C20-1</f>
        <v>1.9200000000000106E-2</v>
      </c>
      <c r="U19" s="2411">
        <f>D19/D20-1</f>
        <v>1.9200000000000106E-2</v>
      </c>
      <c r="V19" s="2411">
        <f>E19/E20-1</f>
        <v>1.639999999999997E-2</v>
      </c>
      <c r="W19" s="2428"/>
      <c r="X19" s="2428">
        <f>ROUND(SUMPRODUCT(PRODUCT(1+N19:N$34)),4)</f>
        <v>1.4517</v>
      </c>
      <c r="Y19" s="2460">
        <f>ROUND(SUMPRODUCT(PRODUCT(1+O19:O$34)),4)</f>
        <v>1.2928999999999999</v>
      </c>
      <c r="Z19" s="2428">
        <f t="shared" si="7"/>
        <v>1.2928999999999999</v>
      </c>
      <c r="AA19" s="2428">
        <f>ROUND(SUMPRODUCT(PRODUCT(1+P19:P$34)),4)</f>
        <v>1.5068999999999999</v>
      </c>
      <c r="AB19" s="2428">
        <f>ROUND(SUMPRODUCT(PRODUCT(1+Q19:Q$34)),4)</f>
        <v>1.2557</v>
      </c>
      <c r="AC19" s="2428"/>
      <c r="AD19" s="2429">
        <f>ROUND(AVERAGE(I19:I$35)/100,4)</f>
        <v>2.4E-2</v>
      </c>
      <c r="AE19" s="2429">
        <f>ROUND(AVERAGE(J19:J$35)/100,4)</f>
        <v>1.66E-2</v>
      </c>
      <c r="AF19" s="2429">
        <f t="shared" si="8"/>
        <v>1.66E-2</v>
      </c>
      <c r="AG19" s="2429">
        <f>ROUND(AVERAGE(K19:K$35)/100,4)</f>
        <v>2.6499999999999999E-2</v>
      </c>
      <c r="AH19" s="2429">
        <f>ROUND(AVERAGE(L19:L$35)/100,4)</f>
        <v>1.43E-2</v>
      </c>
    </row>
    <row r="20" spans="1:34">
      <c r="A20" s="2423" t="s">
        <v>2849</v>
      </c>
      <c r="B20" s="2438">
        <v>439</v>
      </c>
      <c r="C20" s="2438">
        <v>327</v>
      </c>
      <c r="D20" s="2438">
        <f t="shared" si="3"/>
        <v>327</v>
      </c>
      <c r="E20" s="2438">
        <v>627</v>
      </c>
      <c r="F20" s="2439">
        <v>283</v>
      </c>
      <c r="G20" s="3950">
        <v>2017</v>
      </c>
      <c r="H20" s="2432">
        <v>4</v>
      </c>
      <c r="I20" s="2432">
        <v>1.71</v>
      </c>
      <c r="J20" s="2432">
        <v>1.78</v>
      </c>
      <c r="K20" s="2432">
        <v>1.71</v>
      </c>
      <c r="L20" s="2433">
        <v>1.43</v>
      </c>
      <c r="N20" s="2426">
        <f t="shared" si="13"/>
        <v>1.7100000000000001E-2</v>
      </c>
      <c r="O20" s="2462">
        <f t="shared" si="10"/>
        <v>1.78E-2</v>
      </c>
      <c r="P20" s="2411">
        <f t="shared" si="11"/>
        <v>1.7100000000000001E-2</v>
      </c>
      <c r="Q20" s="2411">
        <f t="shared" si="12"/>
        <v>1.43E-2</v>
      </c>
      <c r="R20" s="2427"/>
      <c r="S20" s="2440"/>
      <c r="T20" s="2441"/>
      <c r="U20" s="2441"/>
      <c r="V20" s="2441"/>
      <c r="X20" s="2410">
        <f>ROUND(SUMPRODUCT(PRODUCT(1+N20:N$34)),4)</f>
        <v>1.4274</v>
      </c>
      <c r="Y20" s="2460">
        <f>ROUND(SUMPRODUCT(PRODUCT(1+O20:O$34)),4)</f>
        <v>1.2685</v>
      </c>
      <c r="Z20" s="2410">
        <f t="shared" si="7"/>
        <v>1.2685</v>
      </c>
      <c r="AA20" s="2410">
        <f>ROUND(SUMPRODUCT(PRODUCT(1+P20:P$34)),4)</f>
        <v>1.4825999999999999</v>
      </c>
      <c r="AB20" s="2410">
        <f>ROUND(SUMPRODUCT(PRODUCT(1+Q20:Q$34)),4)</f>
        <v>1.2309000000000001</v>
      </c>
      <c r="AD20" s="2411">
        <f>ROUND(AVERAGE(I20:I$35)/100,4)</f>
        <v>2.4500000000000001E-2</v>
      </c>
      <c r="AE20" s="2411">
        <f>ROUND(AVERAGE(J20:J$35)/100,4)</f>
        <v>1.6500000000000001E-2</v>
      </c>
      <c r="AF20" s="2411">
        <f t="shared" si="0"/>
        <v>1.6500000000000001E-2</v>
      </c>
      <c r="AG20" s="2411">
        <f>ROUND(AVERAGE(K20:K$35)/100,4)</f>
        <v>2.7099999999999999E-2</v>
      </c>
      <c r="AH20" s="2411">
        <f>ROUND(AVERAGE(L20:L$35)/100,4)</f>
        <v>1.3899999999999999E-2</v>
      </c>
    </row>
    <row r="21" spans="1:34" s="2430" customFormat="1" ht="14.45" customHeight="1">
      <c r="A21" s="2423" t="s">
        <v>2850</v>
      </c>
      <c r="B21" s="2424">
        <f t="shared" ref="B21:C23" si="14">B22*(1+N21)</f>
        <v>431.80730811680002</v>
      </c>
      <c r="C21" s="2424">
        <f t="shared" si="14"/>
        <v>320.57880516480003</v>
      </c>
      <c r="D21" s="2424">
        <f t="shared" si="3"/>
        <v>320.57880516480003</v>
      </c>
      <c r="E21" s="2424">
        <f t="shared" ref="E21:F23" si="15">E22*(1+P21)</f>
        <v>615.96110553196797</v>
      </c>
      <c r="F21" s="2424">
        <f t="shared" si="15"/>
        <v>279.46777300108801</v>
      </c>
      <c r="G21" s="3947"/>
      <c r="H21" s="2425">
        <v>3</v>
      </c>
      <c r="I21" s="2425">
        <v>2.98</v>
      </c>
      <c r="J21" s="2425">
        <v>2.11</v>
      </c>
      <c r="K21" s="2425">
        <v>3.24</v>
      </c>
      <c r="L21" s="2431">
        <v>1.72</v>
      </c>
      <c r="M21" s="2410"/>
      <c r="N21" s="2426">
        <f t="shared" si="13"/>
        <v>2.98E-2</v>
      </c>
      <c r="O21" s="2462">
        <f t="shared" si="10"/>
        <v>2.1099999999999997E-2</v>
      </c>
      <c r="P21" s="2411">
        <f t="shared" si="11"/>
        <v>3.2400000000000005E-2</v>
      </c>
      <c r="Q21" s="2411">
        <f t="shared" si="12"/>
        <v>1.72E-2</v>
      </c>
      <c r="R21" s="2427"/>
      <c r="S21" s="2426"/>
      <c r="T21" s="2411"/>
      <c r="U21" s="2411"/>
      <c r="V21" s="2411"/>
      <c r="W21" s="2428"/>
      <c r="X21" s="2428">
        <f>ROUND(SUMPRODUCT(PRODUCT(1+N21:N$34)),4)</f>
        <v>1.4034</v>
      </c>
      <c r="Y21" s="2460">
        <f>ROUND(SUMPRODUCT(PRODUCT(1+O21:O$34)),4)</f>
        <v>1.2463</v>
      </c>
      <c r="Z21" s="2428">
        <f t="shared" si="7"/>
        <v>1.2463</v>
      </c>
      <c r="AA21" s="2428">
        <f>ROUND(SUMPRODUCT(PRODUCT(1+P21:P$34)),4)</f>
        <v>1.4577</v>
      </c>
      <c r="AB21" s="2428">
        <f>ROUND(SUMPRODUCT(PRODUCT(1+Q21:Q$34)),4)</f>
        <v>1.2136</v>
      </c>
      <c r="AC21" s="2428"/>
      <c r="AD21" s="2429">
        <f>ROUND(AVERAGE(I21:I$35)/100,4)</f>
        <v>2.4899999999999999E-2</v>
      </c>
      <c r="AE21" s="2429">
        <f>ROUND(AVERAGE(J21:J$35)/100,4)</f>
        <v>1.6400000000000001E-2</v>
      </c>
      <c r="AF21" s="2429">
        <f t="shared" si="0"/>
        <v>1.6400000000000001E-2</v>
      </c>
      <c r="AG21" s="2429">
        <f>ROUND(AVERAGE(K21:K$35)/100,4)</f>
        <v>2.7799999999999998E-2</v>
      </c>
      <c r="AH21" s="2429">
        <f>ROUND(AVERAGE(L21:L$35)/100,4)</f>
        <v>1.3899999999999999E-2</v>
      </c>
    </row>
    <row r="22" spans="1:34" s="2417" customFormat="1" ht="14.45" customHeight="1">
      <c r="A22" s="2423" t="s">
        <v>1351</v>
      </c>
      <c r="B22" s="2424">
        <f t="shared" si="14"/>
        <v>419.31181600000002</v>
      </c>
      <c r="C22" s="2424">
        <f t="shared" si="14"/>
        <v>313.95436800000004</v>
      </c>
      <c r="D22" s="2424">
        <f t="shared" si="3"/>
        <v>313.95436800000004</v>
      </c>
      <c r="E22" s="2424">
        <f t="shared" si="15"/>
        <v>596.63028431999999</v>
      </c>
      <c r="F22" s="2424">
        <f t="shared" si="15"/>
        <v>274.74220703999998</v>
      </c>
      <c r="G22" s="3947"/>
      <c r="H22" s="2436">
        <v>2</v>
      </c>
      <c r="I22" s="2436">
        <v>3.4</v>
      </c>
      <c r="J22" s="2436">
        <v>2</v>
      </c>
      <c r="K22" s="2436">
        <v>3.82</v>
      </c>
      <c r="L22" s="2437">
        <v>1.68</v>
      </c>
      <c r="M22" s="2410"/>
      <c r="N22" s="2426">
        <f t="shared" si="13"/>
        <v>3.4000000000000002E-2</v>
      </c>
      <c r="O22" s="2462">
        <f t="shared" si="10"/>
        <v>0.02</v>
      </c>
      <c r="P22" s="2411">
        <f t="shared" si="11"/>
        <v>3.8199999999999998E-2</v>
      </c>
      <c r="Q22" s="2411">
        <f t="shared" si="12"/>
        <v>1.6799999999999999E-2</v>
      </c>
      <c r="R22" s="2427"/>
      <c r="S22" s="2440"/>
      <c r="T22" s="2441"/>
      <c r="U22" s="2441"/>
      <c r="V22" s="2441"/>
      <c r="W22" s="2404"/>
      <c r="X22" s="2428">
        <f>ROUND(SUMPRODUCT(PRODUCT(1+N22:N$34)),4)</f>
        <v>1.3628</v>
      </c>
      <c r="Y22" s="2460">
        <f>ROUND(SUMPRODUCT(PRODUCT(1+O22:O$34)),4)</f>
        <v>1.2205999999999999</v>
      </c>
      <c r="Z22" s="2428">
        <f t="shared" si="7"/>
        <v>1.2205999999999999</v>
      </c>
      <c r="AA22" s="2428">
        <f>ROUND(SUMPRODUCT(PRODUCT(1+P22:P$34)),4)</f>
        <v>1.4118999999999999</v>
      </c>
      <c r="AB22" s="2428">
        <f>ROUND(SUMPRODUCT(PRODUCT(1+Q22:Q$34)),4)</f>
        <v>1.1930000000000001</v>
      </c>
      <c r="AC22" s="2404"/>
      <c r="AD22" s="2429">
        <f>ROUND(AVERAGE(I22:I$35)/100,4)</f>
        <v>2.46E-2</v>
      </c>
      <c r="AE22" s="2429">
        <f>ROUND(AVERAGE(J22:J$35)/100,4)</f>
        <v>1.6E-2</v>
      </c>
      <c r="AF22" s="2429">
        <f t="shared" si="0"/>
        <v>1.6E-2</v>
      </c>
      <c r="AG22" s="2429">
        <f>ROUND(AVERAGE(K22:K$35)/100,4)</f>
        <v>2.75E-2</v>
      </c>
      <c r="AH22" s="2429">
        <f>ROUND(AVERAGE(L22:L$35)/100,4)</f>
        <v>1.37E-2</v>
      </c>
    </row>
    <row r="23" spans="1:34" s="2430" customFormat="1" ht="15" customHeight="1" thickBot="1">
      <c r="A23" s="2423" t="s">
        <v>1128</v>
      </c>
      <c r="B23" s="2424">
        <f t="shared" si="14"/>
        <v>405.524</v>
      </c>
      <c r="C23" s="2424">
        <f t="shared" si="14"/>
        <v>307.79840000000002</v>
      </c>
      <c r="D23" s="2424">
        <f t="shared" si="3"/>
        <v>307.79840000000002</v>
      </c>
      <c r="E23" s="2424">
        <f t="shared" si="15"/>
        <v>574.67759999999998</v>
      </c>
      <c r="F23" s="2424">
        <f t="shared" si="15"/>
        <v>270.20280000000002</v>
      </c>
      <c r="G23" s="3954"/>
      <c r="H23" s="2425">
        <v>1</v>
      </c>
      <c r="I23" s="2425">
        <v>3.45</v>
      </c>
      <c r="J23" s="2425">
        <v>1.92</v>
      </c>
      <c r="K23" s="2425">
        <v>3.92</v>
      </c>
      <c r="L23" s="2431">
        <v>1.58</v>
      </c>
      <c r="M23" s="2410"/>
      <c r="N23" s="2426">
        <f t="shared" si="13"/>
        <v>3.4500000000000003E-2</v>
      </c>
      <c r="O23" s="2462">
        <f t="shared" ref="O23:Q38" si="16">J23/100</f>
        <v>1.9199999999999998E-2</v>
      </c>
      <c r="P23" s="2411">
        <f t="shared" si="16"/>
        <v>3.9199999999999999E-2</v>
      </c>
      <c r="Q23" s="2411">
        <f t="shared" si="16"/>
        <v>1.5800000000000002E-2</v>
      </c>
      <c r="R23" s="2427"/>
      <c r="S23" s="2426">
        <f>B23/B24-1</f>
        <v>3.4499999999999975E-2</v>
      </c>
      <c r="T23" s="2411">
        <f>C23/C24-1</f>
        <v>1.9200000000000106E-2</v>
      </c>
      <c r="U23" s="2411">
        <f>D23/D24-1</f>
        <v>1.9200000000000106E-2</v>
      </c>
      <c r="V23" s="2411">
        <f>E23/E24-1</f>
        <v>3.9199999999999902E-2</v>
      </c>
      <c r="W23" s="2428"/>
      <c r="X23" s="2428">
        <f>ROUND(SUMPRODUCT(PRODUCT(1+N23:N$34)),4)</f>
        <v>1.3180000000000001</v>
      </c>
      <c r="Y23" s="2460">
        <f>ROUND(SUMPRODUCT(PRODUCT(1+O23:O$34)),4)</f>
        <v>1.1966000000000001</v>
      </c>
      <c r="Z23" s="2428">
        <f t="shared" si="7"/>
        <v>1.1966000000000001</v>
      </c>
      <c r="AA23" s="2428">
        <f>ROUND(SUMPRODUCT(PRODUCT(1+P23:P$34)),4)</f>
        <v>1.36</v>
      </c>
      <c r="AB23" s="2428">
        <f>ROUND(SUMPRODUCT(PRODUCT(1+Q23:Q$34)),4)</f>
        <v>1.1733</v>
      </c>
      <c r="AC23" s="2428"/>
      <c r="AD23" s="2429">
        <f>ROUND(AVERAGE(I23:I$35)/100,4)</f>
        <v>2.3900000000000001E-2</v>
      </c>
      <c r="AE23" s="2429">
        <f>ROUND(AVERAGE(J23:J$35)/100,4)</f>
        <v>1.5699999999999999E-2</v>
      </c>
      <c r="AF23" s="2429">
        <f t="shared" si="0"/>
        <v>1.5699999999999999E-2</v>
      </c>
      <c r="AG23" s="2429">
        <f>ROUND(AVERAGE(K23:K$35)/100,4)</f>
        <v>2.6599999999999999E-2</v>
      </c>
      <c r="AH23" s="2429">
        <f>ROUND(AVERAGE(L23:L$35)/100,4)</f>
        <v>1.34E-2</v>
      </c>
    </row>
    <row r="24" spans="1:34">
      <c r="A24" s="2423" t="s">
        <v>154</v>
      </c>
      <c r="B24" s="2438">
        <v>392</v>
      </c>
      <c r="C24" s="2438">
        <v>302</v>
      </c>
      <c r="D24" s="2438">
        <f t="shared" si="3"/>
        <v>302</v>
      </c>
      <c r="E24" s="2438">
        <v>553</v>
      </c>
      <c r="F24" s="2439">
        <v>266</v>
      </c>
      <c r="G24" s="3950">
        <v>2016</v>
      </c>
      <c r="H24" s="2432">
        <v>4</v>
      </c>
      <c r="I24" s="2432">
        <v>4.5599999999999996</v>
      </c>
      <c r="J24" s="2432">
        <v>2.15</v>
      </c>
      <c r="K24" s="2432">
        <v>5.32</v>
      </c>
      <c r="L24" s="2433">
        <v>1.57</v>
      </c>
      <c r="N24" s="2426">
        <f t="shared" si="13"/>
        <v>4.5599999999999995E-2</v>
      </c>
      <c r="O24" s="2411">
        <f t="shared" si="16"/>
        <v>2.1499999999999998E-2</v>
      </c>
      <c r="P24" s="2411">
        <f t="shared" si="16"/>
        <v>5.3200000000000004E-2</v>
      </c>
      <c r="Q24" s="2411">
        <f t="shared" si="16"/>
        <v>1.5700000000000002E-2</v>
      </c>
      <c r="R24" s="2427"/>
      <c r="S24" s="2440"/>
      <c r="T24" s="2441"/>
      <c r="U24" s="2441"/>
      <c r="V24" s="2441"/>
      <c r="X24" s="2410">
        <f>ROUND(SUMPRODUCT(PRODUCT(1+N24:N$34)),4)</f>
        <v>1.274</v>
      </c>
      <c r="Y24" s="2410">
        <f>ROUND(SUMPRODUCT(PRODUCT(1+O24:O$34)),4)</f>
        <v>1.1740999999999999</v>
      </c>
      <c r="Z24" s="2410">
        <f t="shared" si="7"/>
        <v>1.1740999999999999</v>
      </c>
      <c r="AA24" s="2410">
        <f>ROUND(SUMPRODUCT(PRODUCT(1+P24:P$34)),4)</f>
        <v>1.3087</v>
      </c>
      <c r="AB24" s="2410">
        <f>ROUND(SUMPRODUCT(PRODUCT(1+Q24:Q$34)),4)</f>
        <v>1.1551</v>
      </c>
      <c r="AD24" s="2411">
        <f>ROUND(AVERAGE(I24:I$35)/100,4)</f>
        <v>2.3E-2</v>
      </c>
      <c r="AE24" s="2411">
        <f>ROUND(AVERAGE(J24:J$35)/100,4)</f>
        <v>1.55E-2</v>
      </c>
      <c r="AF24" s="2411">
        <f t="shared" si="0"/>
        <v>1.55E-2</v>
      </c>
      <c r="AG24" s="2411">
        <f>ROUND(AVERAGE(K24:K$35)/100,4)</f>
        <v>2.5600000000000001E-2</v>
      </c>
      <c r="AH24" s="2411">
        <f>ROUND(AVERAGE(L24:L$35)/100,4)</f>
        <v>1.32E-2</v>
      </c>
    </row>
    <row r="25" spans="1:34">
      <c r="A25" s="2423" t="s">
        <v>153</v>
      </c>
      <c r="B25" s="2424">
        <f t="shared" ref="B25:C27" si="17">B24/(1+N24)</f>
        <v>374.90436113236416</v>
      </c>
      <c r="C25" s="2424">
        <f t="shared" si="17"/>
        <v>295.64366128242779</v>
      </c>
      <c r="D25" s="2424">
        <f t="shared" ref="D25:D84" si="18">C25</f>
        <v>295.64366128242779</v>
      </c>
      <c r="E25" s="2424">
        <f t="shared" ref="E25:F27" si="19">E24/(1+P24)</f>
        <v>525.06646410938095</v>
      </c>
      <c r="F25" s="2424">
        <f t="shared" si="19"/>
        <v>261.88835286009646</v>
      </c>
      <c r="G25" s="3947"/>
      <c r="H25" s="2425">
        <v>3</v>
      </c>
      <c r="I25" s="2425">
        <v>4.12</v>
      </c>
      <c r="J25" s="2425">
        <v>2</v>
      </c>
      <c r="K25" s="2425">
        <v>4.79</v>
      </c>
      <c r="L25" s="2431">
        <v>1.97</v>
      </c>
      <c r="N25" s="2426">
        <f t="shared" ref="N25:Q59" si="20">I25/100</f>
        <v>4.1200000000000001E-2</v>
      </c>
      <c r="O25" s="2411">
        <f t="shared" si="16"/>
        <v>0.02</v>
      </c>
      <c r="P25" s="2411">
        <f t="shared" si="16"/>
        <v>4.7899999999999998E-2</v>
      </c>
      <c r="Q25" s="2411">
        <f t="shared" si="16"/>
        <v>1.9699999999999999E-2</v>
      </c>
      <c r="R25" s="2427"/>
      <c r="S25" s="2426"/>
      <c r="T25" s="2411"/>
      <c r="U25" s="2411"/>
      <c r="V25" s="2411"/>
      <c r="X25" s="2410">
        <f>ROUND(SUMPRODUCT(PRODUCT(1+N25:N$34)),4)</f>
        <v>1.2184999999999999</v>
      </c>
      <c r="Y25" s="2410">
        <f>ROUND(SUMPRODUCT(PRODUCT(1+O25:O$34)),4)</f>
        <v>1.1494</v>
      </c>
      <c r="Z25" s="2410">
        <f t="shared" si="7"/>
        <v>1.1494</v>
      </c>
      <c r="AA25" s="2410">
        <f>ROUND(SUMPRODUCT(PRODUCT(1+P25:P$34)),4)</f>
        <v>1.2425999999999999</v>
      </c>
      <c r="AB25" s="2410">
        <f>ROUND(SUMPRODUCT(PRODUCT(1+Q25:Q$34)),4)</f>
        <v>1.1372</v>
      </c>
      <c r="AD25" s="2411">
        <f>ROUND(AVERAGE(I25:I$35)/100,4)</f>
        <v>2.0899999999999998E-2</v>
      </c>
      <c r="AE25" s="2411">
        <f>ROUND(AVERAGE(J25:J$35)/100,4)</f>
        <v>1.49E-2</v>
      </c>
      <c r="AF25" s="2411">
        <f t="shared" si="0"/>
        <v>1.49E-2</v>
      </c>
      <c r="AG25" s="2411">
        <f>ROUND(AVERAGE(K25:K$35)/100,4)</f>
        <v>2.3099999999999999E-2</v>
      </c>
      <c r="AH25" s="2411">
        <f>ROUND(AVERAGE(L25:L$35)/100,4)</f>
        <v>1.2999999999999999E-2</v>
      </c>
    </row>
    <row r="26" spans="1:34">
      <c r="A26" s="2423" t="s">
        <v>143</v>
      </c>
      <c r="B26" s="2424">
        <f t="shared" si="17"/>
        <v>360.06949782209392</v>
      </c>
      <c r="C26" s="2424">
        <f t="shared" si="17"/>
        <v>289.84672674747821</v>
      </c>
      <c r="D26" s="2424">
        <f t="shared" si="18"/>
        <v>289.84672674747821</v>
      </c>
      <c r="E26" s="2424">
        <f t="shared" si="19"/>
        <v>501.06543001181495</v>
      </c>
      <c r="F26" s="2424">
        <f t="shared" si="19"/>
        <v>256.82882500744967</v>
      </c>
      <c r="G26" s="3947"/>
      <c r="H26" s="2436">
        <v>2</v>
      </c>
      <c r="I26" s="2436">
        <v>3.85</v>
      </c>
      <c r="J26" s="2436">
        <v>1.95</v>
      </c>
      <c r="K26" s="2436">
        <v>4.4800000000000004</v>
      </c>
      <c r="L26" s="2437">
        <v>1.41</v>
      </c>
      <c r="N26" s="2426">
        <f t="shared" si="20"/>
        <v>3.85E-2</v>
      </c>
      <c r="O26" s="2411">
        <f t="shared" si="16"/>
        <v>1.95E-2</v>
      </c>
      <c r="P26" s="2411">
        <f t="shared" si="16"/>
        <v>4.4800000000000006E-2</v>
      </c>
      <c r="Q26" s="2411">
        <f t="shared" si="16"/>
        <v>1.41E-2</v>
      </c>
      <c r="R26" s="2427"/>
      <c r="S26" s="2426"/>
      <c r="T26" s="2411"/>
      <c r="U26" s="2411"/>
      <c r="V26" s="2411"/>
      <c r="X26" s="2410">
        <f>ROUND(SUMPRODUCT(PRODUCT(1+N26:N$34)),4)</f>
        <v>1.1702999999999999</v>
      </c>
      <c r="Y26" s="2410">
        <f>ROUND(SUMPRODUCT(PRODUCT(1+O26:O$34)),4)</f>
        <v>1.1269</v>
      </c>
      <c r="Z26" s="2410">
        <f t="shared" si="7"/>
        <v>1.1269</v>
      </c>
      <c r="AA26" s="2410">
        <f>ROUND(SUMPRODUCT(PRODUCT(1+P26:P$34)),4)</f>
        <v>1.1858</v>
      </c>
      <c r="AB26" s="2410">
        <f>ROUND(SUMPRODUCT(PRODUCT(1+Q26:Q$34)),4)</f>
        <v>1.1152</v>
      </c>
      <c r="AD26" s="2411">
        <f>ROUND(AVERAGE(I26:I$35)/100,4)</f>
        <v>1.89E-2</v>
      </c>
      <c r="AE26" s="2411">
        <f>ROUND(AVERAGE(J26:J$35)/100,4)</f>
        <v>1.44E-2</v>
      </c>
      <c r="AF26" s="2411">
        <f t="shared" si="0"/>
        <v>1.44E-2</v>
      </c>
      <c r="AG26" s="2411">
        <f>ROUND(AVERAGE(K26:K$35)/100,4)</f>
        <v>2.06E-2</v>
      </c>
      <c r="AH26" s="2411">
        <f>ROUND(AVERAGE(L26:L$35)/100,4)</f>
        <v>1.23E-2</v>
      </c>
    </row>
    <row r="27" spans="1:34" ht="13.5" thickBot="1">
      <c r="A27" s="2423" t="s">
        <v>152</v>
      </c>
      <c r="B27" s="2424">
        <f t="shared" si="17"/>
        <v>346.720748986128</v>
      </c>
      <c r="C27" s="2424">
        <f t="shared" si="17"/>
        <v>284.30282172386285</v>
      </c>
      <c r="D27" s="2424">
        <f t="shared" si="18"/>
        <v>284.30282172386285</v>
      </c>
      <c r="E27" s="2424">
        <f t="shared" si="19"/>
        <v>479.58023546306947</v>
      </c>
      <c r="F27" s="2424">
        <f t="shared" si="19"/>
        <v>253.25788877571213</v>
      </c>
      <c r="G27" s="3948"/>
      <c r="H27" s="2425">
        <v>1</v>
      </c>
      <c r="I27" s="2425">
        <v>4.09</v>
      </c>
      <c r="J27" s="2425">
        <v>2.93</v>
      </c>
      <c r="K27" s="2425">
        <v>4.54</v>
      </c>
      <c r="L27" s="2431">
        <v>1.48</v>
      </c>
      <c r="N27" s="2426">
        <f t="shared" si="20"/>
        <v>4.0899999999999999E-2</v>
      </c>
      <c r="O27" s="2411">
        <f t="shared" si="16"/>
        <v>2.9300000000000003E-2</v>
      </c>
      <c r="P27" s="2411">
        <f t="shared" si="16"/>
        <v>4.5400000000000003E-2</v>
      </c>
      <c r="Q27" s="2411">
        <f t="shared" si="16"/>
        <v>1.4800000000000001E-2</v>
      </c>
      <c r="R27" s="2427"/>
      <c r="S27" s="2442">
        <f>B27/B28-1</f>
        <v>4.1203450408792808E-2</v>
      </c>
      <c r="T27" s="2443">
        <f>C27/C28-1</f>
        <v>2.6363977342465095E-2</v>
      </c>
      <c r="U27" s="2443">
        <f>E27/E28-1</f>
        <v>4.4837114298626357E-2</v>
      </c>
      <c r="V27" s="2443">
        <f>F27/F28-1</f>
        <v>1.7099954922538574E-2</v>
      </c>
      <c r="X27" s="2410">
        <f>ROUND(SUMPRODUCT(PRODUCT(1+N27:N$34)),4)</f>
        <v>1.1269</v>
      </c>
      <c r="Y27" s="2410">
        <f>ROUND(SUMPRODUCT(PRODUCT(1+O27:O$34)),4)</f>
        <v>1.1052999999999999</v>
      </c>
      <c r="Z27" s="2410">
        <f t="shared" si="7"/>
        <v>1.1052999999999999</v>
      </c>
      <c r="AA27" s="2410">
        <f>ROUND(SUMPRODUCT(PRODUCT(1+P27:P$34)),4)</f>
        <v>1.1349</v>
      </c>
      <c r="AB27" s="2410">
        <f>ROUND(SUMPRODUCT(PRODUCT(1+Q27:Q$34)),4)</f>
        <v>1.0996999999999999</v>
      </c>
      <c r="AD27" s="2411">
        <f>ROUND(AVERAGE(I27:I$35)/100,4)</f>
        <v>1.67E-2</v>
      </c>
      <c r="AE27" s="2411">
        <f>ROUND(AVERAGE(J27:J$35)/100,4)</f>
        <v>1.38E-2</v>
      </c>
      <c r="AF27" s="2411">
        <f t="shared" si="0"/>
        <v>1.38E-2</v>
      </c>
      <c r="AG27" s="2411">
        <f>ROUND(AVERAGE(K27:K$35)/100,4)</f>
        <v>1.7899999999999999E-2</v>
      </c>
      <c r="AH27" s="2411">
        <f>ROUND(AVERAGE(L27:L$35)/100,4)</f>
        <v>1.21E-2</v>
      </c>
    </row>
    <row r="28" spans="1:34" ht="13.5" thickBot="1">
      <c r="A28" s="2423" t="s">
        <v>151</v>
      </c>
      <c r="B28" s="2438">
        <v>333</v>
      </c>
      <c r="C28" s="2438">
        <v>277</v>
      </c>
      <c r="D28" s="2438">
        <f t="shared" si="18"/>
        <v>277</v>
      </c>
      <c r="E28" s="2438">
        <v>459</v>
      </c>
      <c r="F28" s="2439">
        <v>249</v>
      </c>
      <c r="G28" s="3946">
        <v>2015</v>
      </c>
      <c r="H28" s="2444">
        <v>4</v>
      </c>
      <c r="I28" s="2444">
        <v>1.63</v>
      </c>
      <c r="J28" s="2444">
        <v>1.1100000000000001</v>
      </c>
      <c r="K28" s="2444">
        <v>1.77</v>
      </c>
      <c r="L28" s="2445">
        <v>1.89</v>
      </c>
      <c r="N28" s="2446">
        <f t="shared" si="20"/>
        <v>1.6299999999999999E-2</v>
      </c>
      <c r="O28" s="2447">
        <f t="shared" si="16"/>
        <v>1.11E-2</v>
      </c>
      <c r="P28" s="2447">
        <f t="shared" si="16"/>
        <v>1.77E-2</v>
      </c>
      <c r="Q28" s="2447">
        <f t="shared" si="16"/>
        <v>1.89E-2</v>
      </c>
      <c r="R28" s="2427"/>
      <c r="X28" s="2410">
        <f>ROUND(SUMPRODUCT(PRODUCT(1+N28:N$34)),4)</f>
        <v>1.0826</v>
      </c>
      <c r="Y28" s="2410">
        <f>ROUND(SUMPRODUCT(PRODUCT(1+O28:O$34)),4)</f>
        <v>1.0738000000000001</v>
      </c>
      <c r="Z28" s="2410">
        <f t="shared" si="7"/>
        <v>1.0738000000000001</v>
      </c>
      <c r="AA28" s="2410">
        <f>ROUND(SUMPRODUCT(PRODUCT(1+P28:P$34)),4)</f>
        <v>1.0855999999999999</v>
      </c>
      <c r="AB28" s="2410">
        <f>ROUND(SUMPRODUCT(PRODUCT(1+Q28:Q$34)),4)</f>
        <v>1.0837000000000001</v>
      </c>
      <c r="AD28" s="2411">
        <f>ROUND(AVERAGE(I28:I$35)/100,4)</f>
        <v>1.37E-2</v>
      </c>
      <c r="AE28" s="2411">
        <f>ROUND(AVERAGE(J28:J$35)/100,4)</f>
        <v>1.1900000000000001E-2</v>
      </c>
      <c r="AF28" s="2411">
        <f t="shared" si="0"/>
        <v>1.1900000000000001E-2</v>
      </c>
      <c r="AG28" s="2411">
        <f>ROUND(AVERAGE(K28:K$35)/100,4)</f>
        <v>1.4500000000000001E-2</v>
      </c>
      <c r="AH28" s="2411">
        <f>ROUND(AVERAGE(L28:L$35)/100,4)</f>
        <v>1.18E-2</v>
      </c>
    </row>
    <row r="29" spans="1:34">
      <c r="A29" s="2423" t="s">
        <v>150</v>
      </c>
      <c r="B29" s="2424">
        <f t="shared" ref="B29:C31" si="21">B28/(1+N28)</f>
        <v>327.65915576109415</v>
      </c>
      <c r="C29" s="2424">
        <f t="shared" si="21"/>
        <v>273.95905449510434</v>
      </c>
      <c r="D29" s="2424">
        <f t="shared" si="18"/>
        <v>273.95905449510434</v>
      </c>
      <c r="E29" s="2424">
        <f t="shared" ref="E29:F31" si="22">E28/(1+P28)</f>
        <v>451.01699911565294</v>
      </c>
      <c r="F29" s="2424">
        <f t="shared" si="22"/>
        <v>244.38119540681129</v>
      </c>
      <c r="G29" s="3947"/>
      <c r="H29" s="2449">
        <v>3</v>
      </c>
      <c r="I29" s="2449">
        <v>1.65</v>
      </c>
      <c r="J29" s="2449">
        <v>0.92</v>
      </c>
      <c r="K29" s="2449">
        <v>1.88</v>
      </c>
      <c r="L29" s="2450">
        <v>1.26</v>
      </c>
      <c r="N29" s="2426">
        <f t="shared" si="20"/>
        <v>1.6500000000000001E-2</v>
      </c>
      <c r="O29" s="2451">
        <f t="shared" si="16"/>
        <v>9.1999999999999998E-3</v>
      </c>
      <c r="P29" s="2451">
        <f t="shared" si="16"/>
        <v>1.8799999999999997E-2</v>
      </c>
      <c r="Q29" s="2451">
        <f t="shared" si="16"/>
        <v>1.26E-2</v>
      </c>
      <c r="R29" s="2427"/>
      <c r="S29" s="2426"/>
      <c r="T29" s="2411"/>
      <c r="U29" s="2411"/>
      <c r="V29" s="2411"/>
      <c r="X29" s="2410">
        <f>ROUND(SUMPRODUCT(PRODUCT(1+N29:N$34)),4)</f>
        <v>1.0651999999999999</v>
      </c>
      <c r="Y29" s="2410">
        <f>ROUND(SUMPRODUCT(PRODUCT(1+O29:O$34)),4)</f>
        <v>1.0621</v>
      </c>
      <c r="Z29" s="2410">
        <f t="shared" si="7"/>
        <v>1.0621</v>
      </c>
      <c r="AA29" s="2410">
        <f>ROUND(SUMPRODUCT(PRODUCT(1+P29:P$34)),4)</f>
        <v>1.0668</v>
      </c>
      <c r="AB29" s="2410">
        <f>ROUND(SUMPRODUCT(PRODUCT(1+Q29:Q$34)),4)</f>
        <v>1.0636000000000001</v>
      </c>
      <c r="AD29" s="2411">
        <f>ROUND(AVERAGE(I29:I$35)/100,4)</f>
        <v>1.3299999999999999E-2</v>
      </c>
      <c r="AE29" s="2411">
        <f>ROUND(AVERAGE(J29:J$35)/100,4)</f>
        <v>1.2E-2</v>
      </c>
      <c r="AF29" s="2411">
        <f t="shared" si="0"/>
        <v>1.2E-2</v>
      </c>
      <c r="AG29" s="2411">
        <f>ROUND(AVERAGE(K29:K$35)/100,4)</f>
        <v>1.4E-2</v>
      </c>
      <c r="AH29" s="2411">
        <f>ROUND(AVERAGE(L29:L$35)/100,4)</f>
        <v>1.0800000000000001E-2</v>
      </c>
    </row>
    <row r="30" spans="1:34">
      <c r="A30" s="2423" t="s">
        <v>149</v>
      </c>
      <c r="B30" s="2424">
        <f t="shared" si="21"/>
        <v>322.34053690220776</v>
      </c>
      <c r="C30" s="2424">
        <f t="shared" si="21"/>
        <v>271.46160770422546</v>
      </c>
      <c r="D30" s="2424">
        <f t="shared" si="18"/>
        <v>271.46160770422546</v>
      </c>
      <c r="E30" s="2424">
        <f t="shared" si="22"/>
        <v>442.69434542172456</v>
      </c>
      <c r="F30" s="2424">
        <f t="shared" si="22"/>
        <v>241.34030753190925</v>
      </c>
      <c r="G30" s="3947"/>
      <c r="H30" s="2436">
        <v>2</v>
      </c>
      <c r="I30" s="2436">
        <v>0.77</v>
      </c>
      <c r="J30" s="2436">
        <v>0.69</v>
      </c>
      <c r="K30" s="2436">
        <v>0.8</v>
      </c>
      <c r="L30" s="2437">
        <v>0.88</v>
      </c>
      <c r="N30" s="2426">
        <f t="shared" si="20"/>
        <v>7.7000000000000002E-3</v>
      </c>
      <c r="O30" s="2451">
        <f t="shared" si="16"/>
        <v>6.8999999999999999E-3</v>
      </c>
      <c r="P30" s="2451">
        <f t="shared" si="16"/>
        <v>8.0000000000000002E-3</v>
      </c>
      <c r="Q30" s="2451">
        <f t="shared" si="16"/>
        <v>8.8000000000000005E-3</v>
      </c>
      <c r="R30" s="2427"/>
      <c r="S30" s="2426"/>
      <c r="T30" s="2411"/>
      <c r="U30" s="2411"/>
      <c r="V30" s="2411"/>
      <c r="X30" s="2410">
        <f>ROUND(SUMPRODUCT(PRODUCT(1+N30:N$34)),4)</f>
        <v>1.048</v>
      </c>
      <c r="Y30" s="2410">
        <f>ROUND(SUMPRODUCT(PRODUCT(1+O30:O$34)),4)</f>
        <v>1.0524</v>
      </c>
      <c r="Z30" s="2410">
        <f t="shared" si="7"/>
        <v>1.0524</v>
      </c>
      <c r="AA30" s="2410">
        <f>ROUND(SUMPRODUCT(PRODUCT(1+P30:P$34)),4)</f>
        <v>1.0470999999999999</v>
      </c>
      <c r="AB30" s="2410">
        <f>ROUND(SUMPRODUCT(PRODUCT(1+Q30:Q$34)),4)</f>
        <v>1.0504</v>
      </c>
      <c r="AD30" s="2411">
        <f>ROUND(AVERAGE(I30:I$35)/100,4)</f>
        <v>1.2800000000000001E-2</v>
      </c>
      <c r="AE30" s="2411">
        <f>ROUND(AVERAGE(J30:J$35)/100,4)</f>
        <v>1.2500000000000001E-2</v>
      </c>
      <c r="AF30" s="2411">
        <f t="shared" si="0"/>
        <v>1.2500000000000001E-2</v>
      </c>
      <c r="AG30" s="2411">
        <f>ROUND(AVERAGE(K30:K$35)/100,4)</f>
        <v>1.32E-2</v>
      </c>
      <c r="AH30" s="2411">
        <f>ROUND(AVERAGE(L30:L$35)/100,4)</f>
        <v>1.0500000000000001E-2</v>
      </c>
    </row>
    <row r="31" spans="1:34">
      <c r="A31" s="2423" t="s">
        <v>148</v>
      </c>
      <c r="B31" s="2424">
        <f t="shared" si="21"/>
        <v>319.87748030386797</v>
      </c>
      <c r="C31" s="2424">
        <f t="shared" si="21"/>
        <v>269.60135833173649</v>
      </c>
      <c r="D31" s="2424">
        <f t="shared" si="18"/>
        <v>269.60135833173649</v>
      </c>
      <c r="E31" s="2424">
        <f t="shared" si="22"/>
        <v>439.18089823583784</v>
      </c>
      <c r="F31" s="2424">
        <f t="shared" si="22"/>
        <v>239.23503918706311</v>
      </c>
      <c r="G31" s="3948"/>
      <c r="H31" s="2425">
        <v>1</v>
      </c>
      <c r="I31" s="2425">
        <v>0.51</v>
      </c>
      <c r="J31" s="2425">
        <v>0.54</v>
      </c>
      <c r="K31" s="2425">
        <v>0.48</v>
      </c>
      <c r="L31" s="2431">
        <v>0.93</v>
      </c>
      <c r="N31" s="2442">
        <f t="shared" si="20"/>
        <v>5.1000000000000004E-3</v>
      </c>
      <c r="O31" s="2443">
        <f t="shared" si="16"/>
        <v>5.4000000000000003E-3</v>
      </c>
      <c r="P31" s="2443">
        <f t="shared" si="16"/>
        <v>4.7999999999999996E-3</v>
      </c>
      <c r="Q31" s="2443">
        <f t="shared" si="16"/>
        <v>9.300000000000001E-3</v>
      </c>
      <c r="R31" s="2427"/>
      <c r="S31" s="2442">
        <f>B31/B32-1</f>
        <v>5.9040261127922822E-3</v>
      </c>
      <c r="T31" s="2443">
        <f>C31/C32-1</f>
        <v>5.9752176557332781E-3</v>
      </c>
      <c r="U31" s="2443">
        <f>E31/E32-1</f>
        <v>4.9906138119859556E-3</v>
      </c>
      <c r="V31" s="2443">
        <f>F31/F32-1</f>
        <v>9.4305450930933787E-3</v>
      </c>
      <c r="X31" s="2410">
        <f>ROUND(SUMPRODUCT(PRODUCT(1+N31:N$34)),4)</f>
        <v>1.0399</v>
      </c>
      <c r="Y31" s="2410">
        <f>ROUND(SUMPRODUCT(PRODUCT(1+O31:O$34)),4)</f>
        <v>1.0451999999999999</v>
      </c>
      <c r="Z31" s="2410">
        <f t="shared" si="7"/>
        <v>1.0451999999999999</v>
      </c>
      <c r="AA31" s="2410">
        <f>ROUND(SUMPRODUCT(PRODUCT(1+P31:P$34)),4)</f>
        <v>1.0387999999999999</v>
      </c>
      <c r="AB31" s="2410">
        <f>ROUND(SUMPRODUCT(PRODUCT(1+Q31:Q$34)),4)</f>
        <v>1.0411999999999999</v>
      </c>
      <c r="AD31" s="2411">
        <f>ROUND(AVERAGE(I31:I$35)/100,4)</f>
        <v>1.38E-2</v>
      </c>
      <c r="AE31" s="2411">
        <f>ROUND(AVERAGE(J31:J$35)/100,4)</f>
        <v>1.3599999999999999E-2</v>
      </c>
      <c r="AF31" s="2411">
        <f t="shared" si="0"/>
        <v>1.3599999999999999E-2</v>
      </c>
      <c r="AG31" s="2411">
        <f>ROUND(AVERAGE(K31:K$35)/100,4)</f>
        <v>1.4200000000000001E-2</v>
      </c>
      <c r="AH31" s="2411">
        <f>ROUND(AVERAGE(L31:L$35)/100,4)</f>
        <v>1.0800000000000001E-2</v>
      </c>
    </row>
    <row r="32" spans="1:34" ht="13.5" thickBot="1">
      <c r="A32" s="2423" t="s">
        <v>147</v>
      </c>
      <c r="B32" s="2452">
        <v>318</v>
      </c>
      <c r="C32" s="2452">
        <v>268</v>
      </c>
      <c r="D32" s="2452">
        <f t="shared" si="18"/>
        <v>268</v>
      </c>
      <c r="E32" s="2452">
        <v>437</v>
      </c>
      <c r="F32" s="2453">
        <v>237</v>
      </c>
      <c r="G32" s="3946">
        <v>2014</v>
      </c>
      <c r="H32" s="2444">
        <v>4</v>
      </c>
      <c r="I32" s="2444">
        <v>0.21</v>
      </c>
      <c r="J32" s="2444">
        <v>0.41</v>
      </c>
      <c r="K32" s="2444">
        <v>0.12</v>
      </c>
      <c r="L32" s="2445">
        <v>0.89</v>
      </c>
      <c r="N32" s="2426">
        <f t="shared" si="20"/>
        <v>2.0999999999999999E-3</v>
      </c>
      <c r="O32" s="2411">
        <f t="shared" si="16"/>
        <v>4.0999999999999995E-3</v>
      </c>
      <c r="P32" s="2411">
        <f t="shared" si="16"/>
        <v>1.1999999999999999E-3</v>
      </c>
      <c r="Q32" s="2411">
        <f t="shared" si="16"/>
        <v>8.8999999999999999E-3</v>
      </c>
      <c r="R32" s="2427"/>
      <c r="S32" s="2440"/>
      <c r="T32" s="2441"/>
      <c r="U32" s="2441"/>
      <c r="V32" s="2441"/>
      <c r="X32" s="2410">
        <f>ROUND(SUMPRODUCT(PRODUCT(1+N32:N$34)),4)</f>
        <v>1.0347</v>
      </c>
      <c r="Y32" s="2410">
        <f>ROUND(SUMPRODUCT(PRODUCT(1+O32:O$34)),4)</f>
        <v>1.0395000000000001</v>
      </c>
      <c r="Z32" s="2410">
        <f t="shared" si="7"/>
        <v>1.0395000000000001</v>
      </c>
      <c r="AA32" s="2410">
        <f>ROUND(SUMPRODUCT(PRODUCT(1+P32:P$34)),4)</f>
        <v>1.0338000000000001</v>
      </c>
      <c r="AB32" s="2410">
        <f>ROUND(SUMPRODUCT(PRODUCT(1+Q32:Q$34)),4)</f>
        <v>1.0316000000000001</v>
      </c>
      <c r="AD32" s="2411">
        <f>ROUND(AVERAGE(I32:I$35)/100,4)</f>
        <v>1.6E-2</v>
      </c>
      <c r="AE32" s="2411">
        <f>ROUND(AVERAGE(J32:J$35)/100,4)</f>
        <v>1.5599999999999999E-2</v>
      </c>
      <c r="AF32" s="2411">
        <f t="shared" si="0"/>
        <v>1.5599999999999999E-2</v>
      </c>
      <c r="AG32" s="2411">
        <f>ROUND(AVERAGE(K32:K$35)/100,4)</f>
        <v>1.66E-2</v>
      </c>
      <c r="AH32" s="2411">
        <f>ROUND(AVERAGE(L32:L$35)/100,4)</f>
        <v>1.12E-2</v>
      </c>
    </row>
    <row r="33" spans="1:34">
      <c r="A33" s="2423" t="s">
        <v>146</v>
      </c>
      <c r="B33" s="2424">
        <f t="shared" ref="B33:C35" si="23">B32/(1+N32)</f>
        <v>317.33359944117353</v>
      </c>
      <c r="C33" s="2424">
        <f t="shared" si="23"/>
        <v>266.90568668459315</v>
      </c>
      <c r="D33" s="2424">
        <f t="shared" si="18"/>
        <v>266.90568668459315</v>
      </c>
      <c r="E33" s="2424">
        <f t="shared" ref="E33:F35" si="24">E32/(1+P32)</f>
        <v>436.47622852576905</v>
      </c>
      <c r="F33" s="2424">
        <f t="shared" si="24"/>
        <v>234.90930716622066</v>
      </c>
      <c r="G33" s="3947"/>
      <c r="H33" s="2454">
        <v>3</v>
      </c>
      <c r="I33" s="2454">
        <v>0.83</v>
      </c>
      <c r="J33" s="2454">
        <v>1.47</v>
      </c>
      <c r="K33" s="2454">
        <v>0.65</v>
      </c>
      <c r="L33" s="2455">
        <v>0.72</v>
      </c>
      <c r="N33" s="2426">
        <f t="shared" si="20"/>
        <v>8.3000000000000001E-3</v>
      </c>
      <c r="O33" s="2411">
        <f t="shared" si="16"/>
        <v>1.47E-2</v>
      </c>
      <c r="P33" s="2411">
        <f t="shared" si="16"/>
        <v>6.5000000000000006E-3</v>
      </c>
      <c r="Q33" s="2411">
        <f t="shared" si="16"/>
        <v>7.1999999999999998E-3</v>
      </c>
      <c r="R33" s="2427"/>
      <c r="S33" s="2426"/>
      <c r="T33" s="2411"/>
      <c r="U33" s="2411"/>
      <c r="V33" s="2411"/>
      <c r="X33" s="2410">
        <f>ROUND(SUMPRODUCT(PRODUCT(1+N33:N$34)),4)</f>
        <v>1.0325</v>
      </c>
      <c r="Y33" s="2410">
        <f>ROUND(SUMPRODUCT(PRODUCT(1+O33:O$34)),4)</f>
        <v>1.0353000000000001</v>
      </c>
      <c r="Z33" s="2410">
        <f t="shared" si="7"/>
        <v>1.0353000000000001</v>
      </c>
      <c r="AA33" s="2410">
        <f>ROUND(SUMPRODUCT(PRODUCT(1+P33:P$34)),4)</f>
        <v>1.0326</v>
      </c>
      <c r="AB33" s="2410">
        <f>ROUND(SUMPRODUCT(PRODUCT(1+Q33:Q$34)),4)</f>
        <v>1.0225</v>
      </c>
      <c r="AD33" s="2411">
        <f>ROUND(AVERAGE(I33:I$35)/100,4)</f>
        <v>2.07E-2</v>
      </c>
      <c r="AE33" s="2411">
        <f>ROUND(AVERAGE(J33:J$35)/100,4)</f>
        <v>1.95E-2</v>
      </c>
      <c r="AF33" s="2411">
        <f t="shared" si="0"/>
        <v>1.95E-2</v>
      </c>
      <c r="AG33" s="2411">
        <f>ROUND(AVERAGE(K33:K$35)/100,4)</f>
        <v>2.1700000000000001E-2</v>
      </c>
      <c r="AH33" s="2411">
        <f>ROUND(AVERAGE(L33:L$35)/100,4)</f>
        <v>1.2E-2</v>
      </c>
    </row>
    <row r="34" spans="1:34" ht="13.5" thickBot="1">
      <c r="A34" s="2423" t="s">
        <v>145</v>
      </c>
      <c r="B34" s="2424">
        <f t="shared" si="23"/>
        <v>314.72141172386546</v>
      </c>
      <c r="C34" s="2424">
        <f t="shared" si="23"/>
        <v>263.03901319069001</v>
      </c>
      <c r="D34" s="2424">
        <f t="shared" si="18"/>
        <v>263.03901319069001</v>
      </c>
      <c r="E34" s="2424">
        <f t="shared" si="24"/>
        <v>433.65745506782821</v>
      </c>
      <c r="F34" s="2424">
        <f t="shared" si="24"/>
        <v>233.23005080045735</v>
      </c>
      <c r="G34" s="3947"/>
      <c r="H34" s="2444">
        <v>2</v>
      </c>
      <c r="I34" s="2444">
        <v>2.4</v>
      </c>
      <c r="J34" s="2444">
        <v>2.0299999999999998</v>
      </c>
      <c r="K34" s="2444">
        <v>2.59</v>
      </c>
      <c r="L34" s="2445">
        <v>1.52</v>
      </c>
      <c r="N34" s="2426">
        <f t="shared" si="20"/>
        <v>2.4E-2</v>
      </c>
      <c r="O34" s="2411">
        <f t="shared" si="16"/>
        <v>2.0299999999999999E-2</v>
      </c>
      <c r="P34" s="2411">
        <f t="shared" si="16"/>
        <v>2.5899999999999999E-2</v>
      </c>
      <c r="Q34" s="2411">
        <f t="shared" si="16"/>
        <v>1.52E-2</v>
      </c>
      <c r="R34" s="2427"/>
      <c r="S34" s="2426"/>
      <c r="T34" s="2411"/>
      <c r="U34" s="2411"/>
      <c r="V34" s="2411"/>
      <c r="X34" s="2410">
        <f>1+N34</f>
        <v>1.024</v>
      </c>
      <c r="Y34" s="2410">
        <f>1+O34</f>
        <v>1.0203</v>
      </c>
      <c r="Z34" s="2410">
        <f t="shared" si="7"/>
        <v>1.0203</v>
      </c>
      <c r="AA34" s="2410">
        <f>1+P34</f>
        <v>1.0259</v>
      </c>
      <c r="AB34" s="2410">
        <f>1+Q34</f>
        <v>1.0152000000000001</v>
      </c>
      <c r="AD34" s="2411">
        <f>ROUND(AVERAGE(I34:I$35)/100,4)</f>
        <v>2.69E-2</v>
      </c>
      <c r="AE34" s="2411">
        <f>ROUND(AVERAGE(J34:J$35)/100,4)</f>
        <v>2.1899999999999999E-2</v>
      </c>
      <c r="AF34" s="2411">
        <f>AE34</f>
        <v>2.1899999999999999E-2</v>
      </c>
      <c r="AG34" s="2411">
        <f>ROUND(AVERAGE(K34:K$35)/100,4)</f>
        <v>2.9399999999999999E-2</v>
      </c>
      <c r="AH34" s="2411">
        <f>ROUND(AVERAGE(L34:L$35)/100,4)</f>
        <v>1.44E-2</v>
      </c>
    </row>
    <row r="35" spans="1:34" s="2460" customFormat="1" ht="13.5" thickBot="1">
      <c r="A35" s="2456" t="s">
        <v>144</v>
      </c>
      <c r="B35" s="2457">
        <f t="shared" si="23"/>
        <v>307.34512863658733</v>
      </c>
      <c r="C35" s="2457">
        <f t="shared" si="23"/>
        <v>257.80556031626975</v>
      </c>
      <c r="D35" s="2457">
        <f t="shared" si="18"/>
        <v>257.80556031626975</v>
      </c>
      <c r="E35" s="2457">
        <f t="shared" si="24"/>
        <v>422.70928459677179</v>
      </c>
      <c r="F35" s="2457">
        <f t="shared" si="24"/>
        <v>229.73803270336617</v>
      </c>
      <c r="G35" s="3948"/>
      <c r="H35" s="2458">
        <v>1</v>
      </c>
      <c r="I35" s="2458">
        <v>2.97</v>
      </c>
      <c r="J35" s="2458">
        <v>2.34</v>
      </c>
      <c r="K35" s="2458">
        <v>3.28</v>
      </c>
      <c r="L35" s="2459">
        <v>1.36</v>
      </c>
      <c r="N35" s="2461">
        <f t="shared" si="20"/>
        <v>2.9700000000000001E-2</v>
      </c>
      <c r="O35" s="2462">
        <f t="shared" si="16"/>
        <v>2.3399999999999997E-2</v>
      </c>
      <c r="P35" s="2462">
        <f t="shared" si="16"/>
        <v>3.2799999999999996E-2</v>
      </c>
      <c r="Q35" s="2462">
        <f t="shared" si="16"/>
        <v>1.3600000000000001E-2</v>
      </c>
      <c r="R35" s="2463"/>
      <c r="S35" s="2464">
        <f>B35/B36-1</f>
        <v>2.7910129219355539E-2</v>
      </c>
      <c r="T35" s="2465">
        <f>C35/C36-1</f>
        <v>2.3037937762975247E-2</v>
      </c>
      <c r="U35" s="2465">
        <f>E35/E36-1</f>
        <v>3.3519033243940788E-2</v>
      </c>
      <c r="V35" s="2465">
        <f>F35/F36-1</f>
        <v>1.2061818076502862E-2</v>
      </c>
      <c r="W35" s="2466" t="s">
        <v>1129</v>
      </c>
      <c r="X35" s="2467">
        <v>1</v>
      </c>
      <c r="Y35" s="2467">
        <v>1</v>
      </c>
      <c r="Z35" s="2467">
        <v>1</v>
      </c>
      <c r="AA35" s="2467">
        <v>1</v>
      </c>
      <c r="AB35" s="2467">
        <v>1</v>
      </c>
      <c r="AD35" s="2462">
        <f>I35/100</f>
        <v>2.9700000000000001E-2</v>
      </c>
      <c r="AE35" s="2462">
        <f>J35/100</f>
        <v>2.3399999999999997E-2</v>
      </c>
      <c r="AF35" s="2462">
        <f>AE35</f>
        <v>2.3399999999999997E-2</v>
      </c>
      <c r="AG35" s="2462">
        <f>K35/100</f>
        <v>3.2799999999999996E-2</v>
      </c>
      <c r="AH35" s="2462">
        <f>L35/100</f>
        <v>1.3600000000000001E-2</v>
      </c>
    </row>
    <row r="36" spans="1:34" ht="13.5" thickBot="1">
      <c r="A36" s="2423" t="s">
        <v>1130</v>
      </c>
      <c r="B36" s="2438">
        <v>299</v>
      </c>
      <c r="C36" s="2438">
        <v>252</v>
      </c>
      <c r="D36" s="2438">
        <f t="shared" si="18"/>
        <v>252</v>
      </c>
      <c r="E36" s="2438">
        <v>409</v>
      </c>
      <c r="F36" s="2439">
        <v>227</v>
      </c>
      <c r="G36" s="3951">
        <v>2013</v>
      </c>
      <c r="H36" s="2468">
        <v>4</v>
      </c>
      <c r="I36" s="2468">
        <v>1.83</v>
      </c>
      <c r="J36" s="2468">
        <v>1.68</v>
      </c>
      <c r="K36" s="2468">
        <v>1.97</v>
      </c>
      <c r="L36" s="2469">
        <v>0.87</v>
      </c>
      <c r="N36" s="2446">
        <f t="shared" si="20"/>
        <v>1.83E-2</v>
      </c>
      <c r="O36" s="2447">
        <f t="shared" si="16"/>
        <v>1.6799999999999999E-2</v>
      </c>
      <c r="P36" s="2447">
        <f t="shared" si="16"/>
        <v>1.9699999999999999E-2</v>
      </c>
      <c r="Q36" s="2447">
        <f t="shared" si="16"/>
        <v>8.6999999999999994E-3</v>
      </c>
      <c r="R36" s="2427"/>
      <c r="S36" s="2440"/>
      <c r="T36" s="2441"/>
      <c r="U36" s="2441"/>
      <c r="V36" s="2441"/>
      <c r="X36" s="2441"/>
      <c r="Y36" s="2441"/>
      <c r="Z36" s="2441"/>
    </row>
    <row r="37" spans="1:34">
      <c r="A37" s="2423" t="s">
        <v>1131</v>
      </c>
      <c r="B37" s="2424">
        <f t="shared" ref="B37:C39" si="25">B36/(1+N36)</f>
        <v>293.62663262299913</v>
      </c>
      <c r="C37" s="2424">
        <f t="shared" si="25"/>
        <v>247.83634933123525</v>
      </c>
      <c r="D37" s="2424">
        <f t="shared" si="18"/>
        <v>247.83634933123525</v>
      </c>
      <c r="E37" s="2424">
        <f t="shared" ref="E37:F39" si="26">E36/(1+P36)</f>
        <v>401.09836226341076</v>
      </c>
      <c r="F37" s="2424">
        <f t="shared" si="26"/>
        <v>225.04213343908003</v>
      </c>
      <c r="G37" s="3952"/>
      <c r="H37" s="2449">
        <v>3</v>
      </c>
      <c r="I37" s="2449">
        <v>1.86</v>
      </c>
      <c r="J37" s="2449">
        <v>1.72</v>
      </c>
      <c r="K37" s="2449">
        <v>1.98</v>
      </c>
      <c r="L37" s="2450">
        <v>0.88</v>
      </c>
      <c r="N37" s="2426">
        <f t="shared" si="20"/>
        <v>1.8600000000000002E-2</v>
      </c>
      <c r="O37" s="2451">
        <f t="shared" si="16"/>
        <v>1.72E-2</v>
      </c>
      <c r="P37" s="2451">
        <f t="shared" si="16"/>
        <v>1.9799999999999998E-2</v>
      </c>
      <c r="Q37" s="2451">
        <f t="shared" si="16"/>
        <v>8.8000000000000005E-3</v>
      </c>
      <c r="R37" s="2427"/>
      <c r="S37" s="2426"/>
      <c r="T37" s="2411"/>
      <c r="U37" s="2411"/>
      <c r="V37" s="2411"/>
    </row>
    <row r="38" spans="1:34">
      <c r="A38" s="2423" t="s">
        <v>1132</v>
      </c>
      <c r="B38" s="2424">
        <f t="shared" si="25"/>
        <v>288.2649053828776</v>
      </c>
      <c r="C38" s="2424">
        <f t="shared" si="25"/>
        <v>243.64564425013293</v>
      </c>
      <c r="D38" s="2424">
        <f t="shared" si="18"/>
        <v>243.64564425013293</v>
      </c>
      <c r="E38" s="2424">
        <f t="shared" si="26"/>
        <v>393.31080825986544</v>
      </c>
      <c r="F38" s="2424">
        <f t="shared" si="26"/>
        <v>223.07903790551154</v>
      </c>
      <c r="G38" s="3952"/>
      <c r="H38" s="2436">
        <v>2</v>
      </c>
      <c r="I38" s="2436">
        <v>2.04</v>
      </c>
      <c r="J38" s="2436">
        <v>2.33</v>
      </c>
      <c r="K38" s="2436">
        <v>2.0699999999999998</v>
      </c>
      <c r="L38" s="2437">
        <v>0.69</v>
      </c>
      <c r="N38" s="2426">
        <f t="shared" si="20"/>
        <v>2.0400000000000001E-2</v>
      </c>
      <c r="O38" s="2451">
        <f t="shared" si="16"/>
        <v>2.3300000000000001E-2</v>
      </c>
      <c r="P38" s="2451">
        <f t="shared" si="16"/>
        <v>2.07E-2</v>
      </c>
      <c r="Q38" s="2451">
        <f t="shared" si="16"/>
        <v>6.8999999999999999E-3</v>
      </c>
      <c r="R38" s="2427"/>
      <c r="S38" s="2426"/>
      <c r="T38" s="2411"/>
      <c r="U38" s="2411"/>
      <c r="V38" s="2411"/>
      <c r="X38" s="2470"/>
      <c r="Y38" s="2471"/>
    </row>
    <row r="39" spans="1:34">
      <c r="A39" s="2423" t="s">
        <v>1133</v>
      </c>
      <c r="B39" s="2424">
        <f t="shared" si="25"/>
        <v>282.50186729015837</v>
      </c>
      <c r="C39" s="2424">
        <f t="shared" si="25"/>
        <v>238.09796174155468</v>
      </c>
      <c r="D39" s="2424">
        <f t="shared" si="18"/>
        <v>238.09796174155468</v>
      </c>
      <c r="E39" s="2424">
        <f t="shared" si="26"/>
        <v>385.33438646014054</v>
      </c>
      <c r="F39" s="2424">
        <f t="shared" si="26"/>
        <v>221.55034055567739</v>
      </c>
      <c r="G39" s="3953"/>
      <c r="H39" s="2425">
        <v>1</v>
      </c>
      <c r="I39" s="2425">
        <v>1.67</v>
      </c>
      <c r="J39" s="2425">
        <v>1.31</v>
      </c>
      <c r="K39" s="2425">
        <v>1.85</v>
      </c>
      <c r="L39" s="2431">
        <v>0.96</v>
      </c>
      <c r="N39" s="2442">
        <f t="shared" si="20"/>
        <v>1.67E-2</v>
      </c>
      <c r="O39" s="2443">
        <f t="shared" si="20"/>
        <v>1.3100000000000001E-2</v>
      </c>
      <c r="P39" s="2443">
        <f t="shared" si="20"/>
        <v>1.8500000000000003E-2</v>
      </c>
      <c r="Q39" s="2443">
        <f t="shared" si="20"/>
        <v>9.5999999999999992E-3</v>
      </c>
      <c r="R39" s="2427"/>
      <c r="S39" s="2442">
        <f>B39/B40-1</f>
        <v>1.6193767230785472E-2</v>
      </c>
      <c r="T39" s="2443">
        <f>C39/C40-1</f>
        <v>1.7512657015190891E-2</v>
      </c>
      <c r="U39" s="2443">
        <f>E39/E40-1</f>
        <v>1.6713420739157048E-2</v>
      </c>
      <c r="V39" s="2443">
        <f>F39/F40-1</f>
        <v>7.0470025258062563E-3</v>
      </c>
      <c r="X39" s="2472"/>
      <c r="Y39" s="2411"/>
      <c r="Z39" s="2411"/>
    </row>
    <row r="40" spans="1:34" ht="13.5" thickBot="1">
      <c r="A40" s="2423" t="s">
        <v>1134</v>
      </c>
      <c r="B40" s="2473">
        <v>278</v>
      </c>
      <c r="C40" s="2473">
        <v>234</v>
      </c>
      <c r="D40" s="2473">
        <f t="shared" si="18"/>
        <v>234</v>
      </c>
      <c r="E40" s="2473">
        <v>379</v>
      </c>
      <c r="F40" s="2474">
        <v>220</v>
      </c>
      <c r="G40" s="3946">
        <v>2012</v>
      </c>
      <c r="H40" s="2444">
        <v>4</v>
      </c>
      <c r="I40" s="2444">
        <v>0.91</v>
      </c>
      <c r="J40" s="2444">
        <v>0.68</v>
      </c>
      <c r="K40" s="2444">
        <v>0.98</v>
      </c>
      <c r="L40" s="2445">
        <v>0.9</v>
      </c>
      <c r="N40" s="2426">
        <f t="shared" si="20"/>
        <v>9.1000000000000004E-3</v>
      </c>
      <c r="O40" s="2411">
        <f t="shared" si="20"/>
        <v>6.8000000000000005E-3</v>
      </c>
      <c r="P40" s="2411">
        <f t="shared" si="20"/>
        <v>9.7999999999999997E-3</v>
      </c>
      <c r="Q40" s="2411">
        <f t="shared" si="20"/>
        <v>9.0000000000000011E-3</v>
      </c>
      <c r="R40" s="2427"/>
      <c r="S40" s="2440"/>
      <c r="T40" s="2441"/>
      <c r="U40" s="2441"/>
      <c r="V40" s="2441"/>
      <c r="X40" s="2441"/>
      <c r="Y40" s="2441"/>
      <c r="Z40" s="2441"/>
    </row>
    <row r="41" spans="1:34">
      <c r="A41" s="2423" t="s">
        <v>1135</v>
      </c>
      <c r="B41" s="2424">
        <f>B40/(1+N40)</f>
        <v>275.49301357645425</v>
      </c>
      <c r="C41" s="2424">
        <f>C40/(1+O40)</f>
        <v>232.41954707985698</v>
      </c>
      <c r="D41" s="2424">
        <f t="shared" si="18"/>
        <v>232.41954707985698</v>
      </c>
      <c r="E41" s="2424">
        <f t="shared" ref="E41:F43" si="27">E40/(1+P40)</f>
        <v>375.32184591008121</v>
      </c>
      <c r="F41" s="2424">
        <f t="shared" si="27"/>
        <v>218.03766105054513</v>
      </c>
      <c r="G41" s="3947"/>
      <c r="H41" s="2449">
        <v>3</v>
      </c>
      <c r="I41" s="2449">
        <v>0.09</v>
      </c>
      <c r="J41" s="2449">
        <v>0.28999999999999998</v>
      </c>
      <c r="K41" s="2449">
        <v>-0.01</v>
      </c>
      <c r="L41" s="2450">
        <v>0.57999999999999996</v>
      </c>
      <c r="N41" s="2426">
        <f t="shared" si="20"/>
        <v>8.9999999999999998E-4</v>
      </c>
      <c r="O41" s="2411">
        <f t="shared" si="20"/>
        <v>2.8999999999999998E-3</v>
      </c>
      <c r="P41" s="2411">
        <f t="shared" si="20"/>
        <v>-1E-4</v>
      </c>
      <c r="Q41" s="2411">
        <f t="shared" si="20"/>
        <v>5.7999999999999996E-3</v>
      </c>
      <c r="R41" s="2427"/>
      <c r="S41" s="2426"/>
      <c r="T41" s="2411"/>
      <c r="U41" s="2411"/>
      <c r="V41" s="2411"/>
    </row>
    <row r="42" spans="1:34">
      <c r="A42" s="2423" t="s">
        <v>1136</v>
      </c>
      <c r="B42" s="2424">
        <f>B41/(1+N41)</f>
        <v>275.24529281292263</v>
      </c>
      <c r="C42" s="2424">
        <f>C41/(1+O41)</f>
        <v>231.74747938962707</v>
      </c>
      <c r="D42" s="2424">
        <f t="shared" si="18"/>
        <v>231.74747938962707</v>
      </c>
      <c r="E42" s="2424">
        <f t="shared" si="27"/>
        <v>375.35938184826603</v>
      </c>
      <c r="F42" s="2424">
        <f t="shared" si="27"/>
        <v>216.78033510692495</v>
      </c>
      <c r="G42" s="3947"/>
      <c r="H42" s="2436">
        <v>2</v>
      </c>
      <c r="I42" s="2436">
        <v>0.02</v>
      </c>
      <c r="J42" s="2436">
        <v>0.12</v>
      </c>
      <c r="K42" s="2436">
        <v>-0.08</v>
      </c>
      <c r="L42" s="2437">
        <v>1.24</v>
      </c>
      <c r="N42" s="2426">
        <f t="shared" si="20"/>
        <v>2.0000000000000001E-4</v>
      </c>
      <c r="O42" s="2411">
        <f t="shared" si="20"/>
        <v>1.1999999999999999E-3</v>
      </c>
      <c r="P42" s="2411">
        <f t="shared" si="20"/>
        <v>-8.0000000000000004E-4</v>
      </c>
      <c r="Q42" s="2411">
        <f t="shared" si="20"/>
        <v>1.24E-2</v>
      </c>
      <c r="R42" s="2427"/>
      <c r="S42" s="2426"/>
      <c r="T42" s="2411"/>
      <c r="U42" s="2411"/>
      <c r="V42" s="2411"/>
    </row>
    <row r="43" spans="1:34" ht="13.5" thickBot="1">
      <c r="A43" s="2423" t="s">
        <v>1137</v>
      </c>
      <c r="B43" s="2424">
        <f>B42/(1+N42)</f>
        <v>275.19025476197027</v>
      </c>
      <c r="C43" s="2475">
        <v>232</v>
      </c>
      <c r="D43" s="2475">
        <f t="shared" si="18"/>
        <v>232</v>
      </c>
      <c r="E43" s="2424">
        <f t="shared" si="27"/>
        <v>375.65990977608692</v>
      </c>
      <c r="F43" s="2424">
        <f t="shared" si="27"/>
        <v>214.12518283971252</v>
      </c>
      <c r="G43" s="3948"/>
      <c r="H43" s="2425">
        <v>1</v>
      </c>
      <c r="I43" s="2425">
        <v>0.02</v>
      </c>
      <c r="J43" s="2425">
        <v>0.13</v>
      </c>
      <c r="K43" s="2425">
        <v>-0.04</v>
      </c>
      <c r="L43" s="2431">
        <v>0.46</v>
      </c>
      <c r="N43" s="2426">
        <f t="shared" si="20"/>
        <v>2.0000000000000001E-4</v>
      </c>
      <c r="O43" s="2411">
        <f t="shared" si="20"/>
        <v>1.2999999999999999E-3</v>
      </c>
      <c r="P43" s="2411">
        <f t="shared" si="20"/>
        <v>-4.0000000000000002E-4</v>
      </c>
      <c r="Q43" s="2411">
        <f t="shared" si="20"/>
        <v>4.5999999999999999E-3</v>
      </c>
      <c r="R43" s="2427"/>
      <c r="S43" s="2442">
        <f>B43/B44-1</f>
        <v>6.9183549807361189E-4</v>
      </c>
      <c r="T43" s="2443">
        <f>C43/C44-1</f>
        <v>0</v>
      </c>
      <c r="U43" s="2443">
        <f>E43/E44-1</f>
        <v>-9.0449527636460303E-4</v>
      </c>
      <c r="V43" s="2443">
        <f>F43/F44-1</f>
        <v>5.2825485432512753E-3</v>
      </c>
      <c r="X43" s="2411"/>
      <c r="Y43" s="2411"/>
      <c r="Z43" s="2411"/>
    </row>
    <row r="44" spans="1:34" ht="13.5" thickBot="1">
      <c r="A44" s="2423" t="s">
        <v>1138</v>
      </c>
      <c r="B44" s="2438">
        <v>275</v>
      </c>
      <c r="C44" s="2438">
        <v>232</v>
      </c>
      <c r="D44" s="2438">
        <f t="shared" si="18"/>
        <v>232</v>
      </c>
      <c r="E44" s="2438">
        <v>376</v>
      </c>
      <c r="F44" s="2439">
        <v>213</v>
      </c>
      <c r="G44" s="3946">
        <v>2011</v>
      </c>
      <c r="H44" s="2444">
        <v>4</v>
      </c>
      <c r="I44" s="2444">
        <v>-0.2</v>
      </c>
      <c r="J44" s="2444">
        <v>0.04</v>
      </c>
      <c r="K44" s="2444">
        <v>-0.34</v>
      </c>
      <c r="L44" s="2445">
        <v>0.46</v>
      </c>
      <c r="N44" s="2446">
        <f t="shared" si="20"/>
        <v>-2E-3</v>
      </c>
      <c r="O44" s="2447">
        <f t="shared" si="20"/>
        <v>4.0000000000000002E-4</v>
      </c>
      <c r="P44" s="2447">
        <f t="shared" si="20"/>
        <v>-3.4000000000000002E-3</v>
      </c>
      <c r="Q44" s="2447">
        <f t="shared" si="20"/>
        <v>4.5999999999999999E-3</v>
      </c>
      <c r="R44" s="2427"/>
      <c r="S44" s="2440"/>
      <c r="T44" s="2441"/>
      <c r="U44" s="2441"/>
      <c r="V44" s="2441"/>
      <c r="X44" s="2441"/>
      <c r="Y44" s="2441"/>
      <c r="Z44" s="2441"/>
    </row>
    <row r="45" spans="1:34">
      <c r="A45" s="2423" t="s">
        <v>1139</v>
      </c>
      <c r="B45" s="2424">
        <f t="shared" ref="B45:C47" si="28">B44/(1+N44)</f>
        <v>275.55110220440883</v>
      </c>
      <c r="C45" s="2424">
        <f t="shared" si="28"/>
        <v>231.90723710515795</v>
      </c>
      <c r="D45" s="2424">
        <f t="shared" si="18"/>
        <v>231.90723710515795</v>
      </c>
      <c r="E45" s="2424">
        <f t="shared" ref="E45:F47" si="29">E44/(1+P44)</f>
        <v>377.28276138872161</v>
      </c>
      <c r="F45" s="2424">
        <f t="shared" si="29"/>
        <v>212.02468644236512</v>
      </c>
      <c r="G45" s="3947">
        <v>2011</v>
      </c>
      <c r="H45" s="2449">
        <v>3</v>
      </c>
      <c r="I45" s="2449">
        <v>0.13</v>
      </c>
      <c r="J45" s="2449">
        <v>0.75</v>
      </c>
      <c r="K45" s="2449">
        <v>-0.08</v>
      </c>
      <c r="L45" s="2450">
        <v>0.53</v>
      </c>
      <c r="N45" s="2426">
        <f t="shared" si="20"/>
        <v>1.2999999999999999E-3</v>
      </c>
      <c r="O45" s="2451">
        <f t="shared" si="20"/>
        <v>7.4999999999999997E-3</v>
      </c>
      <c r="P45" s="2451">
        <f t="shared" si="20"/>
        <v>-8.0000000000000004E-4</v>
      </c>
      <c r="Q45" s="2451">
        <f t="shared" si="20"/>
        <v>5.3E-3</v>
      </c>
      <c r="R45" s="2427"/>
      <c r="S45" s="2426"/>
      <c r="T45" s="2411"/>
      <c r="U45" s="2411"/>
      <c r="V45" s="2411"/>
    </row>
    <row r="46" spans="1:34">
      <c r="A46" s="2423" t="s">
        <v>1140</v>
      </c>
      <c r="B46" s="2424">
        <f t="shared" si="28"/>
        <v>275.19335084830601</v>
      </c>
      <c r="C46" s="2424">
        <f t="shared" si="28"/>
        <v>230.18088050139744</v>
      </c>
      <c r="D46" s="2424">
        <f t="shared" si="18"/>
        <v>230.18088050139744</v>
      </c>
      <c r="E46" s="2424">
        <f t="shared" si="29"/>
        <v>377.58482925212331</v>
      </c>
      <c r="F46" s="2424">
        <f t="shared" si="29"/>
        <v>210.90687997847917</v>
      </c>
      <c r="G46" s="3947">
        <v>2011</v>
      </c>
      <c r="H46" s="2436">
        <v>2</v>
      </c>
      <c r="I46" s="2436">
        <v>-0.4</v>
      </c>
      <c r="J46" s="2436">
        <v>0.17</v>
      </c>
      <c r="K46" s="2436">
        <v>-0.57999999999999996</v>
      </c>
      <c r="L46" s="2437">
        <v>-0.2</v>
      </c>
      <c r="N46" s="2426">
        <f t="shared" si="20"/>
        <v>-4.0000000000000001E-3</v>
      </c>
      <c r="O46" s="2451">
        <f t="shared" si="20"/>
        <v>1.7000000000000001E-3</v>
      </c>
      <c r="P46" s="2451">
        <f t="shared" si="20"/>
        <v>-5.7999999999999996E-3</v>
      </c>
      <c r="Q46" s="2451">
        <f t="shared" si="20"/>
        <v>-2E-3</v>
      </c>
      <c r="R46" s="2427"/>
      <c r="S46" s="2426"/>
      <c r="T46" s="2411"/>
      <c r="U46" s="2411"/>
      <c r="V46" s="2411"/>
    </row>
    <row r="47" spans="1:34" ht="13.5" thickBot="1">
      <c r="A47" s="2423" t="s">
        <v>1141</v>
      </c>
      <c r="B47" s="2424">
        <f t="shared" si="28"/>
        <v>276.29854502841971</v>
      </c>
      <c r="C47" s="2424">
        <f t="shared" si="28"/>
        <v>229.79023709833027</v>
      </c>
      <c r="D47" s="2424">
        <f t="shared" si="18"/>
        <v>229.79023709833027</v>
      </c>
      <c r="E47" s="2424">
        <f t="shared" si="29"/>
        <v>379.78759731655936</v>
      </c>
      <c r="F47" s="2424">
        <f t="shared" si="29"/>
        <v>211.32953905659235</v>
      </c>
      <c r="G47" s="3948">
        <v>2011</v>
      </c>
      <c r="H47" s="2425">
        <v>1</v>
      </c>
      <c r="I47" s="2425">
        <v>2.65</v>
      </c>
      <c r="J47" s="2425">
        <v>3.76</v>
      </c>
      <c r="K47" s="2425">
        <v>1.89</v>
      </c>
      <c r="L47" s="2431">
        <v>7.95</v>
      </c>
      <c r="N47" s="2442">
        <f t="shared" si="20"/>
        <v>2.6499999999999999E-2</v>
      </c>
      <c r="O47" s="2443">
        <f t="shared" si="20"/>
        <v>3.7599999999999995E-2</v>
      </c>
      <c r="P47" s="2443">
        <f t="shared" si="20"/>
        <v>1.89E-2</v>
      </c>
      <c r="Q47" s="2443">
        <f t="shared" si="20"/>
        <v>7.9500000000000001E-2</v>
      </c>
      <c r="R47" s="2427"/>
      <c r="S47" s="2442">
        <f>B47/B48-1</f>
        <v>2.713213765211786E-2</v>
      </c>
      <c r="T47" s="2443">
        <f>C47/C48-1</f>
        <v>3.9774828499231862E-2</v>
      </c>
      <c r="U47" s="2443">
        <f>E47/E48-1</f>
        <v>1.8197311840641772E-2</v>
      </c>
      <c r="V47" s="2443">
        <f>F47/F48-1</f>
        <v>7.8211933962205826E-2</v>
      </c>
      <c r="X47" s="2411"/>
      <c r="Y47" s="2411"/>
      <c r="Z47" s="2411"/>
    </row>
    <row r="48" spans="1:34" ht="13.5" thickBot="1">
      <c r="A48" s="2423" t="s">
        <v>1142</v>
      </c>
      <c r="B48" s="2438">
        <v>269</v>
      </c>
      <c r="C48" s="2438">
        <v>221</v>
      </c>
      <c r="D48" s="2438">
        <f t="shared" si="18"/>
        <v>221</v>
      </c>
      <c r="E48" s="2438">
        <v>373</v>
      </c>
      <c r="F48" s="2439">
        <v>196</v>
      </c>
      <c r="G48" s="3946">
        <v>2010</v>
      </c>
      <c r="H48" s="2444">
        <v>4</v>
      </c>
      <c r="I48" s="2444">
        <v>5.72</v>
      </c>
      <c r="J48" s="2444">
        <v>6.57</v>
      </c>
      <c r="K48" s="2444">
        <v>5.72</v>
      </c>
      <c r="L48" s="2445">
        <v>2.72</v>
      </c>
      <c r="N48" s="2426">
        <f t="shared" si="20"/>
        <v>5.7200000000000001E-2</v>
      </c>
      <c r="O48" s="2411">
        <f t="shared" si="20"/>
        <v>6.5700000000000008E-2</v>
      </c>
      <c r="P48" s="2411">
        <f t="shared" si="20"/>
        <v>5.7200000000000001E-2</v>
      </c>
      <c r="Q48" s="2411">
        <f t="shared" si="20"/>
        <v>2.7200000000000002E-2</v>
      </c>
      <c r="R48" s="2427"/>
      <c r="S48" s="2440"/>
      <c r="T48" s="2441"/>
      <c r="U48" s="2441"/>
      <c r="V48" s="2441"/>
      <c r="X48" s="2441"/>
      <c r="Y48" s="2441"/>
      <c r="Z48" s="2441"/>
    </row>
    <row r="49" spans="1:26">
      <c r="A49" s="2423" t="s">
        <v>1143</v>
      </c>
      <c r="B49" s="2424">
        <f t="shared" ref="B49:C51" si="30">B48/(1+N48)</f>
        <v>254.44570563753314</v>
      </c>
      <c r="C49" s="2424">
        <f t="shared" si="30"/>
        <v>207.37543398705074</v>
      </c>
      <c r="D49" s="2424">
        <f t="shared" si="18"/>
        <v>207.37543398705074</v>
      </c>
      <c r="E49" s="2424">
        <f t="shared" ref="E49:F51" si="31">E48/(1+P48)</f>
        <v>352.81876655315932</v>
      </c>
      <c r="F49" s="2424">
        <f t="shared" si="31"/>
        <v>190.809968847352</v>
      </c>
      <c r="G49" s="3947">
        <v>2010</v>
      </c>
      <c r="H49" s="2449">
        <v>3</v>
      </c>
      <c r="I49" s="2449">
        <v>4.7300000000000004</v>
      </c>
      <c r="J49" s="2449">
        <v>3.9</v>
      </c>
      <c r="K49" s="2449">
        <v>5.03</v>
      </c>
      <c r="L49" s="2450">
        <v>4.21</v>
      </c>
      <c r="N49" s="2426">
        <f t="shared" si="20"/>
        <v>4.7300000000000002E-2</v>
      </c>
      <c r="O49" s="2411">
        <f t="shared" si="20"/>
        <v>3.9E-2</v>
      </c>
      <c r="P49" s="2411">
        <f t="shared" si="20"/>
        <v>5.0300000000000004E-2</v>
      </c>
      <c r="Q49" s="2411">
        <f t="shared" si="20"/>
        <v>4.2099999999999999E-2</v>
      </c>
      <c r="R49" s="2427"/>
      <c r="S49" s="2426"/>
      <c r="T49" s="2411"/>
      <c r="U49" s="2411"/>
      <c r="V49" s="2411"/>
    </row>
    <row r="50" spans="1:26">
      <c r="A50" s="2423" t="s">
        <v>1144</v>
      </c>
      <c r="B50" s="2424">
        <f t="shared" si="30"/>
        <v>242.95398227588385</v>
      </c>
      <c r="C50" s="2424">
        <f t="shared" si="30"/>
        <v>199.59137053614126</v>
      </c>
      <c r="D50" s="2424">
        <f t="shared" si="18"/>
        <v>199.59137053614126</v>
      </c>
      <c r="E50" s="2424">
        <f t="shared" si="31"/>
        <v>335.92189522342125</v>
      </c>
      <c r="F50" s="2424">
        <f t="shared" si="31"/>
        <v>183.10139991109489</v>
      </c>
      <c r="G50" s="3947">
        <v>2010</v>
      </c>
      <c r="H50" s="2436">
        <v>2</v>
      </c>
      <c r="I50" s="2436">
        <v>4.6900000000000004</v>
      </c>
      <c r="J50" s="2436">
        <v>3.55</v>
      </c>
      <c r="K50" s="2436">
        <v>5.07</v>
      </c>
      <c r="L50" s="2437">
        <v>4.2300000000000004</v>
      </c>
      <c r="N50" s="2426">
        <f t="shared" si="20"/>
        <v>4.6900000000000004E-2</v>
      </c>
      <c r="O50" s="2411">
        <f t="shared" si="20"/>
        <v>3.5499999999999997E-2</v>
      </c>
      <c r="P50" s="2411">
        <f t="shared" si="20"/>
        <v>5.0700000000000002E-2</v>
      </c>
      <c r="Q50" s="2411">
        <f t="shared" si="20"/>
        <v>4.2300000000000004E-2</v>
      </c>
      <c r="R50" s="2427"/>
      <c r="S50" s="2426"/>
      <c r="T50" s="2411"/>
      <c r="U50" s="2411"/>
      <c r="V50" s="2411"/>
    </row>
    <row r="51" spans="1:26" ht="13.5" thickBot="1">
      <c r="A51" s="2423" t="s">
        <v>1145</v>
      </c>
      <c r="B51" s="2424">
        <f t="shared" si="30"/>
        <v>232.06990378821649</v>
      </c>
      <c r="C51" s="2424">
        <f t="shared" si="30"/>
        <v>192.74878854286936</v>
      </c>
      <c r="D51" s="2424">
        <f t="shared" si="18"/>
        <v>192.74878854286936</v>
      </c>
      <c r="E51" s="2424">
        <f t="shared" si="31"/>
        <v>319.71247284992984</v>
      </c>
      <c r="F51" s="2424">
        <f t="shared" si="31"/>
        <v>175.67053622862409</v>
      </c>
      <c r="G51" s="3948">
        <v>2010</v>
      </c>
      <c r="H51" s="2425">
        <v>1</v>
      </c>
      <c r="I51" s="2425">
        <v>5.4</v>
      </c>
      <c r="J51" s="2425">
        <v>3.2</v>
      </c>
      <c r="K51" s="2425">
        <v>6.16</v>
      </c>
      <c r="L51" s="2431">
        <v>4.51</v>
      </c>
      <c r="N51" s="2426">
        <f t="shared" si="20"/>
        <v>5.4000000000000006E-2</v>
      </c>
      <c r="O51" s="2411">
        <f t="shared" si="20"/>
        <v>3.2000000000000001E-2</v>
      </c>
      <c r="P51" s="2411">
        <f t="shared" si="20"/>
        <v>6.1600000000000002E-2</v>
      </c>
      <c r="Q51" s="2411">
        <f t="shared" si="20"/>
        <v>4.5100000000000001E-2</v>
      </c>
      <c r="R51" s="2427"/>
      <c r="S51" s="2442">
        <f>B51/B52-1</f>
        <v>5.4863199037347599E-2</v>
      </c>
      <c r="T51" s="2443">
        <f>C51/C52-1</f>
        <v>3.0742184721226584E-2</v>
      </c>
      <c r="U51" s="2443">
        <f>E51/E52-1</f>
        <v>6.2167683886810154E-2</v>
      </c>
      <c r="V51" s="2443">
        <f>F51/F52-1</f>
        <v>4.5657953741810031E-2</v>
      </c>
      <c r="X51" s="2411"/>
      <c r="Y51" s="2411"/>
      <c r="Z51" s="2411"/>
    </row>
    <row r="52" spans="1:26" ht="13.5" thickBot="1">
      <c r="A52" s="2423" t="s">
        <v>1146</v>
      </c>
      <c r="B52" s="2438">
        <v>220</v>
      </c>
      <c r="C52" s="2438">
        <v>187</v>
      </c>
      <c r="D52" s="2438">
        <f t="shared" si="18"/>
        <v>187</v>
      </c>
      <c r="E52" s="2438">
        <v>301</v>
      </c>
      <c r="F52" s="2439">
        <v>168</v>
      </c>
      <c r="G52" s="3946">
        <v>2009</v>
      </c>
      <c r="H52" s="2444">
        <v>4</v>
      </c>
      <c r="I52" s="2444">
        <v>2.2999999999999998</v>
      </c>
      <c r="J52" s="2444">
        <v>1.04</v>
      </c>
      <c r="K52" s="2444">
        <v>2.84</v>
      </c>
      <c r="L52" s="2445">
        <v>0.67</v>
      </c>
      <c r="N52" s="2446">
        <f t="shared" si="20"/>
        <v>2.3E-2</v>
      </c>
      <c r="O52" s="2447">
        <f t="shared" si="20"/>
        <v>1.04E-2</v>
      </c>
      <c r="P52" s="2447">
        <f t="shared" si="20"/>
        <v>2.8399999999999998E-2</v>
      </c>
      <c r="Q52" s="2447">
        <f t="shared" si="20"/>
        <v>6.7000000000000002E-3</v>
      </c>
      <c r="R52" s="2427"/>
      <c r="S52" s="2440"/>
      <c r="T52" s="2441"/>
      <c r="U52" s="2441"/>
      <c r="V52" s="2441"/>
      <c r="X52" s="2441"/>
      <c r="Y52" s="2441"/>
      <c r="Z52" s="2441"/>
    </row>
    <row r="53" spans="1:26">
      <c r="A53" s="2423" t="s">
        <v>1147</v>
      </c>
      <c r="B53" s="2424">
        <f t="shared" ref="B53:C55" si="32">B52/(1+N52)</f>
        <v>215.05376344086022</v>
      </c>
      <c r="C53" s="2424">
        <f t="shared" si="32"/>
        <v>185.0752177355503</v>
      </c>
      <c r="D53" s="2424">
        <f t="shared" si="18"/>
        <v>185.0752177355503</v>
      </c>
      <c r="E53" s="2424">
        <f t="shared" ref="E53:F55" si="33">E52/(1+P52)</f>
        <v>292.68767016725008</v>
      </c>
      <c r="F53" s="2424">
        <f t="shared" si="33"/>
        <v>166.88189132810174</v>
      </c>
      <c r="G53" s="3947">
        <v>2009</v>
      </c>
      <c r="H53" s="2449">
        <v>3</v>
      </c>
      <c r="I53" s="2449">
        <v>2.1</v>
      </c>
      <c r="J53" s="2449">
        <v>1.86</v>
      </c>
      <c r="K53" s="2449">
        <v>2.29</v>
      </c>
      <c r="L53" s="2450">
        <v>0.85</v>
      </c>
      <c r="N53" s="2426">
        <f t="shared" si="20"/>
        <v>2.1000000000000001E-2</v>
      </c>
      <c r="O53" s="2451">
        <f t="shared" si="20"/>
        <v>1.8600000000000002E-2</v>
      </c>
      <c r="P53" s="2451">
        <f t="shared" si="20"/>
        <v>2.29E-2</v>
      </c>
      <c r="Q53" s="2451">
        <f t="shared" si="20"/>
        <v>8.5000000000000006E-3</v>
      </c>
      <c r="R53" s="2427"/>
      <c r="S53" s="2426"/>
      <c r="T53" s="2411"/>
      <c r="U53" s="2411"/>
      <c r="V53" s="2411"/>
    </row>
    <row r="54" spans="1:26">
      <c r="A54" s="2423" t="s">
        <v>1148</v>
      </c>
      <c r="B54" s="2424">
        <f t="shared" si="32"/>
        <v>210.630522469011</v>
      </c>
      <c r="C54" s="2424">
        <f t="shared" si="32"/>
        <v>181.69567812247232</v>
      </c>
      <c r="D54" s="2424">
        <f t="shared" si="18"/>
        <v>181.69567812247232</v>
      </c>
      <c r="E54" s="2424">
        <f t="shared" si="33"/>
        <v>286.13517466736738</v>
      </c>
      <c r="F54" s="2424">
        <f t="shared" si="33"/>
        <v>165.47535084591149</v>
      </c>
      <c r="G54" s="3947">
        <v>2009</v>
      </c>
      <c r="H54" s="2436">
        <v>2</v>
      </c>
      <c r="I54" s="2436">
        <v>0.86</v>
      </c>
      <c r="J54" s="2436">
        <v>-1.1299999999999999</v>
      </c>
      <c r="K54" s="2436">
        <v>1.79</v>
      </c>
      <c r="L54" s="2437">
        <v>-2.0699999999999998</v>
      </c>
      <c r="N54" s="2426">
        <f t="shared" si="20"/>
        <v>8.6E-3</v>
      </c>
      <c r="O54" s="2451">
        <f t="shared" si="20"/>
        <v>-1.1299999999999999E-2</v>
      </c>
      <c r="P54" s="2451">
        <f t="shared" si="20"/>
        <v>1.7899999999999999E-2</v>
      </c>
      <c r="Q54" s="2451">
        <f t="shared" si="20"/>
        <v>-2.07E-2</v>
      </c>
      <c r="R54" s="2427"/>
      <c r="S54" s="2426"/>
      <c r="T54" s="2411"/>
      <c r="U54" s="2411"/>
      <c r="V54" s="2411"/>
    </row>
    <row r="55" spans="1:26">
      <c r="A55" s="2423" t="s">
        <v>1149</v>
      </c>
      <c r="B55" s="2424">
        <f t="shared" si="32"/>
        <v>208.83454537875372</v>
      </c>
      <c r="C55" s="2424">
        <f t="shared" si="32"/>
        <v>183.77230517090351</v>
      </c>
      <c r="D55" s="2424">
        <f t="shared" si="18"/>
        <v>183.77230517090351</v>
      </c>
      <c r="E55" s="2424">
        <f t="shared" si="33"/>
        <v>281.10342338870947</v>
      </c>
      <c r="F55" s="2424">
        <f t="shared" si="33"/>
        <v>168.97309388942256</v>
      </c>
      <c r="G55" s="3948">
        <v>2009</v>
      </c>
      <c r="H55" s="2425">
        <v>1</v>
      </c>
      <c r="I55" s="2425">
        <v>-2.64</v>
      </c>
      <c r="J55" s="2425">
        <v>-2.5299999999999998</v>
      </c>
      <c r="K55" s="2425">
        <v>-3.02</v>
      </c>
      <c r="L55" s="2431">
        <v>1.52</v>
      </c>
      <c r="N55" s="2442">
        <f t="shared" si="20"/>
        <v>-2.64E-2</v>
      </c>
      <c r="O55" s="2443">
        <f t="shared" si="20"/>
        <v>-2.53E-2</v>
      </c>
      <c r="P55" s="2443">
        <f t="shared" si="20"/>
        <v>-3.0200000000000001E-2</v>
      </c>
      <c r="Q55" s="2443">
        <f t="shared" si="20"/>
        <v>1.52E-2</v>
      </c>
      <c r="R55" s="2427"/>
      <c r="S55" s="2442">
        <f>B55/B56-1</f>
        <v>-2.4137638417038754E-2</v>
      </c>
      <c r="T55" s="2443">
        <f>C55/C56-1</f>
        <v>-2.248773845264096E-2</v>
      </c>
      <c r="U55" s="2443">
        <f>E55/E56-1</f>
        <v>-2.7323794502735366E-2</v>
      </c>
      <c r="V55" s="2443">
        <f>F55/F56-1</f>
        <v>1.7910204153148035E-2</v>
      </c>
      <c r="X55" s="2411"/>
      <c r="Y55" s="2411"/>
      <c r="Z55" s="2411"/>
    </row>
    <row r="56" spans="1:26" ht="13.5" thickBot="1">
      <c r="A56" s="2423" t="s">
        <v>1150</v>
      </c>
      <c r="B56" s="2473">
        <v>214</v>
      </c>
      <c r="C56" s="2473">
        <v>188</v>
      </c>
      <c r="D56" s="2473">
        <f t="shared" si="18"/>
        <v>188</v>
      </c>
      <c r="E56" s="2473">
        <v>289</v>
      </c>
      <c r="F56" s="2474">
        <v>166</v>
      </c>
      <c r="G56" s="3946">
        <v>2008</v>
      </c>
      <c r="H56" s="2444">
        <v>4</v>
      </c>
      <c r="I56" s="2444">
        <v>1.73</v>
      </c>
      <c r="J56" s="2444">
        <v>0.03</v>
      </c>
      <c r="K56" s="2444">
        <v>2.59</v>
      </c>
      <c r="L56" s="2445">
        <v>-1.66</v>
      </c>
      <c r="N56" s="2426">
        <f t="shared" si="20"/>
        <v>1.7299999999999999E-2</v>
      </c>
      <c r="O56" s="2411">
        <f t="shared" si="20"/>
        <v>2.9999999999999997E-4</v>
      </c>
      <c r="P56" s="2411">
        <f t="shared" si="20"/>
        <v>2.5899999999999999E-2</v>
      </c>
      <c r="Q56" s="2411">
        <f t="shared" si="20"/>
        <v>-1.66E-2</v>
      </c>
      <c r="R56" s="2427"/>
      <c r="S56" s="2440"/>
      <c r="T56" s="2441"/>
      <c r="U56" s="2441"/>
      <c r="V56" s="2441"/>
      <c r="X56" s="2441"/>
      <c r="Y56" s="2441"/>
      <c r="Z56" s="2441"/>
    </row>
    <row r="57" spans="1:26">
      <c r="A57" s="2423" t="s">
        <v>1151</v>
      </c>
      <c r="B57" s="2424">
        <f t="shared" ref="B57:C59" si="34">B56/(1+N56)</f>
        <v>210.36075887152265</v>
      </c>
      <c r="C57" s="2424">
        <f t="shared" si="34"/>
        <v>187.94361691492554</v>
      </c>
      <c r="D57" s="2424">
        <f t="shared" si="18"/>
        <v>187.94361691492554</v>
      </c>
      <c r="E57" s="2424">
        <f t="shared" ref="E57:F59" si="35">E56/(1+P56)</f>
        <v>281.70386977288234</v>
      </c>
      <c r="F57" s="2424">
        <f t="shared" si="35"/>
        <v>168.80211511083994</v>
      </c>
      <c r="G57" s="3947">
        <v>2008</v>
      </c>
      <c r="H57" s="2449">
        <v>3</v>
      </c>
      <c r="I57" s="2449">
        <v>1.96</v>
      </c>
      <c r="J57" s="2449">
        <v>2.36</v>
      </c>
      <c r="K57" s="2449">
        <v>1.82</v>
      </c>
      <c r="L57" s="2450">
        <v>2.2200000000000002</v>
      </c>
      <c r="N57" s="2426">
        <f t="shared" si="20"/>
        <v>1.9599999999999999E-2</v>
      </c>
      <c r="O57" s="2411">
        <f t="shared" si="20"/>
        <v>2.3599999999999999E-2</v>
      </c>
      <c r="P57" s="2411">
        <f t="shared" si="20"/>
        <v>1.8200000000000001E-2</v>
      </c>
      <c r="Q57" s="2411">
        <f t="shared" si="20"/>
        <v>2.2200000000000001E-2</v>
      </c>
      <c r="R57" s="2427"/>
      <c r="S57" s="2426"/>
      <c r="T57" s="2411"/>
      <c r="U57" s="2411"/>
      <c r="V57" s="2411"/>
    </row>
    <row r="58" spans="1:26">
      <c r="A58" s="2423" t="s">
        <v>1152</v>
      </c>
      <c r="B58" s="2424">
        <f t="shared" si="34"/>
        <v>206.31694671589116</v>
      </c>
      <c r="C58" s="2424">
        <f t="shared" si="34"/>
        <v>183.61041121036101</v>
      </c>
      <c r="D58" s="2424">
        <f t="shared" si="18"/>
        <v>183.61041121036101</v>
      </c>
      <c r="E58" s="2424">
        <f t="shared" si="35"/>
        <v>276.66850301795557</v>
      </c>
      <c r="F58" s="2424">
        <f t="shared" si="35"/>
        <v>165.1360938278614</v>
      </c>
      <c r="G58" s="3947">
        <v>2008</v>
      </c>
      <c r="H58" s="2436">
        <v>2</v>
      </c>
      <c r="I58" s="2436">
        <v>4.93</v>
      </c>
      <c r="J58" s="2436">
        <v>7.38</v>
      </c>
      <c r="K58" s="2436">
        <v>3.98</v>
      </c>
      <c r="L58" s="2437">
        <v>6.86</v>
      </c>
      <c r="N58" s="2426">
        <f t="shared" si="20"/>
        <v>4.9299999999999997E-2</v>
      </c>
      <c r="O58" s="2411">
        <f t="shared" si="20"/>
        <v>7.3800000000000004E-2</v>
      </c>
      <c r="P58" s="2411">
        <f t="shared" si="20"/>
        <v>3.9800000000000002E-2</v>
      </c>
      <c r="Q58" s="2411">
        <f t="shared" si="20"/>
        <v>6.8600000000000008E-2</v>
      </c>
      <c r="R58" s="2427"/>
      <c r="S58" s="2426"/>
      <c r="T58" s="2411"/>
      <c r="U58" s="2411"/>
      <c r="V58" s="2411"/>
    </row>
    <row r="59" spans="1:26" s="2479" customFormat="1" ht="13.5" thickBot="1">
      <c r="A59" s="2423" t="s">
        <v>1153</v>
      </c>
      <c r="B59" s="2476">
        <f t="shared" si="34"/>
        <v>196.62341248059772</v>
      </c>
      <c r="C59" s="2476">
        <f t="shared" si="34"/>
        <v>170.99125648199012</v>
      </c>
      <c r="D59" s="2476">
        <f t="shared" si="18"/>
        <v>170.99125648199012</v>
      </c>
      <c r="E59" s="2476">
        <f t="shared" si="35"/>
        <v>266.07857570490052</v>
      </c>
      <c r="F59" s="2476">
        <f t="shared" si="35"/>
        <v>154.53499328828505</v>
      </c>
      <c r="G59" s="3948">
        <v>2008</v>
      </c>
      <c r="H59" s="2477">
        <v>1</v>
      </c>
      <c r="I59" s="2477">
        <v>4.1399999999999997</v>
      </c>
      <c r="J59" s="2477">
        <v>3.45</v>
      </c>
      <c r="K59" s="2477">
        <v>4.95</v>
      </c>
      <c r="L59" s="2478">
        <v>4.82</v>
      </c>
      <c r="N59" s="2480">
        <f t="shared" si="20"/>
        <v>4.1399999999999999E-2</v>
      </c>
      <c r="O59" s="2481">
        <f t="shared" si="20"/>
        <v>3.4500000000000003E-2</v>
      </c>
      <c r="P59" s="2481">
        <f t="shared" si="20"/>
        <v>4.9500000000000002E-2</v>
      </c>
      <c r="Q59" s="2481">
        <f t="shared" si="20"/>
        <v>4.82E-2</v>
      </c>
      <c r="R59" s="2482"/>
      <c r="S59" s="2480">
        <f>B59/B60-1</f>
        <v>4.5869215322328349E-2</v>
      </c>
      <c r="T59" s="2481">
        <f>C59/C60-1</f>
        <v>3.6310645345394743E-2</v>
      </c>
      <c r="U59" s="2481">
        <f>E59/E60-1</f>
        <v>4.7553447657088688E-2</v>
      </c>
      <c r="V59" s="2481">
        <f>F59/F60-1</f>
        <v>4.4155360055980086E-2</v>
      </c>
      <c r="X59" s="2481"/>
      <c r="Y59" s="2481"/>
      <c r="Z59" s="2481"/>
    </row>
    <row r="60" spans="1:26" ht="13.5" thickBot="1">
      <c r="A60" s="2423" t="s">
        <v>1154</v>
      </c>
      <c r="B60" s="2438">
        <v>188</v>
      </c>
      <c r="C60" s="2438">
        <v>165</v>
      </c>
      <c r="D60" s="2438">
        <f t="shared" si="18"/>
        <v>165</v>
      </c>
      <c r="E60" s="2438">
        <v>254</v>
      </c>
      <c r="F60" s="2439">
        <v>148</v>
      </c>
      <c r="G60" s="3946">
        <v>2007</v>
      </c>
      <c r="H60" s="2483">
        <v>4</v>
      </c>
      <c r="I60" s="2483">
        <v>5.51</v>
      </c>
      <c r="J60" s="2483">
        <v>4.8899999999999997</v>
      </c>
      <c r="K60" s="2483">
        <v>6.43</v>
      </c>
      <c r="L60" s="2484">
        <v>5.36</v>
      </c>
      <c r="N60" s="2485">
        <f t="shared" ref="N60:O63" si="36">B60/B61-1</f>
        <v>4.1339718365245526E-2</v>
      </c>
      <c r="O60" s="2486">
        <f t="shared" si="36"/>
        <v>4.0324492593776018E-2</v>
      </c>
      <c r="P60" s="2486">
        <f t="shared" ref="P60:Q63" si="37">E60/E61-1</f>
        <v>6.1625555347990968E-2</v>
      </c>
      <c r="Q60" s="2486">
        <f t="shared" si="37"/>
        <v>4.6757569250590603E-2</v>
      </c>
      <c r="R60" s="2427"/>
      <c r="S60" s="2440"/>
      <c r="T60" s="2441"/>
      <c r="U60" s="2441"/>
      <c r="V60" s="2441"/>
      <c r="X60" s="2441"/>
      <c r="Y60" s="2441"/>
      <c r="Z60" s="2441"/>
    </row>
    <row r="61" spans="1:26">
      <c r="A61" s="2423" t="s">
        <v>1155</v>
      </c>
      <c r="B61" s="2424">
        <f t="shared" ref="B61:C63" si="38">B62+(B$60-B$64)*I61/SUM(I$60:I$63)</f>
        <v>180.5366651097618</v>
      </c>
      <c r="C61" s="2424">
        <f t="shared" si="38"/>
        <v>158.60435967302453</v>
      </c>
      <c r="D61" s="2424">
        <f t="shared" si="18"/>
        <v>158.60435967302453</v>
      </c>
      <c r="E61" s="2424">
        <f t="shared" ref="E61:F63" si="39">E62+(E$60-E$64)*K61/SUM(K$60:K$63)</f>
        <v>239.25573260785075</v>
      </c>
      <c r="F61" s="2424">
        <f t="shared" si="39"/>
        <v>141.38899430740037</v>
      </c>
      <c r="G61" s="3947">
        <v>2007</v>
      </c>
      <c r="H61" s="2449">
        <v>3</v>
      </c>
      <c r="I61" s="2449">
        <v>8.65</v>
      </c>
      <c r="J61" s="2449">
        <v>8.06</v>
      </c>
      <c r="K61" s="2449">
        <v>9.94</v>
      </c>
      <c r="L61" s="2450">
        <v>5.8</v>
      </c>
      <c r="N61" s="2485">
        <f t="shared" si="36"/>
        <v>6.940217571740015E-2</v>
      </c>
      <c r="O61" s="2486">
        <f t="shared" si="36"/>
        <v>7.1197482471153428E-2</v>
      </c>
      <c r="P61" s="2486">
        <f t="shared" si="37"/>
        <v>0.10529679922579582</v>
      </c>
      <c r="Q61" s="2486">
        <f t="shared" si="37"/>
        <v>5.3292245059512133E-2</v>
      </c>
      <c r="R61" s="2427"/>
      <c r="S61" s="2426"/>
      <c r="T61" s="2411"/>
      <c r="U61" s="2411"/>
      <c r="V61" s="2411"/>
      <c r="X61" s="2487"/>
      <c r="Y61" s="2487"/>
      <c r="Z61" s="2487"/>
    </row>
    <row r="62" spans="1:26">
      <c r="A62" s="2423" t="s">
        <v>1156</v>
      </c>
      <c r="B62" s="2424">
        <f t="shared" si="38"/>
        <v>168.82017748715555</v>
      </c>
      <c r="C62" s="2424">
        <f t="shared" si="38"/>
        <v>148.06267029972753</v>
      </c>
      <c r="D62" s="2424">
        <f t="shared" si="18"/>
        <v>148.06267029972753</v>
      </c>
      <c r="E62" s="2424">
        <f t="shared" si="39"/>
        <v>216.46288379323747</v>
      </c>
      <c r="F62" s="2424">
        <f t="shared" si="39"/>
        <v>134.23529411764704</v>
      </c>
      <c r="G62" s="3947">
        <v>2007</v>
      </c>
      <c r="H62" s="2436">
        <v>2</v>
      </c>
      <c r="I62" s="2436">
        <v>3.67</v>
      </c>
      <c r="J62" s="2436">
        <v>2.3199999999999998</v>
      </c>
      <c r="K62" s="2436">
        <v>5.0199999999999996</v>
      </c>
      <c r="L62" s="2437">
        <v>6.71</v>
      </c>
      <c r="N62" s="2485">
        <f t="shared" si="36"/>
        <v>3.0339138143848032E-2</v>
      </c>
      <c r="O62" s="2486">
        <f t="shared" si="36"/>
        <v>2.0922341588790472E-2</v>
      </c>
      <c r="P62" s="2486">
        <f t="shared" si="37"/>
        <v>5.6164796592717003E-2</v>
      </c>
      <c r="Q62" s="2486">
        <f t="shared" si="37"/>
        <v>6.5704536723887319E-2</v>
      </c>
      <c r="R62" s="2427"/>
      <c r="S62" s="2426"/>
      <c r="T62" s="2411"/>
      <c r="U62" s="2411"/>
      <c r="V62" s="2411"/>
      <c r="X62" s="2487"/>
      <c r="Y62" s="2487"/>
      <c r="Z62" s="2487"/>
    </row>
    <row r="63" spans="1:26">
      <c r="A63" s="2423" t="s">
        <v>1157</v>
      </c>
      <c r="B63" s="2424">
        <f t="shared" si="38"/>
        <v>163.84913591779542</v>
      </c>
      <c r="C63" s="2424">
        <f t="shared" si="38"/>
        <v>145.0283378746594</v>
      </c>
      <c r="D63" s="2424">
        <f t="shared" si="18"/>
        <v>145.0283378746594</v>
      </c>
      <c r="E63" s="2424">
        <f t="shared" si="39"/>
        <v>204.95180722891567</v>
      </c>
      <c r="F63" s="2424">
        <f t="shared" si="39"/>
        <v>125.95920303605313</v>
      </c>
      <c r="G63" s="3948">
        <v>2007</v>
      </c>
      <c r="H63" s="2425">
        <v>1</v>
      </c>
      <c r="I63" s="2425">
        <v>3.58</v>
      </c>
      <c r="J63" s="2425">
        <v>3.08</v>
      </c>
      <c r="K63" s="2425">
        <v>4.34</v>
      </c>
      <c r="L63" s="2431">
        <v>3.21</v>
      </c>
      <c r="N63" s="2488">
        <f t="shared" si="36"/>
        <v>3.0497710174814063E-2</v>
      </c>
      <c r="O63" s="2489">
        <f t="shared" si="36"/>
        <v>2.8569772160704998E-2</v>
      </c>
      <c r="P63" s="2489">
        <f t="shared" si="37"/>
        <v>5.1034908866234296E-2</v>
      </c>
      <c r="Q63" s="2489">
        <f t="shared" si="37"/>
        <v>3.245248390207478E-2</v>
      </c>
      <c r="R63" s="2427"/>
      <c r="S63" s="2442">
        <f>B63/B64-1</f>
        <v>3.0497710174814063E-2</v>
      </c>
      <c r="T63" s="2443">
        <f>C63/C64-1</f>
        <v>2.8569772160704998E-2</v>
      </c>
      <c r="U63" s="2443">
        <f>E63/E64-1</f>
        <v>5.1034908866234296E-2</v>
      </c>
      <c r="V63" s="2443">
        <f>F63/F64-1</f>
        <v>3.245248390207478E-2</v>
      </c>
      <c r="X63" s="2487"/>
      <c r="Y63" s="2487"/>
      <c r="Z63" s="2487"/>
    </row>
    <row r="64" spans="1:26" ht="13.5" thickBot="1">
      <c r="A64" s="2423" t="s">
        <v>1158</v>
      </c>
      <c r="B64" s="2452">
        <v>159</v>
      </c>
      <c r="C64" s="2452">
        <v>141</v>
      </c>
      <c r="D64" s="2452">
        <f t="shared" si="18"/>
        <v>141</v>
      </c>
      <c r="E64" s="2452">
        <v>195</v>
      </c>
      <c r="F64" s="2453">
        <v>122</v>
      </c>
      <c r="G64" s="3946">
        <v>2006</v>
      </c>
      <c r="H64" s="2444">
        <v>4</v>
      </c>
      <c r="I64" s="2444">
        <v>3.79</v>
      </c>
      <c r="J64" s="2444">
        <v>2.21</v>
      </c>
      <c r="K64" s="2444">
        <v>5.65</v>
      </c>
      <c r="L64" s="2445">
        <v>5.41</v>
      </c>
      <c r="N64" s="2485">
        <f t="shared" ref="N64:O67" si="40">I64/SUM(I$64:I$67)*(B$64/B$68-1)</f>
        <v>7.245466462748526E-2</v>
      </c>
      <c r="O64" s="2486">
        <f t="shared" si="40"/>
        <v>2.3237230038062766E-2</v>
      </c>
      <c r="P64" s="2486">
        <f t="shared" ref="P64:Q67" si="41">K64/SUM(K$64:K$67)*(E$64/E$68-1)</f>
        <v>0.16146893866323722</v>
      </c>
      <c r="Q64" s="2486">
        <f t="shared" si="41"/>
        <v>5.0755230321793784E-2</v>
      </c>
      <c r="R64" s="2427"/>
      <c r="S64" s="2440"/>
      <c r="T64" s="2441"/>
      <c r="U64" s="2441"/>
      <c r="V64" s="2441"/>
      <c r="X64" s="2487"/>
      <c r="Y64" s="2487"/>
      <c r="Z64" s="2487"/>
    </row>
    <row r="65" spans="1:26">
      <c r="A65" s="2423" t="s">
        <v>1159</v>
      </c>
      <c r="B65" s="2424">
        <f t="shared" ref="B65:C67" si="42">B66+(B$64-B$68)*I65/SUM(I$64:I$67)</f>
        <v>149.00125628140702</v>
      </c>
      <c r="C65" s="2424">
        <f t="shared" si="42"/>
        <v>137.95592286501378</v>
      </c>
      <c r="D65" s="2424">
        <f t="shared" si="18"/>
        <v>137.95592286501378</v>
      </c>
      <c r="E65" s="2424">
        <f t="shared" ref="E65:F67" si="43">E66+(E$64-E$68)*K65/SUM(K$64:K$67)</f>
        <v>169.97231450719823</v>
      </c>
      <c r="F65" s="2424">
        <f t="shared" si="43"/>
        <v>116.21390374331551</v>
      </c>
      <c r="G65" s="3947">
        <v>2006</v>
      </c>
      <c r="H65" s="2449">
        <v>3</v>
      </c>
      <c r="I65" s="2449">
        <v>0.92</v>
      </c>
      <c r="J65" s="2449">
        <v>1.08</v>
      </c>
      <c r="K65" s="2449">
        <v>0.73</v>
      </c>
      <c r="L65" s="2450">
        <v>1.08</v>
      </c>
      <c r="N65" s="2485">
        <f t="shared" si="40"/>
        <v>1.7587939698492462E-2</v>
      </c>
      <c r="O65" s="2486">
        <f t="shared" si="40"/>
        <v>1.1355750425840628E-2</v>
      </c>
      <c r="P65" s="2486">
        <f t="shared" si="41"/>
        <v>2.0862358446754544E-2</v>
      </c>
      <c r="Q65" s="2486">
        <f t="shared" si="41"/>
        <v>1.0132282578103011E-2</v>
      </c>
      <c r="R65" s="2427"/>
      <c r="S65" s="2426"/>
      <c r="T65" s="2411"/>
      <c r="U65" s="2411"/>
      <c r="V65" s="2411"/>
      <c r="X65" s="2487"/>
      <c r="Y65" s="2487"/>
      <c r="Z65" s="2487"/>
    </row>
    <row r="66" spans="1:26">
      <c r="A66" s="2423" t="s">
        <v>1160</v>
      </c>
      <c r="B66" s="2424">
        <f t="shared" si="42"/>
        <v>146.57412060301507</v>
      </c>
      <c r="C66" s="2424">
        <f t="shared" si="42"/>
        <v>136.46831955922866</v>
      </c>
      <c r="D66" s="2424">
        <f t="shared" si="18"/>
        <v>136.46831955922866</v>
      </c>
      <c r="E66" s="2424">
        <f t="shared" si="43"/>
        <v>166.73864894795128</v>
      </c>
      <c r="F66" s="2424">
        <f t="shared" si="43"/>
        <v>115.05882352941177</v>
      </c>
      <c r="G66" s="3947">
        <v>2006</v>
      </c>
      <c r="H66" s="2436">
        <v>2</v>
      </c>
      <c r="I66" s="2436">
        <v>0.96</v>
      </c>
      <c r="J66" s="2436">
        <v>0.25</v>
      </c>
      <c r="K66" s="2436">
        <v>1.9</v>
      </c>
      <c r="L66" s="2437">
        <v>0.95</v>
      </c>
      <c r="N66" s="2485">
        <f t="shared" si="40"/>
        <v>1.8352632728861701E-2</v>
      </c>
      <c r="O66" s="2486">
        <f t="shared" si="40"/>
        <v>2.6286459319075526E-3</v>
      </c>
      <c r="P66" s="2486">
        <f t="shared" si="41"/>
        <v>5.4299289107991269E-2</v>
      </c>
      <c r="Q66" s="2486">
        <f t="shared" si="41"/>
        <v>8.9126559714794995E-3</v>
      </c>
      <c r="R66" s="2427"/>
      <c r="S66" s="2426"/>
      <c r="T66" s="2411"/>
      <c r="U66" s="2411"/>
      <c r="V66" s="2411"/>
      <c r="X66" s="2487"/>
      <c r="Y66" s="2487"/>
      <c r="Z66" s="2487"/>
    </row>
    <row r="67" spans="1:26">
      <c r="A67" s="2423" t="s">
        <v>1161</v>
      </c>
      <c r="B67" s="2424">
        <f t="shared" si="42"/>
        <v>144.04145728643215</v>
      </c>
      <c r="C67" s="2424">
        <f t="shared" si="42"/>
        <v>136.12396694214877</v>
      </c>
      <c r="D67" s="2424">
        <f t="shared" si="18"/>
        <v>136.12396694214877</v>
      </c>
      <c r="E67" s="2424">
        <f t="shared" si="43"/>
        <v>158.32225913621264</v>
      </c>
      <c r="F67" s="2424">
        <f t="shared" si="43"/>
        <v>114.04278074866311</v>
      </c>
      <c r="G67" s="3948">
        <v>2006</v>
      </c>
      <c r="H67" s="2425">
        <v>1</v>
      </c>
      <c r="I67" s="2425">
        <v>2.29</v>
      </c>
      <c r="J67" s="2425">
        <v>3.72</v>
      </c>
      <c r="K67" s="2425">
        <v>0.75</v>
      </c>
      <c r="L67" s="2431">
        <v>0.04</v>
      </c>
      <c r="N67" s="2488">
        <f t="shared" si="40"/>
        <v>4.3778675988638847E-2</v>
      </c>
      <c r="O67" s="2489">
        <f t="shared" si="40"/>
        <v>3.9114251466784385E-2</v>
      </c>
      <c r="P67" s="2489">
        <f t="shared" si="41"/>
        <v>2.1433929911049188E-2</v>
      </c>
      <c r="Q67" s="2489">
        <f t="shared" si="41"/>
        <v>3.7526972511492629E-4</v>
      </c>
      <c r="R67" s="2427"/>
      <c r="S67" s="2442">
        <f>B67/B68-1</f>
        <v>4.3778675988638716E-2</v>
      </c>
      <c r="T67" s="2443">
        <f>C67/C68-1</f>
        <v>3.91142514667846E-2</v>
      </c>
      <c r="U67" s="2443">
        <f>E67/E68-1</f>
        <v>2.143392991104931E-2</v>
      </c>
      <c r="V67" s="2443">
        <f>F67/F68-1</f>
        <v>3.7526972511492396E-4</v>
      </c>
      <c r="X67" s="2487"/>
      <c r="Y67" s="2487"/>
      <c r="Z67" s="2487"/>
    </row>
    <row r="68" spans="1:26" ht="13.5" thickBot="1">
      <c r="A68" s="2423" t="s">
        <v>1162</v>
      </c>
      <c r="B68" s="2452">
        <v>138</v>
      </c>
      <c r="C68" s="2452">
        <v>131</v>
      </c>
      <c r="D68" s="2452">
        <f t="shared" si="18"/>
        <v>131</v>
      </c>
      <c r="E68" s="2452">
        <v>155</v>
      </c>
      <c r="F68" s="2453">
        <v>114</v>
      </c>
      <c r="G68" s="3946">
        <v>2005</v>
      </c>
      <c r="H68" s="2444">
        <v>4</v>
      </c>
      <c r="I68" s="2444">
        <v>3.29</v>
      </c>
      <c r="J68" s="2444">
        <v>1.44</v>
      </c>
      <c r="K68" s="2444">
        <v>0.66</v>
      </c>
      <c r="L68" s="2445">
        <v>7.78</v>
      </c>
      <c r="N68" s="2485">
        <f t="shared" ref="N68:O71" si="44">I68/SUM(I$68:I$71)*(B$68/B$72-1)</f>
        <v>9.9404603216919935E-2</v>
      </c>
      <c r="O68" s="2486">
        <f t="shared" si="44"/>
        <v>4.7636550760861554E-2</v>
      </c>
      <c r="P68" s="2486">
        <f t="shared" ref="P68:Q71" si="45">K68/SUM(K$68:K$71)*(E$68/E$72-1)</f>
        <v>8.3756345177664976E-2</v>
      </c>
      <c r="Q68" s="2486">
        <f t="shared" si="45"/>
        <v>5.2148766661559584E-2</v>
      </c>
      <c r="R68" s="2427"/>
      <c r="S68" s="2440"/>
      <c r="T68" s="2441"/>
      <c r="U68" s="2441"/>
      <c r="V68" s="2441"/>
      <c r="X68" s="2487"/>
      <c r="Y68" s="2487"/>
      <c r="Z68" s="2487"/>
    </row>
    <row r="69" spans="1:26">
      <c r="A69" s="2423" t="s">
        <v>1163</v>
      </c>
      <c r="B69" s="2424">
        <f t="shared" ref="B69:C71" si="46">B70+(B$68-B$72)*I69/SUM(I$68:I$71)</f>
        <v>125.9720430107527</v>
      </c>
      <c r="C69" s="2424">
        <f t="shared" si="46"/>
        <v>125.1883408071749</v>
      </c>
      <c r="D69" s="2424">
        <f t="shared" si="18"/>
        <v>125.1883408071749</v>
      </c>
      <c r="E69" s="2424">
        <f t="shared" ref="E69:F71" si="47">E70+(E$68-E$72)*K69/SUM(K$68:K$71)</f>
        <v>144.61421319796952</v>
      </c>
      <c r="F69" s="2424">
        <f t="shared" si="47"/>
        <v>108.42008196721311</v>
      </c>
      <c r="G69" s="3947">
        <v>2005</v>
      </c>
      <c r="H69" s="2449">
        <v>3</v>
      </c>
      <c r="I69" s="2449">
        <v>0.46</v>
      </c>
      <c r="J69" s="2449">
        <v>0.32</v>
      </c>
      <c r="K69" s="2449">
        <v>0.42</v>
      </c>
      <c r="L69" s="2450">
        <v>0.64</v>
      </c>
      <c r="N69" s="2485">
        <f t="shared" si="44"/>
        <v>1.3898515951301874E-2</v>
      </c>
      <c r="O69" s="2486">
        <f t="shared" si="44"/>
        <v>1.0585900169080346E-2</v>
      </c>
      <c r="P69" s="2486">
        <f t="shared" si="45"/>
        <v>5.3299492385786795E-2</v>
      </c>
      <c r="Q69" s="2486">
        <f t="shared" si="45"/>
        <v>4.2898728359123568E-3</v>
      </c>
      <c r="R69" s="2427"/>
      <c r="S69" s="2426"/>
      <c r="T69" s="2411"/>
      <c r="U69" s="2411"/>
      <c r="V69" s="2411"/>
      <c r="X69" s="2487"/>
      <c r="Y69" s="2487"/>
      <c r="Z69" s="2487"/>
    </row>
    <row r="70" spans="1:26">
      <c r="A70" s="2423" t="s">
        <v>1164</v>
      </c>
      <c r="B70" s="2424">
        <f t="shared" si="46"/>
        <v>124.29032258064517</v>
      </c>
      <c r="C70" s="2424">
        <f t="shared" si="46"/>
        <v>123.8968609865471</v>
      </c>
      <c r="D70" s="2424">
        <f t="shared" si="18"/>
        <v>123.8968609865471</v>
      </c>
      <c r="E70" s="2424">
        <f t="shared" si="47"/>
        <v>138.00507614213197</v>
      </c>
      <c r="F70" s="2424">
        <f t="shared" si="47"/>
        <v>107.96106557377048</v>
      </c>
      <c r="G70" s="3947">
        <v>2005</v>
      </c>
      <c r="H70" s="2436">
        <v>2</v>
      </c>
      <c r="I70" s="2436">
        <v>0.47</v>
      </c>
      <c r="J70" s="2436">
        <v>0.1</v>
      </c>
      <c r="K70" s="2436">
        <v>0.52</v>
      </c>
      <c r="L70" s="2437">
        <v>0.79</v>
      </c>
      <c r="N70" s="2485">
        <f t="shared" si="44"/>
        <v>1.420065760241713E-2</v>
      </c>
      <c r="O70" s="2486">
        <f t="shared" si="44"/>
        <v>3.3080938028376083E-3</v>
      </c>
      <c r="P70" s="2486">
        <f t="shared" si="45"/>
        <v>6.598984771573603E-2</v>
      </c>
      <c r="Q70" s="2486">
        <f t="shared" si="45"/>
        <v>5.2953117818293153E-3</v>
      </c>
      <c r="R70" s="2427"/>
      <c r="S70" s="2426"/>
      <c r="T70" s="2411"/>
      <c r="U70" s="2411"/>
      <c r="V70" s="2411"/>
      <c r="X70" s="2487"/>
      <c r="Y70" s="2487"/>
      <c r="Z70" s="2487"/>
    </row>
    <row r="71" spans="1:26">
      <c r="A71" s="2423" t="s">
        <v>1165</v>
      </c>
      <c r="B71" s="2424">
        <f t="shared" si="46"/>
        <v>122.57204301075269</v>
      </c>
      <c r="C71" s="2424">
        <f t="shared" si="46"/>
        <v>123.4932735426009</v>
      </c>
      <c r="D71" s="2424">
        <f t="shared" si="18"/>
        <v>123.4932735426009</v>
      </c>
      <c r="E71" s="2424">
        <f t="shared" si="47"/>
        <v>129.82233502538071</v>
      </c>
      <c r="F71" s="2424">
        <f t="shared" si="47"/>
        <v>107.39446721311475</v>
      </c>
      <c r="G71" s="3948">
        <v>2005</v>
      </c>
      <c r="H71" s="2425">
        <v>1</v>
      </c>
      <c r="I71" s="2425">
        <v>0.43</v>
      </c>
      <c r="J71" s="2425">
        <v>0.37</v>
      </c>
      <c r="K71" s="2425">
        <v>0.37</v>
      </c>
      <c r="L71" s="2431">
        <v>0.55000000000000004</v>
      </c>
      <c r="N71" s="2488">
        <f t="shared" si="44"/>
        <v>1.2992090997956099E-2</v>
      </c>
      <c r="O71" s="2489">
        <f t="shared" si="44"/>
        <v>1.2239947070499151E-2</v>
      </c>
      <c r="P71" s="2489">
        <f t="shared" si="45"/>
        <v>4.6954314720812178E-2</v>
      </c>
      <c r="Q71" s="2489">
        <f t="shared" si="45"/>
        <v>3.6866094683621815E-3</v>
      </c>
      <c r="R71" s="2427"/>
      <c r="S71" s="2442">
        <f>B71/B72-1</f>
        <v>1.2992090997956174E-2</v>
      </c>
      <c r="T71" s="2443">
        <f>C71/C72-1</f>
        <v>1.2239947070499246E-2</v>
      </c>
      <c r="U71" s="2443">
        <f>E71/E72-1</f>
        <v>4.695431472081224E-2</v>
      </c>
      <c r="V71" s="2443">
        <f>F71/F72-1</f>
        <v>3.6866094683620787E-3</v>
      </c>
      <c r="X71" s="2487"/>
      <c r="Y71" s="2487"/>
      <c r="Z71" s="2487"/>
    </row>
    <row r="72" spans="1:26" ht="13.5" thickBot="1">
      <c r="A72" s="2423" t="s">
        <v>1166</v>
      </c>
      <c r="B72" s="2473">
        <v>121</v>
      </c>
      <c r="C72" s="2473">
        <v>122</v>
      </c>
      <c r="D72" s="2473">
        <f t="shared" si="18"/>
        <v>122</v>
      </c>
      <c r="E72" s="2473">
        <v>124</v>
      </c>
      <c r="F72" s="2474">
        <v>107</v>
      </c>
      <c r="G72" s="3946">
        <v>2004</v>
      </c>
      <c r="H72" s="2444">
        <v>4</v>
      </c>
      <c r="I72" s="2444">
        <v>0.33</v>
      </c>
      <c r="J72" s="2444">
        <v>0.5</v>
      </c>
      <c r="K72" s="2444">
        <v>0.5</v>
      </c>
      <c r="L72" s="2445">
        <v>0</v>
      </c>
      <c r="N72" s="2485">
        <f t="shared" ref="N72:O75" si="48">I72/SUM(I$72:I$75)*(B$72/B$76-1)</f>
        <v>1.3391770148526898E-2</v>
      </c>
      <c r="O72" s="2486">
        <f t="shared" si="48"/>
        <v>1.063264221158958E-2</v>
      </c>
      <c r="P72" s="2486">
        <f t="shared" ref="P72:Q75" si="49">K72/SUM(K$72:K$75)*(E$72/E$76-1)</f>
        <v>2.2244466688911134E-2</v>
      </c>
      <c r="Q72" s="2486">
        <f t="shared" si="49"/>
        <v>0</v>
      </c>
      <c r="R72" s="2427"/>
      <c r="S72" s="2440"/>
      <c r="T72" s="2441"/>
      <c r="U72" s="2441"/>
      <c r="V72" s="2441"/>
      <c r="X72" s="2487"/>
      <c r="Y72" s="2487"/>
      <c r="Z72" s="2487"/>
    </row>
    <row r="73" spans="1:26">
      <c r="A73" s="2423" t="s">
        <v>1167</v>
      </c>
      <c r="B73" s="2424">
        <f t="shared" ref="B73:C75" si="50">B74+(B$72-B$76)*I73/SUM(I$72:I$75)</f>
        <v>119.51351351351352</v>
      </c>
      <c r="C73" s="2424">
        <f t="shared" si="50"/>
        <v>120.7878787878788</v>
      </c>
      <c r="D73" s="2424">
        <f t="shared" si="18"/>
        <v>120.7878787878788</v>
      </c>
      <c r="E73" s="2424">
        <f t="shared" ref="E73:F75" si="51">E74+(E$72-E$76)*K73/SUM(K$72:K$75)</f>
        <v>121.5975975975976</v>
      </c>
      <c r="F73" s="2424">
        <f t="shared" si="51"/>
        <v>107</v>
      </c>
      <c r="G73" s="3947">
        <v>2004</v>
      </c>
      <c r="H73" s="2449">
        <v>3</v>
      </c>
      <c r="I73" s="2449">
        <v>0.56000000000000005</v>
      </c>
      <c r="J73" s="2449">
        <v>0.8</v>
      </c>
      <c r="K73" s="2449">
        <v>0.83</v>
      </c>
      <c r="L73" s="2450">
        <v>0.06</v>
      </c>
      <c r="N73" s="2485">
        <f t="shared" si="48"/>
        <v>2.2725428130833527E-2</v>
      </c>
      <c r="O73" s="2486">
        <f t="shared" si="48"/>
        <v>1.7012227538543329E-2</v>
      </c>
      <c r="P73" s="2486">
        <f t="shared" si="49"/>
        <v>3.6925814703592477E-2</v>
      </c>
      <c r="Q73" s="2486">
        <f t="shared" si="49"/>
        <v>2.8846153846153744E-2</v>
      </c>
      <c r="R73" s="2427"/>
      <c r="S73" s="2426"/>
      <c r="T73" s="2411"/>
      <c r="U73" s="2411"/>
      <c r="V73" s="2411"/>
      <c r="X73" s="2487"/>
      <c r="Y73" s="2487"/>
      <c r="Z73" s="2487"/>
    </row>
    <row r="74" spans="1:26">
      <c r="A74" s="2423" t="s">
        <v>1168</v>
      </c>
      <c r="B74" s="2424">
        <f t="shared" si="50"/>
        <v>116.99099099099099</v>
      </c>
      <c r="C74" s="2424">
        <f t="shared" si="50"/>
        <v>118.84848484848486</v>
      </c>
      <c r="D74" s="2424">
        <f t="shared" si="18"/>
        <v>118.84848484848486</v>
      </c>
      <c r="E74" s="2424">
        <f t="shared" si="51"/>
        <v>117.60960960960961</v>
      </c>
      <c r="F74" s="2424">
        <f t="shared" si="51"/>
        <v>104</v>
      </c>
      <c r="G74" s="3947">
        <v>2004</v>
      </c>
      <c r="H74" s="2436">
        <v>2</v>
      </c>
      <c r="I74" s="2436">
        <v>1</v>
      </c>
      <c r="J74" s="2436">
        <v>1.5</v>
      </c>
      <c r="K74" s="2436">
        <v>1.5</v>
      </c>
      <c r="L74" s="2437">
        <v>0</v>
      </c>
      <c r="N74" s="2485">
        <f t="shared" si="48"/>
        <v>4.0581121662202721E-2</v>
      </c>
      <c r="O74" s="2486">
        <f t="shared" si="48"/>
        <v>3.1897926634768738E-2</v>
      </c>
      <c r="P74" s="2486">
        <f t="shared" si="49"/>
        <v>6.6733400066733395E-2</v>
      </c>
      <c r="Q74" s="2486">
        <f t="shared" si="49"/>
        <v>0</v>
      </c>
      <c r="R74" s="2427"/>
      <c r="S74" s="2426"/>
      <c r="T74" s="2411"/>
      <c r="U74" s="2411"/>
      <c r="V74" s="2411"/>
      <c r="X74" s="2487"/>
      <c r="Y74" s="2487"/>
      <c r="Z74" s="2487"/>
    </row>
    <row r="75" spans="1:26" s="2479" customFormat="1" ht="13.5" thickBot="1">
      <c r="A75" s="2423" t="s">
        <v>1169</v>
      </c>
      <c r="B75" s="2476">
        <f t="shared" si="50"/>
        <v>112.48648648648648</v>
      </c>
      <c r="C75" s="2476">
        <f t="shared" si="50"/>
        <v>115.21212121212122</v>
      </c>
      <c r="D75" s="2476">
        <f t="shared" si="18"/>
        <v>115.21212121212122</v>
      </c>
      <c r="E75" s="2476">
        <f t="shared" si="51"/>
        <v>110.4024024024024</v>
      </c>
      <c r="F75" s="2476">
        <f t="shared" si="51"/>
        <v>104</v>
      </c>
      <c r="G75" s="3948">
        <v>2004</v>
      </c>
      <c r="H75" s="2477">
        <v>1</v>
      </c>
      <c r="I75" s="2477">
        <v>0.33</v>
      </c>
      <c r="J75" s="2477">
        <v>0.5</v>
      </c>
      <c r="K75" s="2477">
        <v>0.5</v>
      </c>
      <c r="L75" s="2478">
        <v>0</v>
      </c>
      <c r="N75" s="2490">
        <f t="shared" si="48"/>
        <v>1.3391770148526898E-2</v>
      </c>
      <c r="O75" s="2491">
        <f t="shared" si="48"/>
        <v>1.063264221158958E-2</v>
      </c>
      <c r="P75" s="2491">
        <f t="shared" si="49"/>
        <v>2.2244466688911134E-2</v>
      </c>
      <c r="Q75" s="2491">
        <f t="shared" si="49"/>
        <v>0</v>
      </c>
      <c r="R75" s="2482"/>
      <c r="S75" s="2480">
        <f>B75/B76-1</f>
        <v>1.3391770148526883E-2</v>
      </c>
      <c r="T75" s="2481">
        <f>C75/C76-1</f>
        <v>1.063264221158966E-2</v>
      </c>
      <c r="U75" s="2481">
        <f>E75/E76-1</f>
        <v>2.2244466688911224E-2</v>
      </c>
      <c r="V75" s="2481">
        <f>F75/F76-1</f>
        <v>0</v>
      </c>
      <c r="X75" s="2492"/>
      <c r="Y75" s="2492"/>
      <c r="Z75" s="2492"/>
    </row>
    <row r="76" spans="1:26" ht="13.5" thickBot="1">
      <c r="A76" s="2423" t="s">
        <v>1170</v>
      </c>
      <c r="B76" s="2493">
        <v>111</v>
      </c>
      <c r="C76" s="2493">
        <v>114</v>
      </c>
      <c r="D76" s="2493">
        <f t="shared" si="18"/>
        <v>114</v>
      </c>
      <c r="E76" s="2493">
        <v>108</v>
      </c>
      <c r="F76" s="2494">
        <v>104</v>
      </c>
      <c r="G76" s="3946">
        <v>2003</v>
      </c>
      <c r="H76" s="2483">
        <v>4</v>
      </c>
      <c r="I76" s="2495"/>
      <c r="J76" s="2495"/>
      <c r="K76" s="2495"/>
      <c r="L76" s="2495"/>
      <c r="N76" s="2496"/>
      <c r="O76" s="2495"/>
      <c r="P76" s="2495"/>
      <c r="Q76" s="2495"/>
      <c r="S76" s="2496"/>
      <c r="T76" s="2495"/>
      <c r="U76" s="2495"/>
      <c r="V76" s="2495"/>
      <c r="X76" s="2487"/>
      <c r="Y76" s="2487"/>
      <c r="Z76" s="2487"/>
    </row>
    <row r="77" spans="1:26">
      <c r="A77" s="2423" t="s">
        <v>1171</v>
      </c>
      <c r="B77" s="2497">
        <f t="shared" ref="B77:C79" si="52">B78+(B$76-B$80)/4</f>
        <v>109.75</v>
      </c>
      <c r="C77" s="2497">
        <f t="shared" si="52"/>
        <v>112.25</v>
      </c>
      <c r="D77" s="2497">
        <f t="shared" si="18"/>
        <v>112.25</v>
      </c>
      <c r="E77" s="2497">
        <f t="shared" ref="E77:F79" si="53">E78+(E$76-E$80)/4</f>
        <v>107.25</v>
      </c>
      <c r="F77" s="2497">
        <f t="shared" si="53"/>
        <v>103.5</v>
      </c>
      <c r="G77" s="3947">
        <v>2003</v>
      </c>
      <c r="H77" s="2449">
        <v>3</v>
      </c>
      <c r="I77" s="2495"/>
      <c r="J77" s="2495"/>
      <c r="K77" s="2495"/>
      <c r="L77" s="2495"/>
      <c r="X77" s="2487"/>
      <c r="Y77" s="2487"/>
      <c r="Z77" s="2487"/>
    </row>
    <row r="78" spans="1:26">
      <c r="A78" s="2423" t="s">
        <v>1172</v>
      </c>
      <c r="B78" s="2497">
        <f t="shared" si="52"/>
        <v>108.5</v>
      </c>
      <c r="C78" s="2497">
        <f t="shared" si="52"/>
        <v>110.5</v>
      </c>
      <c r="D78" s="2497">
        <f t="shared" si="18"/>
        <v>110.5</v>
      </c>
      <c r="E78" s="2497">
        <f t="shared" si="53"/>
        <v>106.5</v>
      </c>
      <c r="F78" s="2497">
        <f t="shared" si="53"/>
        <v>103</v>
      </c>
      <c r="G78" s="3947">
        <v>2003</v>
      </c>
      <c r="H78" s="2436">
        <v>2</v>
      </c>
      <c r="I78" s="2495"/>
      <c r="J78" s="2495"/>
      <c r="K78" s="2495"/>
      <c r="L78" s="2495"/>
      <c r="X78" s="2487"/>
      <c r="Y78" s="2487"/>
      <c r="Z78" s="2487"/>
    </row>
    <row r="79" spans="1:26" ht="13.5" thickBot="1">
      <c r="A79" s="2423" t="s">
        <v>1173</v>
      </c>
      <c r="B79" s="2497">
        <f t="shared" si="52"/>
        <v>107.25</v>
      </c>
      <c r="C79" s="2497">
        <f t="shared" si="52"/>
        <v>108.75</v>
      </c>
      <c r="D79" s="2497">
        <f t="shared" si="18"/>
        <v>108.75</v>
      </c>
      <c r="E79" s="2497">
        <f t="shared" si="53"/>
        <v>105.75</v>
      </c>
      <c r="F79" s="2497">
        <f t="shared" si="53"/>
        <v>102.5</v>
      </c>
      <c r="G79" s="3948">
        <v>2003</v>
      </c>
      <c r="H79" s="2498">
        <v>1</v>
      </c>
      <c r="I79" s="2495"/>
      <c r="J79" s="2495"/>
      <c r="K79" s="2495"/>
      <c r="L79" s="2495"/>
      <c r="S79" s="2426"/>
      <c r="T79" s="2411"/>
      <c r="U79" s="2411"/>
      <c r="X79" s="2487"/>
      <c r="Y79" s="2487"/>
      <c r="Z79" s="2487"/>
    </row>
    <row r="80" spans="1:26" ht="13.5" thickBot="1">
      <c r="A80" s="2423" t="s">
        <v>1174</v>
      </c>
      <c r="B80" s="2499">
        <v>106</v>
      </c>
      <c r="C80" s="2499">
        <v>107</v>
      </c>
      <c r="D80" s="2499">
        <f t="shared" si="18"/>
        <v>107</v>
      </c>
      <c r="E80" s="2499">
        <v>105</v>
      </c>
      <c r="F80" s="2500">
        <v>102</v>
      </c>
      <c r="G80" s="3946">
        <v>2002</v>
      </c>
      <c r="H80" s="2444">
        <v>4</v>
      </c>
      <c r="I80" s="2495"/>
      <c r="J80" s="2495"/>
      <c r="K80" s="2495"/>
      <c r="L80" s="2495"/>
      <c r="N80" s="2496"/>
      <c r="O80" s="2495"/>
      <c r="P80" s="2495"/>
      <c r="Q80" s="2495"/>
      <c r="S80" s="2496"/>
      <c r="T80" s="2495"/>
      <c r="U80" s="2495"/>
      <c r="V80" s="2495"/>
      <c r="X80" s="2487"/>
      <c r="Y80" s="2487"/>
      <c r="Z80" s="2487"/>
    </row>
    <row r="81" spans="1:26">
      <c r="A81" s="2423" t="s">
        <v>1175</v>
      </c>
      <c r="B81" s="2497">
        <f t="shared" ref="B81:C83" si="54">B82+(B$80-B$84)/4</f>
        <v>105</v>
      </c>
      <c r="C81" s="2497">
        <f t="shared" si="54"/>
        <v>106</v>
      </c>
      <c r="D81" s="2497">
        <f t="shared" si="18"/>
        <v>106</v>
      </c>
      <c r="E81" s="2497">
        <f t="shared" ref="E81:F83" si="55">E82+(E$80-E$84)/4</f>
        <v>104.5</v>
      </c>
      <c r="F81" s="2497">
        <f t="shared" si="55"/>
        <v>101.5</v>
      </c>
      <c r="G81" s="3947">
        <v>2002</v>
      </c>
      <c r="H81" s="2449">
        <v>3</v>
      </c>
      <c r="I81" s="2495"/>
      <c r="J81" s="2495"/>
      <c r="K81" s="2495"/>
      <c r="L81" s="2495"/>
      <c r="X81" s="2487"/>
      <c r="Y81" s="2487"/>
      <c r="Z81" s="2487"/>
    </row>
    <row r="82" spans="1:26">
      <c r="A82" s="2423" t="s">
        <v>1176</v>
      </c>
      <c r="B82" s="2497">
        <f t="shared" si="54"/>
        <v>104</v>
      </c>
      <c r="C82" s="2497">
        <f t="shared" si="54"/>
        <v>105</v>
      </c>
      <c r="D82" s="2497">
        <f t="shared" si="18"/>
        <v>105</v>
      </c>
      <c r="E82" s="2497">
        <f t="shared" si="55"/>
        <v>104</v>
      </c>
      <c r="F82" s="2497">
        <f t="shared" si="55"/>
        <v>101</v>
      </c>
      <c r="G82" s="3947">
        <v>2002</v>
      </c>
      <c r="H82" s="2436">
        <v>2</v>
      </c>
      <c r="I82" s="2495"/>
      <c r="J82" s="2495"/>
      <c r="K82" s="2495"/>
      <c r="L82" s="2495"/>
      <c r="X82" s="2487"/>
      <c r="Y82" s="2487"/>
      <c r="Z82" s="2487"/>
    </row>
    <row r="83" spans="1:26" s="2460" customFormat="1" ht="13.5" thickBot="1">
      <c r="A83" s="2456" t="s">
        <v>1177</v>
      </c>
      <c r="B83" s="2463">
        <f t="shared" si="54"/>
        <v>103</v>
      </c>
      <c r="C83" s="2463">
        <f t="shared" si="54"/>
        <v>104</v>
      </c>
      <c r="D83" s="2463">
        <f t="shared" si="18"/>
        <v>104</v>
      </c>
      <c r="E83" s="2463">
        <f t="shared" si="55"/>
        <v>103.5</v>
      </c>
      <c r="F83" s="2463">
        <f t="shared" si="55"/>
        <v>100.5</v>
      </c>
      <c r="G83" s="3948">
        <v>2002</v>
      </c>
      <c r="H83" s="2501">
        <v>1</v>
      </c>
      <c r="I83" s="2502"/>
      <c r="J83" s="2502"/>
      <c r="K83" s="2502"/>
      <c r="L83" s="2502"/>
      <c r="N83" s="2503"/>
      <c r="S83" s="2503"/>
      <c r="X83" s="2504"/>
      <c r="Y83" s="2504"/>
      <c r="Z83" s="2504"/>
    </row>
    <row r="84" spans="1:26" ht="13.5" thickBot="1">
      <c r="B84" s="2505">
        <v>102</v>
      </c>
      <c r="C84" s="2506">
        <v>103</v>
      </c>
      <c r="D84" s="2506">
        <f t="shared" si="18"/>
        <v>103</v>
      </c>
      <c r="E84" s="2506">
        <v>103</v>
      </c>
      <c r="F84" s="2507">
        <v>100</v>
      </c>
      <c r="I84" s="2495"/>
      <c r="J84" s="2495"/>
      <c r="K84" s="2495"/>
      <c r="L84" s="2495"/>
      <c r="N84" s="2496"/>
      <c r="O84" s="2495"/>
      <c r="P84" s="2495"/>
      <c r="Q84" s="2495"/>
      <c r="S84" s="2496"/>
      <c r="T84" s="2495"/>
      <c r="U84" s="2495"/>
      <c r="V84" s="2495"/>
      <c r="X84" s="2441"/>
      <c r="Y84" s="2441"/>
      <c r="Z84" s="2441"/>
    </row>
    <row r="86" spans="1:26" s="2509" customFormat="1">
      <c r="A86" s="2508" t="s">
        <v>1178</v>
      </c>
      <c r="G86" s="2510"/>
      <c r="N86" s="2510"/>
      <c r="S86" s="2510"/>
    </row>
    <row r="87" spans="1:26" s="2509" customFormat="1">
      <c r="A87" s="2509" t="s">
        <v>1179</v>
      </c>
      <c r="G87" s="2510"/>
      <c r="N87" s="2510"/>
      <c r="S87" s="2510"/>
    </row>
    <row r="88" spans="1:26" s="2509" customFormat="1">
      <c r="A88" s="2509" t="s">
        <v>1180</v>
      </c>
      <c r="G88" s="2510"/>
      <c r="I88" s="2511"/>
      <c r="J88" s="2511"/>
      <c r="K88" s="2511"/>
      <c r="L88" s="2511"/>
      <c r="N88" s="2512"/>
      <c r="O88" s="2511"/>
      <c r="P88" s="2511"/>
      <c r="Q88" s="2511"/>
      <c r="S88" s="2512"/>
      <c r="T88" s="2511"/>
      <c r="U88" s="2511"/>
      <c r="V88" s="2511"/>
    </row>
    <row r="89" spans="1:26" s="2509" customFormat="1">
      <c r="A89" s="2509" t="s">
        <v>1181</v>
      </c>
      <c r="G89" s="2510"/>
      <c r="N89" s="2510"/>
      <c r="S89" s="2510"/>
    </row>
    <row r="96" spans="1:26" ht="13.5" thickBot="1"/>
    <row r="97" spans="7:22">
      <c r="G97" s="2410"/>
      <c r="S97" s="2513" t="s">
        <v>1182</v>
      </c>
      <c r="T97" s="2514" t="s">
        <v>1183</v>
      </c>
      <c r="U97" s="2514" t="s">
        <v>1184</v>
      </c>
      <c r="V97" s="2514" t="s">
        <v>1185</v>
      </c>
    </row>
    <row r="98" spans="7:22">
      <c r="G98" s="2410"/>
      <c r="N98" s="2440"/>
      <c r="O98" s="2441"/>
      <c r="P98" s="2441"/>
      <c r="Q98" s="2441"/>
      <c r="S98" s="2515">
        <v>2006</v>
      </c>
      <c r="T98" s="2516">
        <v>15.1</v>
      </c>
      <c r="U98" s="2516">
        <v>7.43</v>
      </c>
      <c r="V98" s="2516">
        <v>26.26</v>
      </c>
    </row>
    <row r="99" spans="7:22">
      <c r="G99" s="2410"/>
      <c r="N99" s="2440"/>
      <c r="O99" s="2441"/>
      <c r="P99" s="2441"/>
      <c r="Q99" s="2441"/>
      <c r="S99" s="2517">
        <v>2005</v>
      </c>
      <c r="T99" s="2518">
        <v>13.9</v>
      </c>
      <c r="U99" s="2518">
        <v>7.49</v>
      </c>
      <c r="V99" s="2518">
        <v>24.92</v>
      </c>
    </row>
    <row r="100" spans="7:22">
      <c r="G100" s="2410"/>
      <c r="N100" s="2440"/>
      <c r="O100" s="2441"/>
      <c r="P100" s="2441"/>
      <c r="Q100" s="2441"/>
      <c r="S100" s="2515">
        <v>2004</v>
      </c>
      <c r="T100" s="2516">
        <v>9.48</v>
      </c>
      <c r="U100" s="2516">
        <v>7.2</v>
      </c>
      <c r="V100" s="2516">
        <v>14.68</v>
      </c>
    </row>
    <row r="101" spans="7:22">
      <c r="G101" s="2410"/>
      <c r="N101" s="2440"/>
      <c r="O101" s="2441"/>
      <c r="P101" s="2441"/>
      <c r="Q101" s="2441"/>
      <c r="S101" s="2517">
        <v>2003</v>
      </c>
      <c r="T101" s="2518">
        <v>4.5</v>
      </c>
      <c r="U101" s="2518">
        <v>6.12</v>
      </c>
      <c r="V101" s="2518">
        <v>2.34</v>
      </c>
    </row>
    <row r="102" spans="7:22" ht="13.5" thickBot="1">
      <c r="G102" s="2410"/>
      <c r="N102" s="2440"/>
      <c r="O102" s="2441"/>
      <c r="P102" s="2441"/>
      <c r="Q102" s="2441"/>
      <c r="S102" s="2519">
        <v>2002</v>
      </c>
      <c r="T102" s="2520">
        <v>3.59</v>
      </c>
      <c r="U102" s="2520">
        <v>4.54</v>
      </c>
      <c r="V102" s="2520">
        <v>2.5499999999999998</v>
      </c>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row r="118" spans="7:19">
      <c r="G118" s="2410"/>
      <c r="N118" s="2440"/>
      <c r="O118" s="2441"/>
      <c r="P118" s="2441"/>
      <c r="Q118" s="2441"/>
      <c r="S118" s="2410"/>
    </row>
  </sheetData>
  <sheetProtection formatCells="0"/>
  <mergeCells count="23">
    <mergeCell ref="G68:G71"/>
    <mergeCell ref="G72:G75"/>
    <mergeCell ref="G76:G79"/>
    <mergeCell ref="G80:G83"/>
    <mergeCell ref="G44:G47"/>
    <mergeCell ref="G48:G51"/>
    <mergeCell ref="G52:G55"/>
    <mergeCell ref="G56:G59"/>
    <mergeCell ref="G60:G63"/>
    <mergeCell ref="G64:G67"/>
    <mergeCell ref="X1:AB1"/>
    <mergeCell ref="AD1:AH1"/>
    <mergeCell ref="G40:G43"/>
    <mergeCell ref="B1:F1"/>
    <mergeCell ref="G1:L1"/>
    <mergeCell ref="N1:Q1"/>
    <mergeCell ref="S1:V1"/>
    <mergeCell ref="G24:G27"/>
    <mergeCell ref="G28:G31"/>
    <mergeCell ref="G32:G35"/>
    <mergeCell ref="G36:G39"/>
    <mergeCell ref="G16:G19"/>
    <mergeCell ref="G20:G23"/>
  </mergeCells>
  <phoneticPr fontId="141"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514" t="str">
        <f>IF(项目基本情况!B9="房地产市场价值","估价结果一览表","结果表-2")</f>
        <v>结果表-2</v>
      </c>
      <c r="B1" s="3514"/>
      <c r="C1" s="3514"/>
      <c r="D1" s="3514"/>
      <c r="E1" s="3514"/>
      <c r="F1" s="3514"/>
      <c r="G1" s="3514"/>
      <c r="H1" s="3514"/>
      <c r="I1" s="3514"/>
    </row>
    <row r="2" spans="1:9" ht="30" customHeight="1" thickTop="1">
      <c r="A2" s="3515" t="s">
        <v>1606</v>
      </c>
      <c r="B2" s="3515" t="s">
        <v>1607</v>
      </c>
      <c r="C2" s="3515" t="s">
        <v>1608</v>
      </c>
      <c r="D2" s="3515" t="str">
        <f>结果表!D116</f>
        <v>出让国有建设用地使用权价值</v>
      </c>
      <c r="E2" s="3515"/>
      <c r="F2" s="3515" t="str">
        <f>结果表!F116</f>
        <v>在建建筑物价值</v>
      </c>
      <c r="G2" s="3515"/>
      <c r="H2" s="3515" t="str">
        <f>IF(项目基本情况!B9="房地产市场价值","房地产市场价值","房地产价值")</f>
        <v>房地产价值</v>
      </c>
      <c r="I2" s="3515"/>
    </row>
    <row r="3" spans="1:9" ht="15">
      <c r="A3" s="3516"/>
      <c r="B3" s="3516"/>
      <c r="C3" s="3516"/>
      <c r="D3" s="963" t="s">
        <v>1603</v>
      </c>
      <c r="E3" s="963" t="s">
        <v>1609</v>
      </c>
      <c r="F3" s="963" t="s">
        <v>1603</v>
      </c>
      <c r="G3" s="963" t="s">
        <v>1604</v>
      </c>
      <c r="H3" s="963" t="s">
        <v>1603</v>
      </c>
      <c r="I3" s="963" t="s">
        <v>1604</v>
      </c>
    </row>
    <row r="4" spans="1:9" ht="15">
      <c r="A4" s="1690" t="str">
        <f>项目基本情况!S2</f>
        <v>北京市房地产</v>
      </c>
      <c r="B4" s="963">
        <f>项目基本情况!C17</f>
        <v>47689.05</v>
      </c>
      <c r="C4" s="963">
        <f>项目基本情况!C18</f>
        <v>5933.24</v>
      </c>
      <c r="D4" s="963" t="e">
        <f ca="1">结果表!D118</f>
        <v>#REF!</v>
      </c>
      <c r="E4" s="963" t="e">
        <f ca="1">结果表!E118</f>
        <v>#REF!</v>
      </c>
      <c r="F4" s="963" t="e">
        <f ca="1">结果表!F118</f>
        <v>#REF!</v>
      </c>
      <c r="G4" s="963" t="e">
        <f ca="1">结果表!G118</f>
        <v>#REF!</v>
      </c>
      <c r="H4" s="963">
        <f ca="1">结果表!H118</f>
        <v>179559</v>
      </c>
      <c r="I4" s="963">
        <f ca="1">结果表!I118</f>
        <v>37652</v>
      </c>
    </row>
    <row r="5" spans="1:9" ht="30" customHeight="1">
      <c r="A5" s="3516" t="s">
        <v>1605</v>
      </c>
      <c r="B5" s="3516"/>
      <c r="C5" s="3516"/>
      <c r="D5" s="3517" t="e">
        <f ca="1">结果表!D119</f>
        <v>#REF!</v>
      </c>
      <c r="E5" s="3517"/>
      <c r="F5" s="3517" t="e">
        <f ca="1">结果表!F119</f>
        <v>#REF!</v>
      </c>
      <c r="G5" s="3517"/>
      <c r="H5" s="3517" t="str">
        <f ca="1">结果表!H119</f>
        <v>壹拾柒亿玖仟伍佰伍拾玖万元整</v>
      </c>
      <c r="I5" s="3517"/>
    </row>
    <row r="6" spans="1:9" ht="15.75">
      <c r="A6" s="3518" t="str">
        <f>结果表!A120</f>
        <v>估价师知悉的法定优先受偿款</v>
      </c>
      <c r="B6" s="3518"/>
      <c r="C6" s="3518"/>
      <c r="D6" s="3518">
        <f>结果表!D120</f>
        <v>0</v>
      </c>
      <c r="E6" s="3518"/>
      <c r="F6" s="3518"/>
      <c r="G6" s="3518"/>
      <c r="H6" s="3518"/>
      <c r="I6" s="3518"/>
    </row>
    <row r="7" spans="1:9" ht="15">
      <c r="A7" s="3516" t="s">
        <v>1605</v>
      </c>
      <c r="B7" s="3516"/>
      <c r="C7" s="3516"/>
      <c r="D7" s="3519" t="str">
        <f>结果表!D121</f>
        <v>零元整</v>
      </c>
      <c r="E7" s="3520"/>
      <c r="F7" s="3520"/>
      <c r="G7" s="3520"/>
      <c r="H7" s="3520"/>
      <c r="I7" s="3521"/>
    </row>
    <row r="8" spans="1:9" ht="15.75">
      <c r="A8" s="3518" t="str">
        <f>结果表!A122</f>
        <v>房地产抵押价值</v>
      </c>
      <c r="B8" s="3518"/>
      <c r="C8" s="3518"/>
      <c r="D8" s="3518">
        <f ca="1">结果表!D122</f>
        <v>179559</v>
      </c>
      <c r="E8" s="3518"/>
      <c r="F8" s="3518"/>
      <c r="G8" s="3518"/>
      <c r="H8" s="3518"/>
      <c r="I8" s="3518"/>
    </row>
    <row r="9" spans="1:9" ht="15">
      <c r="A9" s="3516" t="s">
        <v>1605</v>
      </c>
      <c r="B9" s="3516"/>
      <c r="C9" s="3516"/>
      <c r="D9" s="3517" t="str">
        <f ca="1">结果表!D123</f>
        <v>壹拾柒亿玖仟伍佰伍拾玖万元整</v>
      </c>
      <c r="E9" s="3517"/>
      <c r="F9" s="3517"/>
      <c r="G9" s="3517"/>
      <c r="H9" s="3517"/>
      <c r="I9" s="3517"/>
    </row>
    <row r="10" spans="1:9" ht="15.75">
      <c r="A10" s="3518" t="str">
        <f>结果表!A124</f>
        <v/>
      </c>
      <c r="B10" s="3518"/>
      <c r="C10" s="3518"/>
      <c r="D10" s="3518" t="str">
        <f>结果表!D124</f>
        <v>——</v>
      </c>
      <c r="E10" s="3518"/>
      <c r="F10" s="3518"/>
      <c r="G10" s="3518"/>
      <c r="H10" s="3518"/>
      <c r="I10" s="3518"/>
    </row>
    <row r="11" spans="1:9" ht="15">
      <c r="A11" s="3516" t="s">
        <v>1605</v>
      </c>
      <c r="B11" s="3516"/>
      <c r="C11" s="3516"/>
      <c r="D11" s="3517" t="e">
        <f>结果表!D125</f>
        <v>#VALUE!</v>
      </c>
      <c r="E11" s="3517"/>
      <c r="F11" s="3517"/>
      <c r="G11" s="3517"/>
      <c r="H11" s="3517"/>
      <c r="I11" s="3517"/>
    </row>
    <row r="12" spans="1:9" ht="15.75">
      <c r="A12" s="3518" t="str">
        <f>结果表!A126</f>
        <v/>
      </c>
      <c r="B12" s="3518"/>
      <c r="C12" s="3518"/>
      <c r="D12" s="3518" t="str">
        <f>结果表!D126</f>
        <v>——</v>
      </c>
      <c r="E12" s="3518"/>
      <c r="F12" s="3518"/>
      <c r="G12" s="3518"/>
      <c r="H12" s="3518"/>
      <c r="I12" s="3518"/>
    </row>
    <row r="13" spans="1:9" ht="15.75" thickBot="1">
      <c r="A13" s="3522" t="s">
        <v>1605</v>
      </c>
      <c r="B13" s="3522"/>
      <c r="C13" s="3522"/>
      <c r="D13" s="3523" t="e">
        <f>结果表!D127</f>
        <v>#VALUE!</v>
      </c>
      <c r="E13" s="3523"/>
      <c r="F13" s="3523"/>
      <c r="G13" s="3523"/>
      <c r="H13" s="3523"/>
      <c r="I13" s="3523"/>
    </row>
    <row r="14" spans="1:9" ht="15" thickTop="1">
      <c r="A14" s="3524" t="s">
        <v>1610</v>
      </c>
      <c r="B14" s="3524"/>
      <c r="C14" s="3524"/>
      <c r="D14" s="3524"/>
      <c r="E14" s="3524"/>
      <c r="F14" s="3524"/>
      <c r="G14" s="3524"/>
      <c r="H14" s="3524"/>
      <c r="I14" s="3524"/>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23">
    <tabColor rgb="FF92D050"/>
  </sheetPr>
  <dimension ref="A1:AS524"/>
  <sheetViews>
    <sheetView zoomScale="90" zoomScaleNormal="90" workbookViewId="0">
      <pane ySplit="24" topLeftCell="A27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2821</v>
      </c>
      <c r="C1" s="3958" t="s">
        <v>2822</v>
      </c>
      <c r="D1" s="3959"/>
      <c r="E1" s="3959"/>
      <c r="F1" s="3959"/>
      <c r="G1" s="3959"/>
      <c r="H1" s="3959"/>
      <c r="I1" s="3959"/>
      <c r="J1" s="3959"/>
      <c r="K1" s="3959"/>
      <c r="L1" s="3959"/>
      <c r="M1" s="3959"/>
      <c r="N1" s="3959"/>
      <c r="O1" s="3959"/>
      <c r="P1" s="3959"/>
      <c r="Q1" s="3959"/>
      <c r="R1" s="3959"/>
      <c r="S1" s="3960"/>
      <c r="T1" s="1114" t="s">
        <v>2823</v>
      </c>
    </row>
    <row r="2" spans="1:45" s="663" customFormat="1">
      <c r="A2" s="1115"/>
      <c r="B2" s="659" t="s">
        <v>2824</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R2" si="1">M3&amp;"(含)"&amp;"-"&amp;N3</f>
        <v>(含)-</v>
      </c>
      <c r="N2" s="661" t="str">
        <f t="shared" si="1"/>
        <v>(含)-</v>
      </c>
      <c r="O2" s="661" t="str">
        <f t="shared" si="1"/>
        <v>(含)-</v>
      </c>
      <c r="P2" s="661" t="str">
        <f t="shared" si="1"/>
        <v>(含)-</v>
      </c>
      <c r="Q2" s="661" t="str">
        <f t="shared" si="1"/>
        <v>(含)-</v>
      </c>
      <c r="R2" s="661" t="str">
        <f t="shared" si="1"/>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2825</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2">D6-$T5</f>
        <v>100</v>
      </c>
      <c r="F6" s="1484">
        <f t="shared" si="2"/>
        <v>100</v>
      </c>
      <c r="G6" s="1484">
        <f t="shared" si="2"/>
        <v>100</v>
      </c>
      <c r="H6" s="1484">
        <f t="shared" si="2"/>
        <v>100</v>
      </c>
      <c r="I6" s="1484">
        <f t="shared" si="2"/>
        <v>100</v>
      </c>
      <c r="J6" s="1484">
        <f t="shared" si="2"/>
        <v>100</v>
      </c>
      <c r="K6" s="1484">
        <f t="shared" si="2"/>
        <v>100</v>
      </c>
      <c r="L6" s="1484">
        <f t="shared" si="2"/>
        <v>100</v>
      </c>
      <c r="M6" s="1484">
        <f t="shared" si="2"/>
        <v>100</v>
      </c>
      <c r="N6" s="1484">
        <f t="shared" si="2"/>
        <v>100</v>
      </c>
      <c r="O6" s="1484">
        <f t="shared" si="2"/>
        <v>100</v>
      </c>
      <c r="P6" s="1484">
        <f t="shared" si="2"/>
        <v>100</v>
      </c>
      <c r="Q6" s="1484">
        <f t="shared" si="2"/>
        <v>100</v>
      </c>
      <c r="R6" s="1484">
        <f t="shared" si="2"/>
        <v>100</v>
      </c>
      <c r="S6" s="1484">
        <f t="shared" si="2"/>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2826</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3">D8-$T7</f>
        <v>100</v>
      </c>
      <c r="F8" s="1484">
        <f t="shared" si="3"/>
        <v>100</v>
      </c>
      <c r="G8" s="1484">
        <f t="shared" si="3"/>
        <v>100</v>
      </c>
      <c r="H8" s="1484">
        <f t="shared" si="3"/>
        <v>100</v>
      </c>
      <c r="I8" s="1484">
        <f t="shared" si="3"/>
        <v>100</v>
      </c>
      <c r="J8" s="1484">
        <f t="shared" si="3"/>
        <v>100</v>
      </c>
      <c r="K8" s="1484">
        <f t="shared" si="3"/>
        <v>100</v>
      </c>
      <c r="L8" s="1484">
        <f t="shared" si="3"/>
        <v>100</v>
      </c>
      <c r="M8" s="1484">
        <f t="shared" si="3"/>
        <v>100</v>
      </c>
      <c r="N8" s="1484">
        <f t="shared" si="3"/>
        <v>100</v>
      </c>
      <c r="O8" s="1484">
        <f t="shared" si="3"/>
        <v>100</v>
      </c>
      <c r="P8" s="1484">
        <f t="shared" si="3"/>
        <v>100</v>
      </c>
      <c r="Q8" s="1484">
        <f t="shared" si="3"/>
        <v>100</v>
      </c>
      <c r="R8" s="1484">
        <f t="shared" si="3"/>
        <v>100</v>
      </c>
      <c r="S8" s="1484">
        <f t="shared" si="3"/>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2827</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4">D10-$T9</f>
        <v>100</v>
      </c>
      <c r="F10" s="1494">
        <f t="shared" si="4"/>
        <v>100</v>
      </c>
      <c r="G10" s="1494">
        <f t="shared" si="4"/>
        <v>100</v>
      </c>
      <c r="H10" s="1494">
        <f t="shared" si="4"/>
        <v>100</v>
      </c>
      <c r="I10" s="1494">
        <f t="shared" si="4"/>
        <v>100</v>
      </c>
      <c r="J10" s="1494">
        <f t="shared" si="4"/>
        <v>100</v>
      </c>
      <c r="K10" s="1494">
        <f t="shared" si="4"/>
        <v>100</v>
      </c>
      <c r="L10" s="1494">
        <f t="shared" si="4"/>
        <v>100</v>
      </c>
      <c r="M10" s="1494">
        <f t="shared" si="4"/>
        <v>100</v>
      </c>
      <c r="N10" s="1494">
        <f t="shared" si="4"/>
        <v>100</v>
      </c>
      <c r="O10" s="1494">
        <f t="shared" si="4"/>
        <v>100</v>
      </c>
      <c r="P10" s="1494">
        <f t="shared" si="4"/>
        <v>100</v>
      </c>
      <c r="Q10" s="1494">
        <f t="shared" si="4"/>
        <v>100</v>
      </c>
      <c r="R10" s="1494">
        <f t="shared" si="4"/>
        <v>100</v>
      </c>
      <c r="S10" s="1494">
        <f t="shared" si="4"/>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2828</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5">D12-$T11</f>
        <v>100</v>
      </c>
      <c r="F12" s="1033">
        <f t="shared" si="5"/>
        <v>100</v>
      </c>
      <c r="G12" s="1033">
        <f t="shared" si="5"/>
        <v>100</v>
      </c>
      <c r="H12" s="1033">
        <f t="shared" si="5"/>
        <v>100</v>
      </c>
      <c r="I12" s="1033">
        <f t="shared" si="5"/>
        <v>100</v>
      </c>
      <c r="J12" s="1033">
        <f t="shared" si="5"/>
        <v>100</v>
      </c>
      <c r="K12" s="1033">
        <f t="shared" si="5"/>
        <v>100</v>
      </c>
      <c r="L12" s="1033">
        <f t="shared" si="5"/>
        <v>100</v>
      </c>
      <c r="M12" s="1033">
        <f t="shared" si="5"/>
        <v>100</v>
      </c>
      <c r="N12" s="1033">
        <f t="shared" si="5"/>
        <v>100</v>
      </c>
      <c r="O12" s="1033">
        <f t="shared" si="5"/>
        <v>100</v>
      </c>
      <c r="P12" s="1033">
        <f t="shared" si="5"/>
        <v>100</v>
      </c>
      <c r="Q12" s="1033">
        <f t="shared" si="5"/>
        <v>100</v>
      </c>
      <c r="R12" s="1033">
        <f>Q12-$T11</f>
        <v>100</v>
      </c>
      <c r="S12" s="1033">
        <f t="shared" si="5"/>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2829</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2830</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2831</v>
      </c>
      <c r="B17" s="2365" t="s">
        <v>2832</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2833</v>
      </c>
      <c r="E19" s="1524"/>
      <c r="F19" s="1524"/>
      <c r="G19" s="1524"/>
      <c r="H19" s="1190"/>
      <c r="I19" s="164"/>
      <c r="J19" s="164"/>
      <c r="K19" s="164"/>
      <c r="L19" s="164"/>
      <c r="M19" s="164"/>
      <c r="N19" s="164"/>
      <c r="O19" s="164"/>
      <c r="P19" s="164"/>
      <c r="Q19" s="164"/>
      <c r="R19" s="727"/>
      <c r="S19" s="134"/>
    </row>
    <row r="20" spans="1:45" ht="16.5" thickBot="1">
      <c r="A20" s="671" t="s">
        <v>2834</v>
      </c>
      <c r="B20" s="300" t="e">
        <f ca="1">IF(D20="——",S22,S22-F20)</f>
        <v>#REF!</v>
      </c>
      <c r="C20" s="164"/>
      <c r="D20" s="2367"/>
      <c r="E20" s="1525"/>
      <c r="F20" s="1114" t="e">
        <f ca="1">SUMIF(INDIRECT("'"&amp;H20&amp;"'"&amp;"!A:A"),"承租人权益价值",INDIRECT("'"&amp;H20&amp;"'"&amp;"!c:c"))</f>
        <v>#REF!</v>
      </c>
      <c r="G20" s="1114" t="s">
        <v>2835</v>
      </c>
      <c r="H20" s="2368"/>
      <c r="I20" s="164"/>
      <c r="J20" s="164"/>
      <c r="K20" s="164"/>
      <c r="L20" s="164"/>
      <c r="M20" s="164"/>
      <c r="N20" s="164"/>
      <c r="O20" s="164"/>
      <c r="P20" s="164"/>
      <c r="Q20" s="164"/>
      <c r="R20" s="727"/>
      <c r="S20" s="134"/>
    </row>
    <row r="21" spans="1:45" ht="15.75">
      <c r="A21" s="671" t="s">
        <v>2836</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2837</v>
      </c>
      <c r="B22" s="24">
        <f>SUM(B24:B10000)</f>
        <v>100</v>
      </c>
      <c r="C22" s="3955" t="s">
        <v>33</v>
      </c>
      <c r="D22" s="3956"/>
      <c r="E22" s="3956"/>
      <c r="F22" s="3956"/>
      <c r="G22" s="3956"/>
      <c r="H22" s="3956"/>
      <c r="I22" s="3956"/>
      <c r="J22" s="3956"/>
      <c r="K22" s="3956"/>
      <c r="L22" s="3956"/>
      <c r="M22" s="3956"/>
      <c r="N22" s="3956"/>
      <c r="O22" s="3956"/>
      <c r="P22" s="3956"/>
      <c r="Q22" s="3957"/>
      <c r="R22" s="672">
        <f>ROUND(S22*10000/B22,0)</f>
        <v>10000</v>
      </c>
      <c r="S22" s="24">
        <f>SUM(S24:S10000)</f>
        <v>100</v>
      </c>
    </row>
    <row r="23" spans="1:45" s="12" customFormat="1" ht="24">
      <c r="A23" s="11" t="s">
        <v>2838</v>
      </c>
      <c r="B23" s="11" t="s">
        <v>2839</v>
      </c>
      <c r="C23" s="11" t="s">
        <v>2840</v>
      </c>
      <c r="D23" s="11" t="str">
        <f>B5</f>
        <v>修正项2</v>
      </c>
      <c r="E23" s="11" t="s">
        <v>2840</v>
      </c>
      <c r="F23" s="11" t="str">
        <f>B7</f>
        <v>修正项3</v>
      </c>
      <c r="G23" s="11" t="s">
        <v>2840</v>
      </c>
      <c r="H23" s="11" t="str">
        <f>B9</f>
        <v>修正项4</v>
      </c>
      <c r="I23" s="11" t="s">
        <v>2840</v>
      </c>
      <c r="J23" s="11" t="str">
        <f>B11</f>
        <v>修正项5</v>
      </c>
      <c r="K23" s="11" t="s">
        <v>2840</v>
      </c>
      <c r="L23" s="11" t="str">
        <f>B13</f>
        <v>修正项6</v>
      </c>
      <c r="M23" s="11" t="s">
        <v>2840</v>
      </c>
      <c r="N23" s="11" t="str">
        <f>B15</f>
        <v>修正项7</v>
      </c>
      <c r="O23" s="11" t="s">
        <v>2840</v>
      </c>
      <c r="P23" s="11" t="str">
        <f>B17</f>
        <v>楼层</v>
      </c>
      <c r="Q23" s="11" t="s">
        <v>2840</v>
      </c>
      <c r="R23" s="673" t="s">
        <v>2841</v>
      </c>
      <c r="S23" s="11" t="s">
        <v>2842</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2843</v>
      </c>
      <c r="B24" s="674">
        <v>100</v>
      </c>
      <c r="C24" s="3039">
        <v>1</v>
      </c>
      <c r="D24" s="3040"/>
      <c r="E24" s="3039">
        <v>1</v>
      </c>
      <c r="F24" s="3040"/>
      <c r="G24" s="3039">
        <v>1</v>
      </c>
      <c r="H24" s="3040"/>
      <c r="I24" s="3039">
        <v>1</v>
      </c>
      <c r="J24" s="3040"/>
      <c r="K24" s="3039">
        <v>1</v>
      </c>
      <c r="L24" s="3040"/>
      <c r="M24" s="3039">
        <v>1</v>
      </c>
      <c r="N24" s="3040"/>
      <c r="O24" s="3039">
        <v>1</v>
      </c>
      <c r="P24" s="3040"/>
      <c r="Q24" s="3039">
        <v>1</v>
      </c>
      <c r="R24" s="677">
        <v>10000</v>
      </c>
      <c r="S24" s="675">
        <f t="shared" ref="S24:S54" si="6">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6"/>
        <v>0</v>
      </c>
    </row>
    <row r="26" spans="1:45">
      <c r="A26" s="155"/>
      <c r="B26" s="57"/>
      <c r="C26" s="24">
        <f t="shared" ref="C26:C89" si="7">IF(B26="",1,(LOOKUP(B26,$3:$3,$4:$4)-LOOKUP($B$24,$3:$3,$4:$4)+100)/100)</f>
        <v>1</v>
      </c>
      <c r="D26" s="676"/>
      <c r="E26" s="24">
        <f t="shared" ref="E26:E89" si="8">(SUMIF($5:$5,D26,$6:$6)-SUMIF($5:$5,$D$24,$6:$6)+100)/100</f>
        <v>1</v>
      </c>
      <c r="F26" s="676"/>
      <c r="G26" s="24">
        <f t="shared" ref="G26:G89" si="9">(SUMIF($7:$7,F26,$8:$8)-SUMIF($7:$7,$F$24,$8:$8)+100)/100</f>
        <v>1</v>
      </c>
      <c r="H26" s="676"/>
      <c r="I26" s="24">
        <f t="shared" ref="I26:I89" si="10">(SUMIF($9:$9,H26,$10:$10)-SUMIF($9:$9,$H$24,$10:$10)+100)/100</f>
        <v>1</v>
      </c>
      <c r="J26" s="676"/>
      <c r="K26" s="24">
        <f t="shared" ref="K26:K89" si="11">(SUMIF($11:$11,J26,$12:$12)-SUMIF($11:$11,$J$24,$12:$12)+100)/100</f>
        <v>1</v>
      </c>
      <c r="L26" s="676"/>
      <c r="M26" s="24">
        <f t="shared" ref="M26:M89" si="12">(SUMIF($13:$13,L26,$14:$14)-SUMIF($13:$13,$L$24,$14:$14)+100)/100</f>
        <v>1</v>
      </c>
      <c r="N26" s="676"/>
      <c r="O26" s="24">
        <f t="shared" ref="O26:O89" si="13">(SUMIF($15:$15,N26,$16:$16)-SUMIF($15:$15,$N$24,$16:$16)+100)/100</f>
        <v>1</v>
      </c>
      <c r="P26" s="676"/>
      <c r="Q26" s="24">
        <f t="shared" ref="Q26:Q89" si="14">(SUMIF($17:$17,P26,$18:$18)-SUMIF($17:$17,$P$24,$18:$18)+100)/100</f>
        <v>1</v>
      </c>
      <c r="R26" s="672">
        <f t="shared" ref="R26:R89" si="15">IF(B26="",0,ROUND($R$24*C26*E26*G26*I26*K26*M26*O26*Q26,0))</f>
        <v>0</v>
      </c>
      <c r="S26" s="322">
        <f t="shared" si="6"/>
        <v>0</v>
      </c>
    </row>
    <row r="27" spans="1:45">
      <c r="A27" s="155"/>
      <c r="B27" s="57"/>
      <c r="C27" s="24">
        <f t="shared" si="7"/>
        <v>1</v>
      </c>
      <c r="D27" s="676"/>
      <c r="E27" s="24">
        <f t="shared" si="8"/>
        <v>1</v>
      </c>
      <c r="F27" s="676"/>
      <c r="G27" s="24">
        <f t="shared" si="9"/>
        <v>1</v>
      </c>
      <c r="H27" s="676"/>
      <c r="I27" s="24">
        <f t="shared" si="10"/>
        <v>1</v>
      </c>
      <c r="J27" s="676"/>
      <c r="K27" s="24">
        <f t="shared" si="11"/>
        <v>1</v>
      </c>
      <c r="L27" s="676"/>
      <c r="M27" s="24">
        <f t="shared" si="12"/>
        <v>1</v>
      </c>
      <c r="N27" s="676"/>
      <c r="O27" s="24">
        <f t="shared" si="13"/>
        <v>1</v>
      </c>
      <c r="P27" s="676"/>
      <c r="Q27" s="24">
        <f t="shared" si="14"/>
        <v>1</v>
      </c>
      <c r="R27" s="672">
        <f t="shared" si="15"/>
        <v>0</v>
      </c>
      <c r="S27" s="322">
        <f t="shared" si="6"/>
        <v>0</v>
      </c>
    </row>
    <row r="28" spans="1:45">
      <c r="A28" s="155"/>
      <c r="B28" s="57"/>
      <c r="C28" s="24">
        <f t="shared" si="7"/>
        <v>1</v>
      </c>
      <c r="D28" s="676"/>
      <c r="E28" s="24">
        <f t="shared" si="8"/>
        <v>1</v>
      </c>
      <c r="F28" s="676"/>
      <c r="G28" s="24">
        <f t="shared" si="9"/>
        <v>1</v>
      </c>
      <c r="H28" s="676"/>
      <c r="I28" s="24">
        <f t="shared" si="10"/>
        <v>1</v>
      </c>
      <c r="J28" s="676"/>
      <c r="K28" s="24">
        <f t="shared" si="11"/>
        <v>1</v>
      </c>
      <c r="L28" s="676"/>
      <c r="M28" s="24">
        <f t="shared" si="12"/>
        <v>1</v>
      </c>
      <c r="N28" s="676"/>
      <c r="O28" s="24">
        <f t="shared" si="13"/>
        <v>1</v>
      </c>
      <c r="P28" s="676"/>
      <c r="Q28" s="24">
        <f t="shared" si="14"/>
        <v>1</v>
      </c>
      <c r="R28" s="672">
        <f t="shared" si="15"/>
        <v>0</v>
      </c>
      <c r="S28" s="322">
        <f t="shared" si="6"/>
        <v>0</v>
      </c>
    </row>
    <row r="29" spans="1:45">
      <c r="A29" s="155"/>
      <c r="B29" s="57"/>
      <c r="C29" s="24">
        <f t="shared" si="7"/>
        <v>1</v>
      </c>
      <c r="D29" s="676"/>
      <c r="E29" s="24">
        <f t="shared" si="8"/>
        <v>1</v>
      </c>
      <c r="F29" s="676"/>
      <c r="G29" s="24">
        <f t="shared" si="9"/>
        <v>1</v>
      </c>
      <c r="H29" s="676"/>
      <c r="I29" s="24">
        <f t="shared" si="10"/>
        <v>1</v>
      </c>
      <c r="J29" s="676"/>
      <c r="K29" s="24">
        <f t="shared" si="11"/>
        <v>1</v>
      </c>
      <c r="L29" s="676"/>
      <c r="M29" s="24">
        <f t="shared" si="12"/>
        <v>1</v>
      </c>
      <c r="N29" s="676"/>
      <c r="O29" s="24">
        <f t="shared" si="13"/>
        <v>1</v>
      </c>
      <c r="P29" s="676"/>
      <c r="Q29" s="24">
        <f t="shared" si="14"/>
        <v>1</v>
      </c>
      <c r="R29" s="672">
        <f t="shared" si="15"/>
        <v>0</v>
      </c>
      <c r="S29" s="322">
        <f t="shared" si="6"/>
        <v>0</v>
      </c>
    </row>
    <row r="30" spans="1:45">
      <c r="A30" s="155"/>
      <c r="B30" s="57"/>
      <c r="C30" s="24">
        <f t="shared" si="7"/>
        <v>1</v>
      </c>
      <c r="D30" s="676"/>
      <c r="E30" s="24">
        <f t="shared" si="8"/>
        <v>1</v>
      </c>
      <c r="F30" s="676"/>
      <c r="G30" s="24">
        <f t="shared" si="9"/>
        <v>1</v>
      </c>
      <c r="H30" s="676"/>
      <c r="I30" s="24">
        <f t="shared" si="10"/>
        <v>1</v>
      </c>
      <c r="J30" s="676"/>
      <c r="K30" s="24">
        <f t="shared" si="11"/>
        <v>1</v>
      </c>
      <c r="L30" s="676"/>
      <c r="M30" s="24">
        <f t="shared" si="12"/>
        <v>1</v>
      </c>
      <c r="N30" s="676"/>
      <c r="O30" s="24">
        <f t="shared" si="13"/>
        <v>1</v>
      </c>
      <c r="P30" s="676"/>
      <c r="Q30" s="24">
        <f t="shared" si="14"/>
        <v>1</v>
      </c>
      <c r="R30" s="672">
        <f t="shared" si="15"/>
        <v>0</v>
      </c>
      <c r="S30" s="322">
        <f t="shared" si="6"/>
        <v>0</v>
      </c>
    </row>
    <row r="31" spans="1:45">
      <c r="A31" s="155"/>
      <c r="B31" s="57"/>
      <c r="C31" s="24">
        <f t="shared" si="7"/>
        <v>1</v>
      </c>
      <c r="D31" s="676"/>
      <c r="E31" s="24">
        <f t="shared" si="8"/>
        <v>1</v>
      </c>
      <c r="F31" s="676"/>
      <c r="G31" s="24">
        <f t="shared" si="9"/>
        <v>1</v>
      </c>
      <c r="H31" s="676"/>
      <c r="I31" s="24">
        <f t="shared" si="10"/>
        <v>1</v>
      </c>
      <c r="J31" s="676"/>
      <c r="K31" s="24">
        <f t="shared" si="11"/>
        <v>1</v>
      </c>
      <c r="L31" s="676"/>
      <c r="M31" s="24">
        <f t="shared" si="12"/>
        <v>1</v>
      </c>
      <c r="N31" s="676"/>
      <c r="O31" s="24">
        <f t="shared" si="13"/>
        <v>1</v>
      </c>
      <c r="P31" s="676"/>
      <c r="Q31" s="24">
        <f t="shared" si="14"/>
        <v>1</v>
      </c>
      <c r="R31" s="672">
        <f t="shared" si="15"/>
        <v>0</v>
      </c>
      <c r="S31" s="322">
        <f t="shared" si="6"/>
        <v>0</v>
      </c>
    </row>
    <row r="32" spans="1:45">
      <c r="A32" s="155"/>
      <c r="B32" s="57"/>
      <c r="C32" s="24">
        <f t="shared" si="7"/>
        <v>1</v>
      </c>
      <c r="D32" s="676"/>
      <c r="E32" s="24">
        <f t="shared" si="8"/>
        <v>1</v>
      </c>
      <c r="F32" s="676"/>
      <c r="G32" s="24">
        <f t="shared" si="9"/>
        <v>1</v>
      </c>
      <c r="H32" s="676"/>
      <c r="I32" s="24">
        <f t="shared" si="10"/>
        <v>1</v>
      </c>
      <c r="J32" s="676"/>
      <c r="K32" s="24">
        <f t="shared" si="11"/>
        <v>1</v>
      </c>
      <c r="L32" s="676"/>
      <c r="M32" s="24">
        <f t="shared" si="12"/>
        <v>1</v>
      </c>
      <c r="N32" s="676"/>
      <c r="O32" s="24">
        <f t="shared" si="13"/>
        <v>1</v>
      </c>
      <c r="P32" s="676"/>
      <c r="Q32" s="24">
        <f t="shared" si="14"/>
        <v>1</v>
      </c>
      <c r="R32" s="672">
        <f t="shared" si="15"/>
        <v>0</v>
      </c>
      <c r="S32" s="322">
        <f t="shared" si="6"/>
        <v>0</v>
      </c>
    </row>
    <row r="33" spans="1:19">
      <c r="A33" s="155"/>
      <c r="B33" s="57"/>
      <c r="C33" s="24">
        <f t="shared" si="7"/>
        <v>1</v>
      </c>
      <c r="D33" s="676"/>
      <c r="E33" s="24">
        <f t="shared" si="8"/>
        <v>1</v>
      </c>
      <c r="F33" s="676"/>
      <c r="G33" s="24">
        <f t="shared" si="9"/>
        <v>1</v>
      </c>
      <c r="H33" s="676"/>
      <c r="I33" s="24">
        <f t="shared" si="10"/>
        <v>1</v>
      </c>
      <c r="J33" s="676"/>
      <c r="K33" s="24">
        <f t="shared" si="11"/>
        <v>1</v>
      </c>
      <c r="L33" s="676"/>
      <c r="M33" s="24">
        <f t="shared" si="12"/>
        <v>1</v>
      </c>
      <c r="N33" s="676"/>
      <c r="O33" s="24">
        <f t="shared" si="13"/>
        <v>1</v>
      </c>
      <c r="P33" s="676"/>
      <c r="Q33" s="24">
        <f t="shared" si="14"/>
        <v>1</v>
      </c>
      <c r="R33" s="672">
        <f t="shared" si="15"/>
        <v>0</v>
      </c>
      <c r="S33" s="322">
        <f t="shared" si="6"/>
        <v>0</v>
      </c>
    </row>
    <row r="34" spans="1:19">
      <c r="A34" s="155"/>
      <c r="B34" s="57"/>
      <c r="C34" s="24">
        <f t="shared" si="7"/>
        <v>1</v>
      </c>
      <c r="D34" s="676"/>
      <c r="E34" s="24">
        <f t="shared" si="8"/>
        <v>1</v>
      </c>
      <c r="F34" s="676"/>
      <c r="G34" s="24">
        <f t="shared" si="9"/>
        <v>1</v>
      </c>
      <c r="H34" s="676"/>
      <c r="I34" s="24">
        <f t="shared" si="10"/>
        <v>1</v>
      </c>
      <c r="J34" s="676"/>
      <c r="K34" s="24">
        <f t="shared" si="11"/>
        <v>1</v>
      </c>
      <c r="L34" s="676"/>
      <c r="M34" s="24">
        <f t="shared" si="12"/>
        <v>1</v>
      </c>
      <c r="N34" s="676"/>
      <c r="O34" s="24">
        <f t="shared" si="13"/>
        <v>1</v>
      </c>
      <c r="P34" s="676"/>
      <c r="Q34" s="24">
        <f t="shared" si="14"/>
        <v>1</v>
      </c>
      <c r="R34" s="672">
        <f t="shared" si="15"/>
        <v>0</v>
      </c>
      <c r="S34" s="322">
        <f t="shared" si="6"/>
        <v>0</v>
      </c>
    </row>
    <row r="35" spans="1:19">
      <c r="A35" s="155"/>
      <c r="B35" s="57"/>
      <c r="C35" s="24">
        <f t="shared" si="7"/>
        <v>1</v>
      </c>
      <c r="D35" s="676"/>
      <c r="E35" s="24">
        <f t="shared" si="8"/>
        <v>1</v>
      </c>
      <c r="F35" s="676"/>
      <c r="G35" s="24">
        <f t="shared" si="9"/>
        <v>1</v>
      </c>
      <c r="H35" s="676"/>
      <c r="I35" s="24">
        <f t="shared" si="10"/>
        <v>1</v>
      </c>
      <c r="J35" s="676"/>
      <c r="K35" s="24">
        <f t="shared" si="11"/>
        <v>1</v>
      </c>
      <c r="L35" s="676"/>
      <c r="M35" s="24">
        <f t="shared" si="12"/>
        <v>1</v>
      </c>
      <c r="N35" s="676"/>
      <c r="O35" s="24">
        <f t="shared" si="13"/>
        <v>1</v>
      </c>
      <c r="P35" s="676"/>
      <c r="Q35" s="24">
        <f t="shared" si="14"/>
        <v>1</v>
      </c>
      <c r="R35" s="672">
        <f t="shared" si="15"/>
        <v>0</v>
      </c>
      <c r="S35" s="322">
        <f t="shared" si="6"/>
        <v>0</v>
      </c>
    </row>
    <row r="36" spans="1:19">
      <c r="A36" s="155"/>
      <c r="B36" s="57"/>
      <c r="C36" s="24">
        <f t="shared" si="7"/>
        <v>1</v>
      </c>
      <c r="D36" s="676"/>
      <c r="E36" s="24">
        <f t="shared" si="8"/>
        <v>1</v>
      </c>
      <c r="F36" s="676"/>
      <c r="G36" s="24">
        <f t="shared" si="9"/>
        <v>1</v>
      </c>
      <c r="H36" s="676"/>
      <c r="I36" s="24">
        <f t="shared" si="10"/>
        <v>1</v>
      </c>
      <c r="J36" s="676"/>
      <c r="K36" s="24">
        <f t="shared" si="11"/>
        <v>1</v>
      </c>
      <c r="L36" s="676"/>
      <c r="M36" s="24">
        <f t="shared" si="12"/>
        <v>1</v>
      </c>
      <c r="N36" s="676"/>
      <c r="O36" s="24">
        <f t="shared" si="13"/>
        <v>1</v>
      </c>
      <c r="P36" s="676"/>
      <c r="Q36" s="24">
        <f t="shared" si="14"/>
        <v>1</v>
      </c>
      <c r="R36" s="672">
        <f t="shared" si="15"/>
        <v>0</v>
      </c>
      <c r="S36" s="322">
        <f t="shared" si="6"/>
        <v>0</v>
      </c>
    </row>
    <row r="37" spans="1:19">
      <c r="A37" s="155"/>
      <c r="B37" s="57"/>
      <c r="C37" s="24">
        <f t="shared" si="7"/>
        <v>1</v>
      </c>
      <c r="D37" s="676"/>
      <c r="E37" s="24">
        <f t="shared" si="8"/>
        <v>1</v>
      </c>
      <c r="F37" s="676"/>
      <c r="G37" s="24">
        <f t="shared" si="9"/>
        <v>1</v>
      </c>
      <c r="H37" s="676"/>
      <c r="I37" s="24">
        <f t="shared" si="10"/>
        <v>1</v>
      </c>
      <c r="J37" s="676"/>
      <c r="K37" s="24">
        <f t="shared" si="11"/>
        <v>1</v>
      </c>
      <c r="L37" s="676"/>
      <c r="M37" s="24">
        <f t="shared" si="12"/>
        <v>1</v>
      </c>
      <c r="N37" s="676"/>
      <c r="O37" s="24">
        <f t="shared" si="13"/>
        <v>1</v>
      </c>
      <c r="P37" s="676"/>
      <c r="Q37" s="24">
        <f t="shared" si="14"/>
        <v>1</v>
      </c>
      <c r="R37" s="672">
        <f t="shared" si="15"/>
        <v>0</v>
      </c>
      <c r="S37" s="322">
        <f t="shared" si="6"/>
        <v>0</v>
      </c>
    </row>
    <row r="38" spans="1:19">
      <c r="A38" s="155"/>
      <c r="B38" s="57"/>
      <c r="C38" s="24">
        <f t="shared" si="7"/>
        <v>1</v>
      </c>
      <c r="D38" s="676"/>
      <c r="E38" s="24">
        <f t="shared" si="8"/>
        <v>1</v>
      </c>
      <c r="F38" s="676"/>
      <c r="G38" s="24">
        <f t="shared" si="9"/>
        <v>1</v>
      </c>
      <c r="H38" s="676"/>
      <c r="I38" s="24">
        <f t="shared" si="10"/>
        <v>1</v>
      </c>
      <c r="J38" s="676"/>
      <c r="K38" s="24">
        <f t="shared" si="11"/>
        <v>1</v>
      </c>
      <c r="L38" s="676"/>
      <c r="M38" s="24">
        <f t="shared" si="12"/>
        <v>1</v>
      </c>
      <c r="N38" s="676"/>
      <c r="O38" s="24">
        <f t="shared" si="13"/>
        <v>1</v>
      </c>
      <c r="P38" s="676"/>
      <c r="Q38" s="24">
        <f t="shared" si="14"/>
        <v>1</v>
      </c>
      <c r="R38" s="672">
        <f t="shared" si="15"/>
        <v>0</v>
      </c>
      <c r="S38" s="322">
        <f t="shared" si="6"/>
        <v>0</v>
      </c>
    </row>
    <row r="39" spans="1:19">
      <c r="A39" s="155"/>
      <c r="B39" s="57"/>
      <c r="C39" s="24">
        <f t="shared" si="7"/>
        <v>1</v>
      </c>
      <c r="D39" s="676"/>
      <c r="E39" s="24">
        <f t="shared" si="8"/>
        <v>1</v>
      </c>
      <c r="F39" s="676"/>
      <c r="G39" s="24">
        <f t="shared" si="9"/>
        <v>1</v>
      </c>
      <c r="H39" s="676"/>
      <c r="I39" s="24">
        <f t="shared" si="10"/>
        <v>1</v>
      </c>
      <c r="J39" s="676"/>
      <c r="K39" s="24">
        <f t="shared" si="11"/>
        <v>1</v>
      </c>
      <c r="L39" s="676"/>
      <c r="M39" s="24">
        <f t="shared" si="12"/>
        <v>1</v>
      </c>
      <c r="N39" s="676"/>
      <c r="O39" s="24">
        <f t="shared" si="13"/>
        <v>1</v>
      </c>
      <c r="P39" s="676"/>
      <c r="Q39" s="24">
        <f t="shared" si="14"/>
        <v>1</v>
      </c>
      <c r="R39" s="672">
        <f t="shared" si="15"/>
        <v>0</v>
      </c>
      <c r="S39" s="322">
        <f t="shared" si="6"/>
        <v>0</v>
      </c>
    </row>
    <row r="40" spans="1:19">
      <c r="A40" s="155"/>
      <c r="B40" s="57"/>
      <c r="C40" s="24">
        <f t="shared" si="7"/>
        <v>1</v>
      </c>
      <c r="D40" s="676"/>
      <c r="E40" s="24">
        <f t="shared" si="8"/>
        <v>1</v>
      </c>
      <c r="F40" s="676"/>
      <c r="G40" s="24">
        <f t="shared" si="9"/>
        <v>1</v>
      </c>
      <c r="H40" s="676"/>
      <c r="I40" s="24">
        <f t="shared" si="10"/>
        <v>1</v>
      </c>
      <c r="J40" s="676"/>
      <c r="K40" s="24">
        <f t="shared" si="11"/>
        <v>1</v>
      </c>
      <c r="L40" s="676"/>
      <c r="M40" s="24">
        <f t="shared" si="12"/>
        <v>1</v>
      </c>
      <c r="N40" s="676"/>
      <c r="O40" s="24">
        <f t="shared" si="13"/>
        <v>1</v>
      </c>
      <c r="P40" s="676"/>
      <c r="Q40" s="24">
        <f t="shared" si="14"/>
        <v>1</v>
      </c>
      <c r="R40" s="672">
        <f t="shared" si="15"/>
        <v>0</v>
      </c>
      <c r="S40" s="322">
        <f t="shared" si="6"/>
        <v>0</v>
      </c>
    </row>
    <row r="41" spans="1:19">
      <c r="A41" s="155"/>
      <c r="B41" s="57"/>
      <c r="C41" s="24">
        <f t="shared" si="7"/>
        <v>1</v>
      </c>
      <c r="D41" s="676"/>
      <c r="E41" s="24">
        <f t="shared" si="8"/>
        <v>1</v>
      </c>
      <c r="F41" s="676"/>
      <c r="G41" s="24">
        <f t="shared" si="9"/>
        <v>1</v>
      </c>
      <c r="H41" s="676"/>
      <c r="I41" s="24">
        <f t="shared" si="10"/>
        <v>1</v>
      </c>
      <c r="J41" s="676"/>
      <c r="K41" s="24">
        <f t="shared" si="11"/>
        <v>1</v>
      </c>
      <c r="L41" s="676"/>
      <c r="M41" s="24">
        <f t="shared" si="12"/>
        <v>1</v>
      </c>
      <c r="N41" s="676"/>
      <c r="O41" s="24">
        <f t="shared" si="13"/>
        <v>1</v>
      </c>
      <c r="P41" s="676"/>
      <c r="Q41" s="24">
        <f t="shared" si="14"/>
        <v>1</v>
      </c>
      <c r="R41" s="672">
        <f t="shared" si="15"/>
        <v>0</v>
      </c>
      <c r="S41" s="322">
        <f t="shared" si="6"/>
        <v>0</v>
      </c>
    </row>
    <row r="42" spans="1:19">
      <c r="A42" s="155"/>
      <c r="B42" s="57"/>
      <c r="C42" s="24">
        <f t="shared" si="7"/>
        <v>1</v>
      </c>
      <c r="D42" s="676"/>
      <c r="E42" s="24">
        <f t="shared" si="8"/>
        <v>1</v>
      </c>
      <c r="F42" s="676"/>
      <c r="G42" s="24">
        <f t="shared" si="9"/>
        <v>1</v>
      </c>
      <c r="H42" s="676"/>
      <c r="I42" s="24">
        <f t="shared" si="10"/>
        <v>1</v>
      </c>
      <c r="J42" s="676"/>
      <c r="K42" s="24">
        <f t="shared" si="11"/>
        <v>1</v>
      </c>
      <c r="L42" s="676"/>
      <c r="M42" s="24">
        <f t="shared" si="12"/>
        <v>1</v>
      </c>
      <c r="N42" s="676"/>
      <c r="O42" s="24">
        <f t="shared" si="13"/>
        <v>1</v>
      </c>
      <c r="P42" s="676"/>
      <c r="Q42" s="24">
        <f t="shared" si="14"/>
        <v>1</v>
      </c>
      <c r="R42" s="672">
        <f t="shared" si="15"/>
        <v>0</v>
      </c>
      <c r="S42" s="322">
        <f t="shared" si="6"/>
        <v>0</v>
      </c>
    </row>
    <row r="43" spans="1:19">
      <c r="A43" s="155"/>
      <c r="B43" s="57"/>
      <c r="C43" s="24">
        <f t="shared" si="7"/>
        <v>1</v>
      </c>
      <c r="D43" s="676"/>
      <c r="E43" s="24">
        <f t="shared" si="8"/>
        <v>1</v>
      </c>
      <c r="F43" s="676"/>
      <c r="G43" s="24">
        <f t="shared" si="9"/>
        <v>1</v>
      </c>
      <c r="H43" s="676"/>
      <c r="I43" s="24">
        <f t="shared" si="10"/>
        <v>1</v>
      </c>
      <c r="J43" s="676"/>
      <c r="K43" s="24">
        <f t="shared" si="11"/>
        <v>1</v>
      </c>
      <c r="L43" s="676"/>
      <c r="M43" s="24">
        <f t="shared" si="12"/>
        <v>1</v>
      </c>
      <c r="N43" s="676"/>
      <c r="O43" s="24">
        <f t="shared" si="13"/>
        <v>1</v>
      </c>
      <c r="P43" s="676"/>
      <c r="Q43" s="24">
        <f t="shared" si="14"/>
        <v>1</v>
      </c>
      <c r="R43" s="672">
        <f t="shared" si="15"/>
        <v>0</v>
      </c>
      <c r="S43" s="322">
        <f t="shared" si="6"/>
        <v>0</v>
      </c>
    </row>
    <row r="44" spans="1:19">
      <c r="A44" s="155"/>
      <c r="B44" s="57"/>
      <c r="C44" s="24">
        <f t="shared" si="7"/>
        <v>1</v>
      </c>
      <c r="D44" s="676"/>
      <c r="E44" s="24">
        <f t="shared" si="8"/>
        <v>1</v>
      </c>
      <c r="F44" s="676"/>
      <c r="G44" s="24">
        <f t="shared" si="9"/>
        <v>1</v>
      </c>
      <c r="H44" s="676"/>
      <c r="I44" s="24">
        <f t="shared" si="10"/>
        <v>1</v>
      </c>
      <c r="J44" s="676"/>
      <c r="K44" s="24">
        <f t="shared" si="11"/>
        <v>1</v>
      </c>
      <c r="L44" s="676"/>
      <c r="M44" s="24">
        <f t="shared" si="12"/>
        <v>1</v>
      </c>
      <c r="N44" s="676"/>
      <c r="O44" s="24">
        <f t="shared" si="13"/>
        <v>1</v>
      </c>
      <c r="P44" s="676"/>
      <c r="Q44" s="24">
        <f t="shared" si="14"/>
        <v>1</v>
      </c>
      <c r="R44" s="672">
        <f t="shared" si="15"/>
        <v>0</v>
      </c>
      <c r="S44" s="322">
        <f t="shared" si="6"/>
        <v>0</v>
      </c>
    </row>
    <row r="45" spans="1:19">
      <c r="A45" s="155"/>
      <c r="B45" s="57"/>
      <c r="C45" s="24">
        <f t="shared" si="7"/>
        <v>1</v>
      </c>
      <c r="D45" s="676"/>
      <c r="E45" s="24">
        <f t="shared" si="8"/>
        <v>1</v>
      </c>
      <c r="F45" s="676"/>
      <c r="G45" s="24">
        <f t="shared" si="9"/>
        <v>1</v>
      </c>
      <c r="H45" s="676"/>
      <c r="I45" s="24">
        <f t="shared" si="10"/>
        <v>1</v>
      </c>
      <c r="J45" s="676"/>
      <c r="K45" s="24">
        <f t="shared" si="11"/>
        <v>1</v>
      </c>
      <c r="L45" s="676"/>
      <c r="M45" s="24">
        <f t="shared" si="12"/>
        <v>1</v>
      </c>
      <c r="N45" s="676"/>
      <c r="O45" s="24">
        <f t="shared" si="13"/>
        <v>1</v>
      </c>
      <c r="P45" s="676"/>
      <c r="Q45" s="24">
        <f t="shared" si="14"/>
        <v>1</v>
      </c>
      <c r="R45" s="672">
        <f t="shared" si="15"/>
        <v>0</v>
      </c>
      <c r="S45" s="322">
        <f t="shared" si="6"/>
        <v>0</v>
      </c>
    </row>
    <row r="46" spans="1:19">
      <c r="A46" s="155"/>
      <c r="B46" s="57"/>
      <c r="C46" s="24">
        <f t="shared" si="7"/>
        <v>1</v>
      </c>
      <c r="D46" s="676"/>
      <c r="E46" s="24">
        <f t="shared" si="8"/>
        <v>1</v>
      </c>
      <c r="F46" s="676"/>
      <c r="G46" s="24">
        <f t="shared" si="9"/>
        <v>1</v>
      </c>
      <c r="H46" s="676"/>
      <c r="I46" s="24">
        <f t="shared" si="10"/>
        <v>1</v>
      </c>
      <c r="J46" s="676"/>
      <c r="K46" s="24">
        <f t="shared" si="11"/>
        <v>1</v>
      </c>
      <c r="L46" s="676"/>
      <c r="M46" s="24">
        <f t="shared" si="12"/>
        <v>1</v>
      </c>
      <c r="N46" s="676"/>
      <c r="O46" s="24">
        <f t="shared" si="13"/>
        <v>1</v>
      </c>
      <c r="P46" s="676"/>
      <c r="Q46" s="24">
        <f t="shared" si="14"/>
        <v>1</v>
      </c>
      <c r="R46" s="672">
        <f t="shared" si="15"/>
        <v>0</v>
      </c>
      <c r="S46" s="322">
        <f t="shared" si="6"/>
        <v>0</v>
      </c>
    </row>
    <row r="47" spans="1:19">
      <c r="A47" s="155"/>
      <c r="B47" s="57"/>
      <c r="C47" s="24">
        <f t="shared" si="7"/>
        <v>1</v>
      </c>
      <c r="D47" s="676"/>
      <c r="E47" s="24">
        <f t="shared" si="8"/>
        <v>1</v>
      </c>
      <c r="F47" s="676"/>
      <c r="G47" s="24">
        <f t="shared" si="9"/>
        <v>1</v>
      </c>
      <c r="H47" s="676"/>
      <c r="I47" s="24">
        <f t="shared" si="10"/>
        <v>1</v>
      </c>
      <c r="J47" s="676"/>
      <c r="K47" s="24">
        <f t="shared" si="11"/>
        <v>1</v>
      </c>
      <c r="L47" s="676"/>
      <c r="M47" s="24">
        <f t="shared" si="12"/>
        <v>1</v>
      </c>
      <c r="N47" s="676"/>
      <c r="O47" s="24">
        <f t="shared" si="13"/>
        <v>1</v>
      </c>
      <c r="P47" s="676"/>
      <c r="Q47" s="24">
        <f t="shared" si="14"/>
        <v>1</v>
      </c>
      <c r="R47" s="672">
        <f t="shared" si="15"/>
        <v>0</v>
      </c>
      <c r="S47" s="322">
        <f t="shared" si="6"/>
        <v>0</v>
      </c>
    </row>
    <row r="48" spans="1:19">
      <c r="A48" s="155"/>
      <c r="B48" s="57"/>
      <c r="C48" s="24">
        <f t="shared" si="7"/>
        <v>1</v>
      </c>
      <c r="D48" s="676"/>
      <c r="E48" s="24">
        <f t="shared" si="8"/>
        <v>1</v>
      </c>
      <c r="F48" s="676"/>
      <c r="G48" s="24">
        <f t="shared" si="9"/>
        <v>1</v>
      </c>
      <c r="H48" s="676"/>
      <c r="I48" s="24">
        <f t="shared" si="10"/>
        <v>1</v>
      </c>
      <c r="J48" s="676"/>
      <c r="K48" s="24">
        <f t="shared" si="11"/>
        <v>1</v>
      </c>
      <c r="L48" s="676"/>
      <c r="M48" s="24">
        <f t="shared" si="12"/>
        <v>1</v>
      </c>
      <c r="N48" s="676"/>
      <c r="O48" s="24">
        <f t="shared" si="13"/>
        <v>1</v>
      </c>
      <c r="P48" s="676"/>
      <c r="Q48" s="24">
        <f t="shared" si="14"/>
        <v>1</v>
      </c>
      <c r="R48" s="672">
        <f t="shared" si="15"/>
        <v>0</v>
      </c>
      <c r="S48" s="322">
        <f t="shared" si="6"/>
        <v>0</v>
      </c>
    </row>
    <row r="49" spans="1:19">
      <c r="A49" s="155"/>
      <c r="B49" s="57"/>
      <c r="C49" s="24">
        <f t="shared" si="7"/>
        <v>1</v>
      </c>
      <c r="D49" s="676"/>
      <c r="E49" s="24">
        <f t="shared" si="8"/>
        <v>1</v>
      </c>
      <c r="F49" s="676"/>
      <c r="G49" s="24">
        <f t="shared" si="9"/>
        <v>1</v>
      </c>
      <c r="H49" s="676"/>
      <c r="I49" s="24">
        <f t="shared" si="10"/>
        <v>1</v>
      </c>
      <c r="J49" s="676"/>
      <c r="K49" s="24">
        <f t="shared" si="11"/>
        <v>1</v>
      </c>
      <c r="L49" s="676"/>
      <c r="M49" s="24">
        <f t="shared" si="12"/>
        <v>1</v>
      </c>
      <c r="N49" s="676"/>
      <c r="O49" s="24">
        <f t="shared" si="13"/>
        <v>1</v>
      </c>
      <c r="P49" s="676"/>
      <c r="Q49" s="24">
        <f t="shared" si="14"/>
        <v>1</v>
      </c>
      <c r="R49" s="672">
        <f t="shared" si="15"/>
        <v>0</v>
      </c>
      <c r="S49" s="322">
        <f t="shared" si="6"/>
        <v>0</v>
      </c>
    </row>
    <row r="50" spans="1:19">
      <c r="A50" s="155"/>
      <c r="B50" s="57"/>
      <c r="C50" s="24">
        <f t="shared" si="7"/>
        <v>1</v>
      </c>
      <c r="D50" s="676"/>
      <c r="E50" s="24">
        <f t="shared" si="8"/>
        <v>1</v>
      </c>
      <c r="F50" s="676"/>
      <c r="G50" s="24">
        <f t="shared" si="9"/>
        <v>1</v>
      </c>
      <c r="H50" s="676"/>
      <c r="I50" s="24">
        <f t="shared" si="10"/>
        <v>1</v>
      </c>
      <c r="J50" s="676"/>
      <c r="K50" s="24">
        <f t="shared" si="11"/>
        <v>1</v>
      </c>
      <c r="L50" s="676"/>
      <c r="M50" s="24">
        <f t="shared" si="12"/>
        <v>1</v>
      </c>
      <c r="N50" s="676"/>
      <c r="O50" s="24">
        <f t="shared" si="13"/>
        <v>1</v>
      </c>
      <c r="P50" s="676"/>
      <c r="Q50" s="24">
        <f t="shared" si="14"/>
        <v>1</v>
      </c>
      <c r="R50" s="672">
        <f t="shared" si="15"/>
        <v>0</v>
      </c>
      <c r="S50" s="322">
        <f t="shared" si="6"/>
        <v>0</v>
      </c>
    </row>
    <row r="51" spans="1:19">
      <c r="A51" s="155"/>
      <c r="B51" s="57"/>
      <c r="C51" s="24">
        <f t="shared" si="7"/>
        <v>1</v>
      </c>
      <c r="D51" s="676"/>
      <c r="E51" s="24">
        <f t="shared" si="8"/>
        <v>1</v>
      </c>
      <c r="F51" s="676"/>
      <c r="G51" s="24">
        <f t="shared" si="9"/>
        <v>1</v>
      </c>
      <c r="H51" s="676"/>
      <c r="I51" s="24">
        <f t="shared" si="10"/>
        <v>1</v>
      </c>
      <c r="J51" s="676"/>
      <c r="K51" s="24">
        <f t="shared" si="11"/>
        <v>1</v>
      </c>
      <c r="L51" s="676"/>
      <c r="M51" s="24">
        <f t="shared" si="12"/>
        <v>1</v>
      </c>
      <c r="N51" s="676"/>
      <c r="O51" s="24">
        <f t="shared" si="13"/>
        <v>1</v>
      </c>
      <c r="P51" s="676"/>
      <c r="Q51" s="24">
        <f t="shared" si="14"/>
        <v>1</v>
      </c>
      <c r="R51" s="672">
        <f t="shared" si="15"/>
        <v>0</v>
      </c>
      <c r="S51" s="322">
        <f t="shared" si="6"/>
        <v>0</v>
      </c>
    </row>
    <row r="52" spans="1:19">
      <c r="A52" s="155"/>
      <c r="B52" s="57"/>
      <c r="C52" s="24">
        <f t="shared" si="7"/>
        <v>1</v>
      </c>
      <c r="D52" s="676"/>
      <c r="E52" s="24">
        <f t="shared" si="8"/>
        <v>1</v>
      </c>
      <c r="F52" s="676"/>
      <c r="G52" s="24">
        <f t="shared" si="9"/>
        <v>1</v>
      </c>
      <c r="H52" s="676"/>
      <c r="I52" s="24">
        <f t="shared" si="10"/>
        <v>1</v>
      </c>
      <c r="J52" s="676"/>
      <c r="K52" s="24">
        <f t="shared" si="11"/>
        <v>1</v>
      </c>
      <c r="L52" s="676"/>
      <c r="M52" s="24">
        <f t="shared" si="12"/>
        <v>1</v>
      </c>
      <c r="N52" s="676"/>
      <c r="O52" s="24">
        <f t="shared" si="13"/>
        <v>1</v>
      </c>
      <c r="P52" s="676"/>
      <c r="Q52" s="24">
        <f t="shared" si="14"/>
        <v>1</v>
      </c>
      <c r="R52" s="672">
        <f t="shared" si="15"/>
        <v>0</v>
      </c>
      <c r="S52" s="322">
        <f t="shared" si="6"/>
        <v>0</v>
      </c>
    </row>
    <row r="53" spans="1:19">
      <c r="A53" s="155"/>
      <c r="B53" s="57"/>
      <c r="C53" s="24">
        <f t="shared" si="7"/>
        <v>1</v>
      </c>
      <c r="D53" s="676"/>
      <c r="E53" s="24">
        <f t="shared" si="8"/>
        <v>1</v>
      </c>
      <c r="F53" s="676"/>
      <c r="G53" s="24">
        <f t="shared" si="9"/>
        <v>1</v>
      </c>
      <c r="H53" s="676"/>
      <c r="I53" s="24">
        <f t="shared" si="10"/>
        <v>1</v>
      </c>
      <c r="J53" s="676"/>
      <c r="K53" s="24">
        <f t="shared" si="11"/>
        <v>1</v>
      </c>
      <c r="L53" s="676"/>
      <c r="M53" s="24">
        <f t="shared" si="12"/>
        <v>1</v>
      </c>
      <c r="N53" s="676"/>
      <c r="O53" s="24">
        <f t="shared" si="13"/>
        <v>1</v>
      </c>
      <c r="P53" s="676"/>
      <c r="Q53" s="24">
        <f t="shared" si="14"/>
        <v>1</v>
      </c>
      <c r="R53" s="672">
        <f t="shared" si="15"/>
        <v>0</v>
      </c>
      <c r="S53" s="322">
        <f t="shared" si="6"/>
        <v>0</v>
      </c>
    </row>
    <row r="54" spans="1:19">
      <c r="A54" s="155"/>
      <c r="B54" s="57"/>
      <c r="C54" s="24">
        <f t="shared" si="7"/>
        <v>1</v>
      </c>
      <c r="D54" s="676"/>
      <c r="E54" s="24">
        <f t="shared" si="8"/>
        <v>1</v>
      </c>
      <c r="F54" s="676"/>
      <c r="G54" s="24">
        <f t="shared" si="9"/>
        <v>1</v>
      </c>
      <c r="H54" s="676"/>
      <c r="I54" s="24">
        <f t="shared" si="10"/>
        <v>1</v>
      </c>
      <c r="J54" s="676"/>
      <c r="K54" s="24">
        <f t="shared" si="11"/>
        <v>1</v>
      </c>
      <c r="L54" s="676"/>
      <c r="M54" s="24">
        <f t="shared" si="12"/>
        <v>1</v>
      </c>
      <c r="N54" s="676"/>
      <c r="O54" s="24">
        <f t="shared" si="13"/>
        <v>1</v>
      </c>
      <c r="P54" s="676"/>
      <c r="Q54" s="24">
        <f t="shared" si="14"/>
        <v>1</v>
      </c>
      <c r="R54" s="672">
        <f t="shared" si="15"/>
        <v>0</v>
      </c>
      <c r="S54" s="322">
        <f t="shared" si="6"/>
        <v>0</v>
      </c>
    </row>
    <row r="55" spans="1:19">
      <c r="A55" s="155"/>
      <c r="B55" s="57"/>
      <c r="C55" s="24">
        <f t="shared" si="7"/>
        <v>1</v>
      </c>
      <c r="D55" s="676"/>
      <c r="E55" s="24">
        <f t="shared" si="8"/>
        <v>1</v>
      </c>
      <c r="F55" s="676"/>
      <c r="G55" s="24">
        <f t="shared" si="9"/>
        <v>1</v>
      </c>
      <c r="H55" s="676"/>
      <c r="I55" s="24">
        <f t="shared" si="10"/>
        <v>1</v>
      </c>
      <c r="J55" s="676"/>
      <c r="K55" s="24">
        <f t="shared" si="11"/>
        <v>1</v>
      </c>
      <c r="L55" s="676"/>
      <c r="M55" s="24">
        <f t="shared" si="12"/>
        <v>1</v>
      </c>
      <c r="N55" s="676"/>
      <c r="O55" s="24">
        <f t="shared" si="13"/>
        <v>1</v>
      </c>
      <c r="P55" s="676"/>
      <c r="Q55" s="24">
        <f t="shared" si="14"/>
        <v>1</v>
      </c>
      <c r="R55" s="672">
        <f t="shared" si="15"/>
        <v>0</v>
      </c>
      <c r="S55" s="322">
        <f t="shared" ref="S55:S77" si="16">ROUND(R55*B55/10000,0)</f>
        <v>0</v>
      </c>
    </row>
    <row r="56" spans="1:19">
      <c r="A56" s="155"/>
      <c r="B56" s="57"/>
      <c r="C56" s="24">
        <f t="shared" si="7"/>
        <v>1</v>
      </c>
      <c r="D56" s="676"/>
      <c r="E56" s="24">
        <f t="shared" si="8"/>
        <v>1</v>
      </c>
      <c r="F56" s="676"/>
      <c r="G56" s="24">
        <f t="shared" si="9"/>
        <v>1</v>
      </c>
      <c r="H56" s="676"/>
      <c r="I56" s="24">
        <f t="shared" si="10"/>
        <v>1</v>
      </c>
      <c r="J56" s="676"/>
      <c r="K56" s="24">
        <f t="shared" si="11"/>
        <v>1</v>
      </c>
      <c r="L56" s="676"/>
      <c r="M56" s="24">
        <f t="shared" si="12"/>
        <v>1</v>
      </c>
      <c r="N56" s="676"/>
      <c r="O56" s="24">
        <f t="shared" si="13"/>
        <v>1</v>
      </c>
      <c r="P56" s="676"/>
      <c r="Q56" s="24">
        <f t="shared" si="14"/>
        <v>1</v>
      </c>
      <c r="R56" s="672">
        <f t="shared" si="15"/>
        <v>0</v>
      </c>
      <c r="S56" s="322">
        <f t="shared" si="16"/>
        <v>0</v>
      </c>
    </row>
    <row r="57" spans="1:19">
      <c r="A57" s="155"/>
      <c r="B57" s="57"/>
      <c r="C57" s="24">
        <f t="shared" si="7"/>
        <v>1</v>
      </c>
      <c r="D57" s="676"/>
      <c r="E57" s="24">
        <f t="shared" si="8"/>
        <v>1</v>
      </c>
      <c r="F57" s="676"/>
      <c r="G57" s="24">
        <f t="shared" si="9"/>
        <v>1</v>
      </c>
      <c r="H57" s="676"/>
      <c r="I57" s="24">
        <f t="shared" si="10"/>
        <v>1</v>
      </c>
      <c r="J57" s="676"/>
      <c r="K57" s="24">
        <f t="shared" si="11"/>
        <v>1</v>
      </c>
      <c r="L57" s="676"/>
      <c r="M57" s="24">
        <f t="shared" si="12"/>
        <v>1</v>
      </c>
      <c r="N57" s="676"/>
      <c r="O57" s="24">
        <f t="shared" si="13"/>
        <v>1</v>
      </c>
      <c r="P57" s="676"/>
      <c r="Q57" s="24">
        <f t="shared" si="14"/>
        <v>1</v>
      </c>
      <c r="R57" s="672">
        <f t="shared" si="15"/>
        <v>0</v>
      </c>
      <c r="S57" s="322">
        <f t="shared" si="16"/>
        <v>0</v>
      </c>
    </row>
    <row r="58" spans="1:19">
      <c r="A58" s="155"/>
      <c r="B58" s="57"/>
      <c r="C58" s="24">
        <f t="shared" si="7"/>
        <v>1</v>
      </c>
      <c r="D58" s="676"/>
      <c r="E58" s="24">
        <f t="shared" si="8"/>
        <v>1</v>
      </c>
      <c r="F58" s="676"/>
      <c r="G58" s="24">
        <f t="shared" si="9"/>
        <v>1</v>
      </c>
      <c r="H58" s="676"/>
      <c r="I58" s="24">
        <f t="shared" si="10"/>
        <v>1</v>
      </c>
      <c r="J58" s="676"/>
      <c r="K58" s="24">
        <f t="shared" si="11"/>
        <v>1</v>
      </c>
      <c r="L58" s="676"/>
      <c r="M58" s="24">
        <f t="shared" si="12"/>
        <v>1</v>
      </c>
      <c r="N58" s="676"/>
      <c r="O58" s="24">
        <f t="shared" si="13"/>
        <v>1</v>
      </c>
      <c r="P58" s="676"/>
      <c r="Q58" s="24">
        <f t="shared" si="14"/>
        <v>1</v>
      </c>
      <c r="R58" s="672">
        <f t="shared" si="15"/>
        <v>0</v>
      </c>
      <c r="S58" s="322">
        <f t="shared" si="16"/>
        <v>0</v>
      </c>
    </row>
    <row r="59" spans="1:19">
      <c r="A59" s="155"/>
      <c r="B59" s="57"/>
      <c r="C59" s="24">
        <f t="shared" si="7"/>
        <v>1</v>
      </c>
      <c r="D59" s="676"/>
      <c r="E59" s="24">
        <f t="shared" si="8"/>
        <v>1</v>
      </c>
      <c r="F59" s="676"/>
      <c r="G59" s="24">
        <f t="shared" si="9"/>
        <v>1</v>
      </c>
      <c r="H59" s="676"/>
      <c r="I59" s="24">
        <f t="shared" si="10"/>
        <v>1</v>
      </c>
      <c r="J59" s="676"/>
      <c r="K59" s="24">
        <f t="shared" si="11"/>
        <v>1</v>
      </c>
      <c r="L59" s="676"/>
      <c r="M59" s="24">
        <f t="shared" si="12"/>
        <v>1</v>
      </c>
      <c r="N59" s="676"/>
      <c r="O59" s="24">
        <f t="shared" si="13"/>
        <v>1</v>
      </c>
      <c r="P59" s="676"/>
      <c r="Q59" s="24">
        <f t="shared" si="14"/>
        <v>1</v>
      </c>
      <c r="R59" s="672">
        <f t="shared" si="15"/>
        <v>0</v>
      </c>
      <c r="S59" s="322">
        <f t="shared" si="16"/>
        <v>0</v>
      </c>
    </row>
    <row r="60" spans="1:19">
      <c r="A60" s="155"/>
      <c r="B60" s="57"/>
      <c r="C60" s="24">
        <f t="shared" si="7"/>
        <v>1</v>
      </c>
      <c r="D60" s="676"/>
      <c r="E60" s="24">
        <f t="shared" si="8"/>
        <v>1</v>
      </c>
      <c r="F60" s="676"/>
      <c r="G60" s="24">
        <f t="shared" si="9"/>
        <v>1</v>
      </c>
      <c r="H60" s="676"/>
      <c r="I60" s="24">
        <f t="shared" si="10"/>
        <v>1</v>
      </c>
      <c r="J60" s="676"/>
      <c r="K60" s="24">
        <f t="shared" si="11"/>
        <v>1</v>
      </c>
      <c r="L60" s="676"/>
      <c r="M60" s="24">
        <f t="shared" si="12"/>
        <v>1</v>
      </c>
      <c r="N60" s="676"/>
      <c r="O60" s="24">
        <f t="shared" si="13"/>
        <v>1</v>
      </c>
      <c r="P60" s="676"/>
      <c r="Q60" s="24">
        <f t="shared" si="14"/>
        <v>1</v>
      </c>
      <c r="R60" s="672">
        <f t="shared" si="15"/>
        <v>0</v>
      </c>
      <c r="S60" s="322">
        <f t="shared" si="16"/>
        <v>0</v>
      </c>
    </row>
    <row r="61" spans="1:19">
      <c r="A61" s="155"/>
      <c r="B61" s="57"/>
      <c r="C61" s="24">
        <f t="shared" si="7"/>
        <v>1</v>
      </c>
      <c r="D61" s="676"/>
      <c r="E61" s="24">
        <f t="shared" si="8"/>
        <v>1</v>
      </c>
      <c r="F61" s="676"/>
      <c r="G61" s="24">
        <f t="shared" si="9"/>
        <v>1</v>
      </c>
      <c r="H61" s="676"/>
      <c r="I61" s="24">
        <f t="shared" si="10"/>
        <v>1</v>
      </c>
      <c r="J61" s="676"/>
      <c r="K61" s="24">
        <f t="shared" si="11"/>
        <v>1</v>
      </c>
      <c r="L61" s="676"/>
      <c r="M61" s="24">
        <f t="shared" si="12"/>
        <v>1</v>
      </c>
      <c r="N61" s="676"/>
      <c r="O61" s="24">
        <f t="shared" si="13"/>
        <v>1</v>
      </c>
      <c r="P61" s="676"/>
      <c r="Q61" s="24">
        <f t="shared" si="14"/>
        <v>1</v>
      </c>
      <c r="R61" s="672">
        <f t="shared" si="15"/>
        <v>0</v>
      </c>
      <c r="S61" s="322">
        <f t="shared" si="16"/>
        <v>0</v>
      </c>
    </row>
    <row r="62" spans="1:19">
      <c r="A62" s="155"/>
      <c r="B62" s="57"/>
      <c r="C62" s="24">
        <f t="shared" si="7"/>
        <v>1</v>
      </c>
      <c r="D62" s="676"/>
      <c r="E62" s="24">
        <f t="shared" si="8"/>
        <v>1</v>
      </c>
      <c r="F62" s="676"/>
      <c r="G62" s="24">
        <f t="shared" si="9"/>
        <v>1</v>
      </c>
      <c r="H62" s="676"/>
      <c r="I62" s="24">
        <f t="shared" si="10"/>
        <v>1</v>
      </c>
      <c r="J62" s="676"/>
      <c r="K62" s="24">
        <f t="shared" si="11"/>
        <v>1</v>
      </c>
      <c r="L62" s="676"/>
      <c r="M62" s="24">
        <f t="shared" si="12"/>
        <v>1</v>
      </c>
      <c r="N62" s="676"/>
      <c r="O62" s="24">
        <f t="shared" si="13"/>
        <v>1</v>
      </c>
      <c r="P62" s="676"/>
      <c r="Q62" s="24">
        <f t="shared" si="14"/>
        <v>1</v>
      </c>
      <c r="R62" s="672">
        <f t="shared" si="15"/>
        <v>0</v>
      </c>
      <c r="S62" s="322">
        <f t="shared" si="16"/>
        <v>0</v>
      </c>
    </row>
    <row r="63" spans="1:19">
      <c r="A63" s="155"/>
      <c r="B63" s="57"/>
      <c r="C63" s="24">
        <f t="shared" si="7"/>
        <v>1</v>
      </c>
      <c r="D63" s="676"/>
      <c r="E63" s="24">
        <f t="shared" si="8"/>
        <v>1</v>
      </c>
      <c r="F63" s="676"/>
      <c r="G63" s="24">
        <f t="shared" si="9"/>
        <v>1</v>
      </c>
      <c r="H63" s="676"/>
      <c r="I63" s="24">
        <f t="shared" si="10"/>
        <v>1</v>
      </c>
      <c r="J63" s="676"/>
      <c r="K63" s="24">
        <f t="shared" si="11"/>
        <v>1</v>
      </c>
      <c r="L63" s="676"/>
      <c r="M63" s="24">
        <f t="shared" si="12"/>
        <v>1</v>
      </c>
      <c r="N63" s="676"/>
      <c r="O63" s="24">
        <f t="shared" si="13"/>
        <v>1</v>
      </c>
      <c r="P63" s="676"/>
      <c r="Q63" s="24">
        <f t="shared" si="14"/>
        <v>1</v>
      </c>
      <c r="R63" s="672">
        <f t="shared" si="15"/>
        <v>0</v>
      </c>
      <c r="S63" s="322">
        <f t="shared" si="16"/>
        <v>0</v>
      </c>
    </row>
    <row r="64" spans="1:19">
      <c r="A64" s="155"/>
      <c r="B64" s="57"/>
      <c r="C64" s="24">
        <f t="shared" si="7"/>
        <v>1</v>
      </c>
      <c r="D64" s="676"/>
      <c r="E64" s="24">
        <f t="shared" si="8"/>
        <v>1</v>
      </c>
      <c r="F64" s="676"/>
      <c r="G64" s="24">
        <f t="shared" si="9"/>
        <v>1</v>
      </c>
      <c r="H64" s="676"/>
      <c r="I64" s="24">
        <f t="shared" si="10"/>
        <v>1</v>
      </c>
      <c r="J64" s="676"/>
      <c r="K64" s="24">
        <f t="shared" si="11"/>
        <v>1</v>
      </c>
      <c r="L64" s="676"/>
      <c r="M64" s="24">
        <f t="shared" si="12"/>
        <v>1</v>
      </c>
      <c r="N64" s="676"/>
      <c r="O64" s="24">
        <f t="shared" si="13"/>
        <v>1</v>
      </c>
      <c r="P64" s="676"/>
      <c r="Q64" s="24">
        <f t="shared" si="14"/>
        <v>1</v>
      </c>
      <c r="R64" s="672">
        <f t="shared" si="15"/>
        <v>0</v>
      </c>
      <c r="S64" s="322">
        <f t="shared" si="16"/>
        <v>0</v>
      </c>
    </row>
    <row r="65" spans="1:19">
      <c r="A65" s="155"/>
      <c r="B65" s="57"/>
      <c r="C65" s="24">
        <f t="shared" si="7"/>
        <v>1</v>
      </c>
      <c r="D65" s="676"/>
      <c r="E65" s="24">
        <f t="shared" si="8"/>
        <v>1</v>
      </c>
      <c r="F65" s="676"/>
      <c r="G65" s="24">
        <f t="shared" si="9"/>
        <v>1</v>
      </c>
      <c r="H65" s="676"/>
      <c r="I65" s="24">
        <f t="shared" si="10"/>
        <v>1</v>
      </c>
      <c r="J65" s="676"/>
      <c r="K65" s="24">
        <f t="shared" si="11"/>
        <v>1</v>
      </c>
      <c r="L65" s="676"/>
      <c r="M65" s="24">
        <f t="shared" si="12"/>
        <v>1</v>
      </c>
      <c r="N65" s="676"/>
      <c r="O65" s="24">
        <f t="shared" si="13"/>
        <v>1</v>
      </c>
      <c r="P65" s="676"/>
      <c r="Q65" s="24">
        <f t="shared" si="14"/>
        <v>1</v>
      </c>
      <c r="R65" s="672">
        <f t="shared" si="15"/>
        <v>0</v>
      </c>
      <c r="S65" s="322">
        <f t="shared" si="16"/>
        <v>0</v>
      </c>
    </row>
    <row r="66" spans="1:19">
      <c r="A66" s="155"/>
      <c r="B66" s="57"/>
      <c r="C66" s="24">
        <f t="shared" si="7"/>
        <v>1</v>
      </c>
      <c r="D66" s="676"/>
      <c r="E66" s="24">
        <f t="shared" si="8"/>
        <v>1</v>
      </c>
      <c r="F66" s="676"/>
      <c r="G66" s="24">
        <f t="shared" si="9"/>
        <v>1</v>
      </c>
      <c r="H66" s="676"/>
      <c r="I66" s="24">
        <f t="shared" si="10"/>
        <v>1</v>
      </c>
      <c r="J66" s="676"/>
      <c r="K66" s="24">
        <f t="shared" si="11"/>
        <v>1</v>
      </c>
      <c r="L66" s="676"/>
      <c r="M66" s="24">
        <f t="shared" si="12"/>
        <v>1</v>
      </c>
      <c r="N66" s="676"/>
      <c r="O66" s="24">
        <f t="shared" si="13"/>
        <v>1</v>
      </c>
      <c r="P66" s="676"/>
      <c r="Q66" s="24">
        <f t="shared" si="14"/>
        <v>1</v>
      </c>
      <c r="R66" s="672">
        <f t="shared" si="15"/>
        <v>0</v>
      </c>
      <c r="S66" s="322">
        <f t="shared" si="16"/>
        <v>0</v>
      </c>
    </row>
    <row r="67" spans="1:19">
      <c r="A67" s="155"/>
      <c r="B67" s="57"/>
      <c r="C67" s="24">
        <f t="shared" si="7"/>
        <v>1</v>
      </c>
      <c r="D67" s="676"/>
      <c r="E67" s="24">
        <f t="shared" si="8"/>
        <v>1</v>
      </c>
      <c r="F67" s="676"/>
      <c r="G67" s="24">
        <f t="shared" si="9"/>
        <v>1</v>
      </c>
      <c r="H67" s="676"/>
      <c r="I67" s="24">
        <f t="shared" si="10"/>
        <v>1</v>
      </c>
      <c r="J67" s="676"/>
      <c r="K67" s="24">
        <f t="shared" si="11"/>
        <v>1</v>
      </c>
      <c r="L67" s="676"/>
      <c r="M67" s="24">
        <f t="shared" si="12"/>
        <v>1</v>
      </c>
      <c r="N67" s="676"/>
      <c r="O67" s="24">
        <f t="shared" si="13"/>
        <v>1</v>
      </c>
      <c r="P67" s="676"/>
      <c r="Q67" s="24">
        <f t="shared" si="14"/>
        <v>1</v>
      </c>
      <c r="R67" s="672">
        <f t="shared" si="15"/>
        <v>0</v>
      </c>
      <c r="S67" s="322">
        <f t="shared" si="16"/>
        <v>0</v>
      </c>
    </row>
    <row r="68" spans="1:19">
      <c r="A68" s="155"/>
      <c r="B68" s="57"/>
      <c r="C68" s="24">
        <f t="shared" si="7"/>
        <v>1</v>
      </c>
      <c r="D68" s="676"/>
      <c r="E68" s="24">
        <f t="shared" si="8"/>
        <v>1</v>
      </c>
      <c r="F68" s="676"/>
      <c r="G68" s="24">
        <f t="shared" si="9"/>
        <v>1</v>
      </c>
      <c r="H68" s="676"/>
      <c r="I68" s="24">
        <f t="shared" si="10"/>
        <v>1</v>
      </c>
      <c r="J68" s="676"/>
      <c r="K68" s="24">
        <f t="shared" si="11"/>
        <v>1</v>
      </c>
      <c r="L68" s="676"/>
      <c r="M68" s="24">
        <f t="shared" si="12"/>
        <v>1</v>
      </c>
      <c r="N68" s="676"/>
      <c r="O68" s="24">
        <f t="shared" si="13"/>
        <v>1</v>
      </c>
      <c r="P68" s="676"/>
      <c r="Q68" s="24">
        <f t="shared" si="14"/>
        <v>1</v>
      </c>
      <c r="R68" s="672">
        <f t="shared" si="15"/>
        <v>0</v>
      </c>
      <c r="S68" s="322">
        <f t="shared" si="16"/>
        <v>0</v>
      </c>
    </row>
    <row r="69" spans="1:19">
      <c r="A69" s="155"/>
      <c r="B69" s="57"/>
      <c r="C69" s="24">
        <f t="shared" si="7"/>
        <v>1</v>
      </c>
      <c r="D69" s="676"/>
      <c r="E69" s="24">
        <f t="shared" si="8"/>
        <v>1</v>
      </c>
      <c r="F69" s="676"/>
      <c r="G69" s="24">
        <f t="shared" si="9"/>
        <v>1</v>
      </c>
      <c r="H69" s="676"/>
      <c r="I69" s="24">
        <f t="shared" si="10"/>
        <v>1</v>
      </c>
      <c r="J69" s="676"/>
      <c r="K69" s="24">
        <f t="shared" si="11"/>
        <v>1</v>
      </c>
      <c r="L69" s="676"/>
      <c r="M69" s="24">
        <f t="shared" si="12"/>
        <v>1</v>
      </c>
      <c r="N69" s="676"/>
      <c r="O69" s="24">
        <f t="shared" si="13"/>
        <v>1</v>
      </c>
      <c r="P69" s="676"/>
      <c r="Q69" s="24">
        <f t="shared" si="14"/>
        <v>1</v>
      </c>
      <c r="R69" s="672">
        <f t="shared" si="15"/>
        <v>0</v>
      </c>
      <c r="S69" s="322">
        <f t="shared" si="16"/>
        <v>0</v>
      </c>
    </row>
    <row r="70" spans="1:19">
      <c r="A70" s="155"/>
      <c r="B70" s="57"/>
      <c r="C70" s="24">
        <f t="shared" si="7"/>
        <v>1</v>
      </c>
      <c r="D70" s="676"/>
      <c r="E70" s="24">
        <f t="shared" si="8"/>
        <v>1</v>
      </c>
      <c r="F70" s="676"/>
      <c r="G70" s="24">
        <f t="shared" si="9"/>
        <v>1</v>
      </c>
      <c r="H70" s="676"/>
      <c r="I70" s="24">
        <f t="shared" si="10"/>
        <v>1</v>
      </c>
      <c r="J70" s="676"/>
      <c r="K70" s="24">
        <f t="shared" si="11"/>
        <v>1</v>
      </c>
      <c r="L70" s="676"/>
      <c r="M70" s="24">
        <f t="shared" si="12"/>
        <v>1</v>
      </c>
      <c r="N70" s="676"/>
      <c r="O70" s="24">
        <f t="shared" si="13"/>
        <v>1</v>
      </c>
      <c r="P70" s="676"/>
      <c r="Q70" s="24">
        <f t="shared" si="14"/>
        <v>1</v>
      </c>
      <c r="R70" s="672">
        <f t="shared" si="15"/>
        <v>0</v>
      </c>
      <c r="S70" s="322">
        <f t="shared" si="16"/>
        <v>0</v>
      </c>
    </row>
    <row r="71" spans="1:19">
      <c r="A71" s="155"/>
      <c r="B71" s="57"/>
      <c r="C71" s="24">
        <f t="shared" si="7"/>
        <v>1</v>
      </c>
      <c r="D71" s="676"/>
      <c r="E71" s="24">
        <f t="shared" si="8"/>
        <v>1</v>
      </c>
      <c r="F71" s="676"/>
      <c r="G71" s="24">
        <f t="shared" si="9"/>
        <v>1</v>
      </c>
      <c r="H71" s="676"/>
      <c r="I71" s="24">
        <f t="shared" si="10"/>
        <v>1</v>
      </c>
      <c r="J71" s="676"/>
      <c r="K71" s="24">
        <f t="shared" si="11"/>
        <v>1</v>
      </c>
      <c r="L71" s="676"/>
      <c r="M71" s="24">
        <f t="shared" si="12"/>
        <v>1</v>
      </c>
      <c r="N71" s="676"/>
      <c r="O71" s="24">
        <f t="shared" si="13"/>
        <v>1</v>
      </c>
      <c r="P71" s="676"/>
      <c r="Q71" s="24">
        <f t="shared" si="14"/>
        <v>1</v>
      </c>
      <c r="R71" s="672">
        <f t="shared" si="15"/>
        <v>0</v>
      </c>
      <c r="S71" s="322">
        <f t="shared" si="16"/>
        <v>0</v>
      </c>
    </row>
    <row r="72" spans="1:19">
      <c r="A72" s="155"/>
      <c r="B72" s="57"/>
      <c r="C72" s="24">
        <f t="shared" si="7"/>
        <v>1</v>
      </c>
      <c r="D72" s="676"/>
      <c r="E72" s="24">
        <f t="shared" si="8"/>
        <v>1</v>
      </c>
      <c r="F72" s="676"/>
      <c r="G72" s="24">
        <f t="shared" si="9"/>
        <v>1</v>
      </c>
      <c r="H72" s="676"/>
      <c r="I72" s="24">
        <f t="shared" si="10"/>
        <v>1</v>
      </c>
      <c r="J72" s="676"/>
      <c r="K72" s="24">
        <f t="shared" si="11"/>
        <v>1</v>
      </c>
      <c r="L72" s="676"/>
      <c r="M72" s="24">
        <f t="shared" si="12"/>
        <v>1</v>
      </c>
      <c r="N72" s="676"/>
      <c r="O72" s="24">
        <f t="shared" si="13"/>
        <v>1</v>
      </c>
      <c r="P72" s="676"/>
      <c r="Q72" s="24">
        <f t="shared" si="14"/>
        <v>1</v>
      </c>
      <c r="R72" s="672">
        <f t="shared" si="15"/>
        <v>0</v>
      </c>
      <c r="S72" s="322">
        <f t="shared" si="16"/>
        <v>0</v>
      </c>
    </row>
    <row r="73" spans="1:19">
      <c r="A73" s="155"/>
      <c r="B73" s="57"/>
      <c r="C73" s="24">
        <f t="shared" si="7"/>
        <v>1</v>
      </c>
      <c r="D73" s="676"/>
      <c r="E73" s="24">
        <f t="shared" si="8"/>
        <v>1</v>
      </c>
      <c r="F73" s="676"/>
      <c r="G73" s="24">
        <f t="shared" si="9"/>
        <v>1</v>
      </c>
      <c r="H73" s="676"/>
      <c r="I73" s="24">
        <f t="shared" si="10"/>
        <v>1</v>
      </c>
      <c r="J73" s="676"/>
      <c r="K73" s="24">
        <f t="shared" si="11"/>
        <v>1</v>
      </c>
      <c r="L73" s="676"/>
      <c r="M73" s="24">
        <f t="shared" si="12"/>
        <v>1</v>
      </c>
      <c r="N73" s="676"/>
      <c r="O73" s="24">
        <f t="shared" si="13"/>
        <v>1</v>
      </c>
      <c r="P73" s="676"/>
      <c r="Q73" s="24">
        <f t="shared" si="14"/>
        <v>1</v>
      </c>
      <c r="R73" s="672">
        <f t="shared" si="15"/>
        <v>0</v>
      </c>
      <c r="S73" s="322">
        <f t="shared" si="16"/>
        <v>0</v>
      </c>
    </row>
    <row r="74" spans="1:19">
      <c r="A74" s="155"/>
      <c r="B74" s="57"/>
      <c r="C74" s="24">
        <f t="shared" si="7"/>
        <v>1</v>
      </c>
      <c r="D74" s="676"/>
      <c r="E74" s="24">
        <f t="shared" si="8"/>
        <v>1</v>
      </c>
      <c r="F74" s="676"/>
      <c r="G74" s="24">
        <f t="shared" si="9"/>
        <v>1</v>
      </c>
      <c r="H74" s="676"/>
      <c r="I74" s="24">
        <f t="shared" si="10"/>
        <v>1</v>
      </c>
      <c r="J74" s="676"/>
      <c r="K74" s="24">
        <f t="shared" si="11"/>
        <v>1</v>
      </c>
      <c r="L74" s="676"/>
      <c r="M74" s="24">
        <f t="shared" si="12"/>
        <v>1</v>
      </c>
      <c r="N74" s="676"/>
      <c r="O74" s="24">
        <f t="shared" si="13"/>
        <v>1</v>
      </c>
      <c r="P74" s="676"/>
      <c r="Q74" s="24">
        <f t="shared" si="14"/>
        <v>1</v>
      </c>
      <c r="R74" s="672">
        <f t="shared" si="15"/>
        <v>0</v>
      </c>
      <c r="S74" s="322">
        <f t="shared" si="16"/>
        <v>0</v>
      </c>
    </row>
    <row r="75" spans="1:19">
      <c r="A75" s="155"/>
      <c r="B75" s="57"/>
      <c r="C75" s="24">
        <f t="shared" si="7"/>
        <v>1</v>
      </c>
      <c r="D75" s="676"/>
      <c r="E75" s="24">
        <f t="shared" si="8"/>
        <v>1</v>
      </c>
      <c r="F75" s="676"/>
      <c r="G75" s="24">
        <f t="shared" si="9"/>
        <v>1</v>
      </c>
      <c r="H75" s="676"/>
      <c r="I75" s="24">
        <f t="shared" si="10"/>
        <v>1</v>
      </c>
      <c r="J75" s="676"/>
      <c r="K75" s="24">
        <f t="shared" si="11"/>
        <v>1</v>
      </c>
      <c r="L75" s="676"/>
      <c r="M75" s="24">
        <f t="shared" si="12"/>
        <v>1</v>
      </c>
      <c r="N75" s="676"/>
      <c r="O75" s="24">
        <f t="shared" si="13"/>
        <v>1</v>
      </c>
      <c r="P75" s="676"/>
      <c r="Q75" s="24">
        <f t="shared" si="14"/>
        <v>1</v>
      </c>
      <c r="R75" s="672">
        <f t="shared" si="15"/>
        <v>0</v>
      </c>
      <c r="S75" s="322">
        <f t="shared" si="16"/>
        <v>0</v>
      </c>
    </row>
    <row r="76" spans="1:19">
      <c r="A76" s="155"/>
      <c r="B76" s="57"/>
      <c r="C76" s="24">
        <f t="shared" si="7"/>
        <v>1</v>
      </c>
      <c r="D76" s="676"/>
      <c r="E76" s="24">
        <f t="shared" si="8"/>
        <v>1</v>
      </c>
      <c r="F76" s="676"/>
      <c r="G76" s="24">
        <f t="shared" si="9"/>
        <v>1</v>
      </c>
      <c r="H76" s="676"/>
      <c r="I76" s="24">
        <f t="shared" si="10"/>
        <v>1</v>
      </c>
      <c r="J76" s="676"/>
      <c r="K76" s="24">
        <f t="shared" si="11"/>
        <v>1</v>
      </c>
      <c r="L76" s="676"/>
      <c r="M76" s="24">
        <f t="shared" si="12"/>
        <v>1</v>
      </c>
      <c r="N76" s="676"/>
      <c r="O76" s="24">
        <f t="shared" si="13"/>
        <v>1</v>
      </c>
      <c r="P76" s="676"/>
      <c r="Q76" s="24">
        <f t="shared" si="14"/>
        <v>1</v>
      </c>
      <c r="R76" s="672">
        <f t="shared" si="15"/>
        <v>0</v>
      </c>
      <c r="S76" s="322">
        <f t="shared" si="16"/>
        <v>0</v>
      </c>
    </row>
    <row r="77" spans="1:19">
      <c r="A77" s="155"/>
      <c r="B77" s="57"/>
      <c r="C77" s="24">
        <f t="shared" si="7"/>
        <v>1</v>
      </c>
      <c r="D77" s="676"/>
      <c r="E77" s="24">
        <f t="shared" si="8"/>
        <v>1</v>
      </c>
      <c r="F77" s="676"/>
      <c r="G77" s="24">
        <f t="shared" si="9"/>
        <v>1</v>
      </c>
      <c r="H77" s="676"/>
      <c r="I77" s="24">
        <f t="shared" si="10"/>
        <v>1</v>
      </c>
      <c r="J77" s="676"/>
      <c r="K77" s="24">
        <f t="shared" si="11"/>
        <v>1</v>
      </c>
      <c r="L77" s="676"/>
      <c r="M77" s="24">
        <f t="shared" si="12"/>
        <v>1</v>
      </c>
      <c r="N77" s="676"/>
      <c r="O77" s="24">
        <f t="shared" si="13"/>
        <v>1</v>
      </c>
      <c r="P77" s="676"/>
      <c r="Q77" s="24">
        <f t="shared" si="14"/>
        <v>1</v>
      </c>
      <c r="R77" s="672">
        <f t="shared" si="15"/>
        <v>0</v>
      </c>
      <c r="S77" s="322">
        <f t="shared" si="16"/>
        <v>0</v>
      </c>
    </row>
    <row r="78" spans="1:19">
      <c r="A78" s="155"/>
      <c r="B78" s="57"/>
      <c r="C78" s="24">
        <f t="shared" si="7"/>
        <v>1</v>
      </c>
      <c r="D78" s="676"/>
      <c r="E78" s="24">
        <f t="shared" si="8"/>
        <v>1</v>
      </c>
      <c r="F78" s="676"/>
      <c r="G78" s="24">
        <f t="shared" si="9"/>
        <v>1</v>
      </c>
      <c r="H78" s="676"/>
      <c r="I78" s="24">
        <f t="shared" si="10"/>
        <v>1</v>
      </c>
      <c r="J78" s="676"/>
      <c r="K78" s="24">
        <f t="shared" si="11"/>
        <v>1</v>
      </c>
      <c r="L78" s="676"/>
      <c r="M78" s="24">
        <f t="shared" si="12"/>
        <v>1</v>
      </c>
      <c r="N78" s="676"/>
      <c r="O78" s="24">
        <f t="shared" si="13"/>
        <v>1</v>
      </c>
      <c r="P78" s="676"/>
      <c r="Q78" s="24">
        <f t="shared" si="14"/>
        <v>1</v>
      </c>
      <c r="R78" s="672">
        <f t="shared" si="15"/>
        <v>0</v>
      </c>
      <c r="S78" s="322">
        <f t="shared" ref="S78:S122" si="17">ROUND(R78*B78/10000,0)</f>
        <v>0</v>
      </c>
    </row>
    <row r="79" spans="1:19">
      <c r="A79" s="155"/>
      <c r="B79" s="57"/>
      <c r="C79" s="24">
        <f t="shared" si="7"/>
        <v>1</v>
      </c>
      <c r="D79" s="676"/>
      <c r="E79" s="24">
        <f t="shared" si="8"/>
        <v>1</v>
      </c>
      <c r="F79" s="676"/>
      <c r="G79" s="24">
        <f t="shared" si="9"/>
        <v>1</v>
      </c>
      <c r="H79" s="676"/>
      <c r="I79" s="24">
        <f t="shared" si="10"/>
        <v>1</v>
      </c>
      <c r="J79" s="676"/>
      <c r="K79" s="24">
        <f t="shared" si="11"/>
        <v>1</v>
      </c>
      <c r="L79" s="676"/>
      <c r="M79" s="24">
        <f t="shared" si="12"/>
        <v>1</v>
      </c>
      <c r="N79" s="676"/>
      <c r="O79" s="24">
        <f t="shared" si="13"/>
        <v>1</v>
      </c>
      <c r="P79" s="676"/>
      <c r="Q79" s="24">
        <f t="shared" si="14"/>
        <v>1</v>
      </c>
      <c r="R79" s="672">
        <f t="shared" si="15"/>
        <v>0</v>
      </c>
      <c r="S79" s="322">
        <f t="shared" si="17"/>
        <v>0</v>
      </c>
    </row>
    <row r="80" spans="1:19">
      <c r="A80" s="155"/>
      <c r="B80" s="57"/>
      <c r="C80" s="24">
        <f t="shared" si="7"/>
        <v>1</v>
      </c>
      <c r="D80" s="676"/>
      <c r="E80" s="24">
        <f t="shared" si="8"/>
        <v>1</v>
      </c>
      <c r="F80" s="676"/>
      <c r="G80" s="24">
        <f t="shared" si="9"/>
        <v>1</v>
      </c>
      <c r="H80" s="676"/>
      <c r="I80" s="24">
        <f t="shared" si="10"/>
        <v>1</v>
      </c>
      <c r="J80" s="676"/>
      <c r="K80" s="24">
        <f t="shared" si="11"/>
        <v>1</v>
      </c>
      <c r="L80" s="676"/>
      <c r="M80" s="24">
        <f t="shared" si="12"/>
        <v>1</v>
      </c>
      <c r="N80" s="676"/>
      <c r="O80" s="24">
        <f t="shared" si="13"/>
        <v>1</v>
      </c>
      <c r="P80" s="676"/>
      <c r="Q80" s="24">
        <f t="shared" si="14"/>
        <v>1</v>
      </c>
      <c r="R80" s="672">
        <f t="shared" si="15"/>
        <v>0</v>
      </c>
      <c r="S80" s="322">
        <f t="shared" si="17"/>
        <v>0</v>
      </c>
    </row>
    <row r="81" spans="1:19">
      <c r="A81" s="155"/>
      <c r="B81" s="57"/>
      <c r="C81" s="24">
        <f t="shared" si="7"/>
        <v>1</v>
      </c>
      <c r="D81" s="676"/>
      <c r="E81" s="24">
        <f t="shared" si="8"/>
        <v>1</v>
      </c>
      <c r="F81" s="676"/>
      <c r="G81" s="24">
        <f t="shared" si="9"/>
        <v>1</v>
      </c>
      <c r="H81" s="676"/>
      <c r="I81" s="24">
        <f t="shared" si="10"/>
        <v>1</v>
      </c>
      <c r="J81" s="676"/>
      <c r="K81" s="24">
        <f t="shared" si="11"/>
        <v>1</v>
      </c>
      <c r="L81" s="676"/>
      <c r="M81" s="24">
        <f t="shared" si="12"/>
        <v>1</v>
      </c>
      <c r="N81" s="676"/>
      <c r="O81" s="24">
        <f t="shared" si="13"/>
        <v>1</v>
      </c>
      <c r="P81" s="676"/>
      <c r="Q81" s="24">
        <f t="shared" si="14"/>
        <v>1</v>
      </c>
      <c r="R81" s="672">
        <f t="shared" si="15"/>
        <v>0</v>
      </c>
      <c r="S81" s="322">
        <f t="shared" si="17"/>
        <v>0</v>
      </c>
    </row>
    <row r="82" spans="1:19">
      <c r="A82" s="155"/>
      <c r="B82" s="57"/>
      <c r="C82" s="24">
        <f t="shared" si="7"/>
        <v>1</v>
      </c>
      <c r="D82" s="676"/>
      <c r="E82" s="24">
        <f t="shared" si="8"/>
        <v>1</v>
      </c>
      <c r="F82" s="676"/>
      <c r="G82" s="24">
        <f t="shared" si="9"/>
        <v>1</v>
      </c>
      <c r="H82" s="676"/>
      <c r="I82" s="24">
        <f t="shared" si="10"/>
        <v>1</v>
      </c>
      <c r="J82" s="676"/>
      <c r="K82" s="24">
        <f t="shared" si="11"/>
        <v>1</v>
      </c>
      <c r="L82" s="676"/>
      <c r="M82" s="24">
        <f t="shared" si="12"/>
        <v>1</v>
      </c>
      <c r="N82" s="676"/>
      <c r="O82" s="24">
        <f t="shared" si="13"/>
        <v>1</v>
      </c>
      <c r="P82" s="676"/>
      <c r="Q82" s="24">
        <f t="shared" si="14"/>
        <v>1</v>
      </c>
      <c r="R82" s="672">
        <f t="shared" si="15"/>
        <v>0</v>
      </c>
      <c r="S82" s="322">
        <f t="shared" si="17"/>
        <v>0</v>
      </c>
    </row>
    <row r="83" spans="1:19">
      <c r="A83" s="155"/>
      <c r="B83" s="57"/>
      <c r="C83" s="24">
        <f t="shared" si="7"/>
        <v>1</v>
      </c>
      <c r="D83" s="676"/>
      <c r="E83" s="24">
        <f t="shared" si="8"/>
        <v>1</v>
      </c>
      <c r="F83" s="676"/>
      <c r="G83" s="24">
        <f t="shared" si="9"/>
        <v>1</v>
      </c>
      <c r="H83" s="676"/>
      <c r="I83" s="24">
        <f t="shared" si="10"/>
        <v>1</v>
      </c>
      <c r="J83" s="676"/>
      <c r="K83" s="24">
        <f t="shared" si="11"/>
        <v>1</v>
      </c>
      <c r="L83" s="676"/>
      <c r="M83" s="24">
        <f t="shared" si="12"/>
        <v>1</v>
      </c>
      <c r="N83" s="676"/>
      <c r="O83" s="24">
        <f t="shared" si="13"/>
        <v>1</v>
      </c>
      <c r="P83" s="676"/>
      <c r="Q83" s="24">
        <f t="shared" si="14"/>
        <v>1</v>
      </c>
      <c r="R83" s="672">
        <f t="shared" si="15"/>
        <v>0</v>
      </c>
      <c r="S83" s="322">
        <f t="shared" si="17"/>
        <v>0</v>
      </c>
    </row>
    <row r="84" spans="1:19">
      <c r="A84" s="155"/>
      <c r="B84" s="57"/>
      <c r="C84" s="24">
        <f t="shared" si="7"/>
        <v>1</v>
      </c>
      <c r="D84" s="676"/>
      <c r="E84" s="24">
        <f t="shared" si="8"/>
        <v>1</v>
      </c>
      <c r="F84" s="676"/>
      <c r="G84" s="24">
        <f t="shared" si="9"/>
        <v>1</v>
      </c>
      <c r="H84" s="676"/>
      <c r="I84" s="24">
        <f t="shared" si="10"/>
        <v>1</v>
      </c>
      <c r="J84" s="676"/>
      <c r="K84" s="24">
        <f t="shared" si="11"/>
        <v>1</v>
      </c>
      <c r="L84" s="676"/>
      <c r="M84" s="24">
        <f t="shared" si="12"/>
        <v>1</v>
      </c>
      <c r="N84" s="676"/>
      <c r="O84" s="24">
        <f t="shared" si="13"/>
        <v>1</v>
      </c>
      <c r="P84" s="676"/>
      <c r="Q84" s="24">
        <f t="shared" si="14"/>
        <v>1</v>
      </c>
      <c r="R84" s="672">
        <f t="shared" si="15"/>
        <v>0</v>
      </c>
      <c r="S84" s="322">
        <f t="shared" si="17"/>
        <v>0</v>
      </c>
    </row>
    <row r="85" spans="1:19">
      <c r="A85" s="155"/>
      <c r="B85" s="57"/>
      <c r="C85" s="24">
        <f t="shared" si="7"/>
        <v>1</v>
      </c>
      <c r="D85" s="676"/>
      <c r="E85" s="24">
        <f t="shared" si="8"/>
        <v>1</v>
      </c>
      <c r="F85" s="676"/>
      <c r="G85" s="24">
        <f t="shared" si="9"/>
        <v>1</v>
      </c>
      <c r="H85" s="676"/>
      <c r="I85" s="24">
        <f t="shared" si="10"/>
        <v>1</v>
      </c>
      <c r="J85" s="676"/>
      <c r="K85" s="24">
        <f t="shared" si="11"/>
        <v>1</v>
      </c>
      <c r="L85" s="676"/>
      <c r="M85" s="24">
        <f t="shared" si="12"/>
        <v>1</v>
      </c>
      <c r="N85" s="676"/>
      <c r="O85" s="24">
        <f t="shared" si="13"/>
        <v>1</v>
      </c>
      <c r="P85" s="676"/>
      <c r="Q85" s="24">
        <f t="shared" si="14"/>
        <v>1</v>
      </c>
      <c r="R85" s="672">
        <f t="shared" si="15"/>
        <v>0</v>
      </c>
      <c r="S85" s="322">
        <f t="shared" si="17"/>
        <v>0</v>
      </c>
    </row>
    <row r="86" spans="1:19">
      <c r="A86" s="155"/>
      <c r="B86" s="57"/>
      <c r="C86" s="24">
        <f t="shared" si="7"/>
        <v>1</v>
      </c>
      <c r="D86" s="676"/>
      <c r="E86" s="24">
        <f t="shared" si="8"/>
        <v>1</v>
      </c>
      <c r="F86" s="676"/>
      <c r="G86" s="24">
        <f t="shared" si="9"/>
        <v>1</v>
      </c>
      <c r="H86" s="676"/>
      <c r="I86" s="24">
        <f t="shared" si="10"/>
        <v>1</v>
      </c>
      <c r="J86" s="676"/>
      <c r="K86" s="24">
        <f t="shared" si="11"/>
        <v>1</v>
      </c>
      <c r="L86" s="676"/>
      <c r="M86" s="24">
        <f t="shared" si="12"/>
        <v>1</v>
      </c>
      <c r="N86" s="676"/>
      <c r="O86" s="24">
        <f t="shared" si="13"/>
        <v>1</v>
      </c>
      <c r="P86" s="676"/>
      <c r="Q86" s="24">
        <f t="shared" si="14"/>
        <v>1</v>
      </c>
      <c r="R86" s="672">
        <f t="shared" si="15"/>
        <v>0</v>
      </c>
      <c r="S86" s="322">
        <f t="shared" si="17"/>
        <v>0</v>
      </c>
    </row>
    <row r="87" spans="1:19">
      <c r="A87" s="155"/>
      <c r="B87" s="57"/>
      <c r="C87" s="24">
        <f t="shared" si="7"/>
        <v>1</v>
      </c>
      <c r="D87" s="676"/>
      <c r="E87" s="24">
        <f t="shared" si="8"/>
        <v>1</v>
      </c>
      <c r="F87" s="676"/>
      <c r="G87" s="24">
        <f t="shared" si="9"/>
        <v>1</v>
      </c>
      <c r="H87" s="676"/>
      <c r="I87" s="24">
        <f t="shared" si="10"/>
        <v>1</v>
      </c>
      <c r="J87" s="676"/>
      <c r="K87" s="24">
        <f t="shared" si="11"/>
        <v>1</v>
      </c>
      <c r="L87" s="676"/>
      <c r="M87" s="24">
        <f t="shared" si="12"/>
        <v>1</v>
      </c>
      <c r="N87" s="676"/>
      <c r="O87" s="24">
        <f t="shared" si="13"/>
        <v>1</v>
      </c>
      <c r="P87" s="676"/>
      <c r="Q87" s="24">
        <f t="shared" si="14"/>
        <v>1</v>
      </c>
      <c r="R87" s="672">
        <f t="shared" si="15"/>
        <v>0</v>
      </c>
      <c r="S87" s="322">
        <f t="shared" si="17"/>
        <v>0</v>
      </c>
    </row>
    <row r="88" spans="1:19">
      <c r="A88" s="155"/>
      <c r="B88" s="57"/>
      <c r="C88" s="24">
        <f t="shared" si="7"/>
        <v>1</v>
      </c>
      <c r="D88" s="676"/>
      <c r="E88" s="24">
        <f t="shared" si="8"/>
        <v>1</v>
      </c>
      <c r="F88" s="676"/>
      <c r="G88" s="24">
        <f t="shared" si="9"/>
        <v>1</v>
      </c>
      <c r="H88" s="676"/>
      <c r="I88" s="24">
        <f t="shared" si="10"/>
        <v>1</v>
      </c>
      <c r="J88" s="676"/>
      <c r="K88" s="24">
        <f t="shared" si="11"/>
        <v>1</v>
      </c>
      <c r="L88" s="676"/>
      <c r="M88" s="24">
        <f t="shared" si="12"/>
        <v>1</v>
      </c>
      <c r="N88" s="676"/>
      <c r="O88" s="24">
        <f t="shared" si="13"/>
        <v>1</v>
      </c>
      <c r="P88" s="676"/>
      <c r="Q88" s="24">
        <f t="shared" si="14"/>
        <v>1</v>
      </c>
      <c r="R88" s="672">
        <f t="shared" si="15"/>
        <v>0</v>
      </c>
      <c r="S88" s="322">
        <f t="shared" si="17"/>
        <v>0</v>
      </c>
    </row>
    <row r="89" spans="1:19">
      <c r="A89" s="155"/>
      <c r="B89" s="57"/>
      <c r="C89" s="24">
        <f t="shared" si="7"/>
        <v>1</v>
      </c>
      <c r="D89" s="676"/>
      <c r="E89" s="24">
        <f t="shared" si="8"/>
        <v>1</v>
      </c>
      <c r="F89" s="676"/>
      <c r="G89" s="24">
        <f t="shared" si="9"/>
        <v>1</v>
      </c>
      <c r="H89" s="676"/>
      <c r="I89" s="24">
        <f t="shared" si="10"/>
        <v>1</v>
      </c>
      <c r="J89" s="676"/>
      <c r="K89" s="24">
        <f t="shared" si="11"/>
        <v>1</v>
      </c>
      <c r="L89" s="676"/>
      <c r="M89" s="24">
        <f t="shared" si="12"/>
        <v>1</v>
      </c>
      <c r="N89" s="676"/>
      <c r="O89" s="24">
        <f t="shared" si="13"/>
        <v>1</v>
      </c>
      <c r="P89" s="676"/>
      <c r="Q89" s="24">
        <f t="shared" si="14"/>
        <v>1</v>
      </c>
      <c r="R89" s="672">
        <f t="shared" si="15"/>
        <v>0</v>
      </c>
      <c r="S89" s="322">
        <f t="shared" si="17"/>
        <v>0</v>
      </c>
    </row>
    <row r="90" spans="1:19">
      <c r="A90" s="155"/>
      <c r="B90" s="57"/>
      <c r="C90" s="24">
        <f t="shared" ref="C90:C153" si="18">IF(B90="",1,(LOOKUP(B90,$3:$3,$4:$4)-LOOKUP($B$24,$3:$3,$4:$4)+100)/100)</f>
        <v>1</v>
      </c>
      <c r="D90" s="676"/>
      <c r="E90" s="24">
        <f t="shared" ref="E90:E153" si="19">(SUMIF($5:$5,D90,$6:$6)-SUMIF($5:$5,$D$24,$6:$6)+100)/100</f>
        <v>1</v>
      </c>
      <c r="F90" s="676"/>
      <c r="G90" s="24">
        <f t="shared" ref="G90:G153" si="20">(SUMIF($7:$7,F90,$8:$8)-SUMIF($7:$7,$F$24,$8:$8)+100)/100</f>
        <v>1</v>
      </c>
      <c r="H90" s="676"/>
      <c r="I90" s="24">
        <f t="shared" ref="I90:I153" si="21">(SUMIF($9:$9,H90,$10:$10)-SUMIF($9:$9,$H$24,$10:$10)+100)/100</f>
        <v>1</v>
      </c>
      <c r="J90" s="676"/>
      <c r="K90" s="24">
        <f t="shared" ref="K90:K153" si="22">(SUMIF($11:$11,J90,$12:$12)-SUMIF($11:$11,$J$24,$12:$12)+100)/100</f>
        <v>1</v>
      </c>
      <c r="L90" s="676"/>
      <c r="M90" s="24">
        <f t="shared" ref="M90:M153" si="23">(SUMIF($13:$13,L90,$14:$14)-SUMIF($13:$13,$L$24,$14:$14)+100)/100</f>
        <v>1</v>
      </c>
      <c r="N90" s="676"/>
      <c r="O90" s="24">
        <f t="shared" ref="O90:O153" si="24">(SUMIF($15:$15,N90,$16:$16)-SUMIF($15:$15,$N$24,$16:$16)+100)/100</f>
        <v>1</v>
      </c>
      <c r="P90" s="676"/>
      <c r="Q90" s="24">
        <f t="shared" ref="Q90:Q153" si="25">(SUMIF($17:$17,P90,$18:$18)-SUMIF($17:$17,$P$24,$18:$18)+100)/100</f>
        <v>1</v>
      </c>
      <c r="R90" s="672">
        <f t="shared" ref="R90:R153" si="26">IF(B90="",0,ROUND($R$24*C90*E90*G90*I90*K90*M90*O90*Q90,0))</f>
        <v>0</v>
      </c>
      <c r="S90" s="322">
        <f t="shared" si="17"/>
        <v>0</v>
      </c>
    </row>
    <row r="91" spans="1:19">
      <c r="A91" s="155"/>
      <c r="B91" s="57"/>
      <c r="C91" s="24">
        <f t="shared" si="18"/>
        <v>1</v>
      </c>
      <c r="D91" s="676"/>
      <c r="E91" s="24">
        <f t="shared" si="19"/>
        <v>1</v>
      </c>
      <c r="F91" s="676"/>
      <c r="G91" s="24">
        <f t="shared" si="20"/>
        <v>1</v>
      </c>
      <c r="H91" s="676"/>
      <c r="I91" s="24">
        <f t="shared" si="21"/>
        <v>1</v>
      </c>
      <c r="J91" s="676"/>
      <c r="K91" s="24">
        <f t="shared" si="22"/>
        <v>1</v>
      </c>
      <c r="L91" s="676"/>
      <c r="M91" s="24">
        <f t="shared" si="23"/>
        <v>1</v>
      </c>
      <c r="N91" s="676"/>
      <c r="O91" s="24">
        <f t="shared" si="24"/>
        <v>1</v>
      </c>
      <c r="P91" s="676"/>
      <c r="Q91" s="24">
        <f t="shared" si="25"/>
        <v>1</v>
      </c>
      <c r="R91" s="672">
        <f t="shared" si="26"/>
        <v>0</v>
      </c>
      <c r="S91" s="322">
        <f t="shared" si="17"/>
        <v>0</v>
      </c>
    </row>
    <row r="92" spans="1:19">
      <c r="A92" s="155"/>
      <c r="B92" s="57"/>
      <c r="C92" s="24">
        <f t="shared" si="18"/>
        <v>1</v>
      </c>
      <c r="D92" s="676"/>
      <c r="E92" s="24">
        <f t="shared" si="19"/>
        <v>1</v>
      </c>
      <c r="F92" s="676"/>
      <c r="G92" s="24">
        <f t="shared" si="20"/>
        <v>1</v>
      </c>
      <c r="H92" s="676"/>
      <c r="I92" s="24">
        <f t="shared" si="21"/>
        <v>1</v>
      </c>
      <c r="J92" s="676"/>
      <c r="K92" s="24">
        <f t="shared" si="22"/>
        <v>1</v>
      </c>
      <c r="L92" s="676"/>
      <c r="M92" s="24">
        <f t="shared" si="23"/>
        <v>1</v>
      </c>
      <c r="N92" s="676"/>
      <c r="O92" s="24">
        <f t="shared" si="24"/>
        <v>1</v>
      </c>
      <c r="P92" s="676"/>
      <c r="Q92" s="24">
        <f t="shared" si="25"/>
        <v>1</v>
      </c>
      <c r="R92" s="672">
        <f t="shared" si="26"/>
        <v>0</v>
      </c>
      <c r="S92" s="322">
        <f t="shared" si="17"/>
        <v>0</v>
      </c>
    </row>
    <row r="93" spans="1:19">
      <c r="A93" s="155"/>
      <c r="B93" s="57"/>
      <c r="C93" s="24">
        <f t="shared" si="18"/>
        <v>1</v>
      </c>
      <c r="D93" s="676"/>
      <c r="E93" s="24">
        <f t="shared" si="19"/>
        <v>1</v>
      </c>
      <c r="F93" s="676"/>
      <c r="G93" s="24">
        <f t="shared" si="20"/>
        <v>1</v>
      </c>
      <c r="H93" s="676"/>
      <c r="I93" s="24">
        <f t="shared" si="21"/>
        <v>1</v>
      </c>
      <c r="J93" s="676"/>
      <c r="K93" s="24">
        <f t="shared" si="22"/>
        <v>1</v>
      </c>
      <c r="L93" s="676"/>
      <c r="M93" s="24">
        <f t="shared" si="23"/>
        <v>1</v>
      </c>
      <c r="N93" s="676"/>
      <c r="O93" s="24">
        <f t="shared" si="24"/>
        <v>1</v>
      </c>
      <c r="P93" s="676"/>
      <c r="Q93" s="24">
        <f t="shared" si="25"/>
        <v>1</v>
      </c>
      <c r="R93" s="672">
        <f t="shared" si="26"/>
        <v>0</v>
      </c>
      <c r="S93" s="322">
        <f t="shared" si="17"/>
        <v>0</v>
      </c>
    </row>
    <row r="94" spans="1:19">
      <c r="A94" s="155"/>
      <c r="B94" s="57"/>
      <c r="C94" s="24">
        <f t="shared" si="18"/>
        <v>1</v>
      </c>
      <c r="D94" s="676"/>
      <c r="E94" s="24">
        <f t="shared" si="19"/>
        <v>1</v>
      </c>
      <c r="F94" s="676"/>
      <c r="G94" s="24">
        <f t="shared" si="20"/>
        <v>1</v>
      </c>
      <c r="H94" s="676"/>
      <c r="I94" s="24">
        <f t="shared" si="21"/>
        <v>1</v>
      </c>
      <c r="J94" s="676"/>
      <c r="K94" s="24">
        <f t="shared" si="22"/>
        <v>1</v>
      </c>
      <c r="L94" s="676"/>
      <c r="M94" s="24">
        <f t="shared" si="23"/>
        <v>1</v>
      </c>
      <c r="N94" s="676"/>
      <c r="O94" s="24">
        <f t="shared" si="24"/>
        <v>1</v>
      </c>
      <c r="P94" s="676"/>
      <c r="Q94" s="24">
        <f t="shared" si="25"/>
        <v>1</v>
      </c>
      <c r="R94" s="672">
        <f t="shared" si="26"/>
        <v>0</v>
      </c>
      <c r="S94" s="322">
        <f t="shared" si="17"/>
        <v>0</v>
      </c>
    </row>
    <row r="95" spans="1:19">
      <c r="A95" s="155"/>
      <c r="B95" s="57"/>
      <c r="C95" s="24">
        <f t="shared" si="18"/>
        <v>1</v>
      </c>
      <c r="D95" s="676"/>
      <c r="E95" s="24">
        <f t="shared" si="19"/>
        <v>1</v>
      </c>
      <c r="F95" s="676"/>
      <c r="G95" s="24">
        <f t="shared" si="20"/>
        <v>1</v>
      </c>
      <c r="H95" s="676"/>
      <c r="I95" s="24">
        <f t="shared" si="21"/>
        <v>1</v>
      </c>
      <c r="J95" s="676"/>
      <c r="K95" s="24">
        <f t="shared" si="22"/>
        <v>1</v>
      </c>
      <c r="L95" s="676"/>
      <c r="M95" s="24">
        <f t="shared" si="23"/>
        <v>1</v>
      </c>
      <c r="N95" s="676"/>
      <c r="O95" s="24">
        <f t="shared" si="24"/>
        <v>1</v>
      </c>
      <c r="P95" s="676"/>
      <c r="Q95" s="24">
        <f t="shared" si="25"/>
        <v>1</v>
      </c>
      <c r="R95" s="672">
        <f t="shared" si="26"/>
        <v>0</v>
      </c>
      <c r="S95" s="322">
        <f t="shared" si="17"/>
        <v>0</v>
      </c>
    </row>
    <row r="96" spans="1:19">
      <c r="A96" s="155"/>
      <c r="B96" s="57"/>
      <c r="C96" s="24">
        <f t="shared" si="18"/>
        <v>1</v>
      </c>
      <c r="D96" s="676"/>
      <c r="E96" s="24">
        <f t="shared" si="19"/>
        <v>1</v>
      </c>
      <c r="F96" s="676"/>
      <c r="G96" s="24">
        <f t="shared" si="20"/>
        <v>1</v>
      </c>
      <c r="H96" s="676"/>
      <c r="I96" s="24">
        <f t="shared" si="21"/>
        <v>1</v>
      </c>
      <c r="J96" s="676"/>
      <c r="K96" s="24">
        <f t="shared" si="22"/>
        <v>1</v>
      </c>
      <c r="L96" s="676"/>
      <c r="M96" s="24">
        <f t="shared" si="23"/>
        <v>1</v>
      </c>
      <c r="N96" s="676"/>
      <c r="O96" s="24">
        <f t="shared" si="24"/>
        <v>1</v>
      </c>
      <c r="P96" s="676"/>
      <c r="Q96" s="24">
        <f t="shared" si="25"/>
        <v>1</v>
      </c>
      <c r="R96" s="672">
        <f t="shared" si="26"/>
        <v>0</v>
      </c>
      <c r="S96" s="322">
        <f t="shared" si="17"/>
        <v>0</v>
      </c>
    </row>
    <row r="97" spans="1:19">
      <c r="A97" s="155"/>
      <c r="B97" s="57"/>
      <c r="C97" s="24">
        <f t="shared" si="18"/>
        <v>1</v>
      </c>
      <c r="D97" s="676"/>
      <c r="E97" s="24">
        <f t="shared" si="19"/>
        <v>1</v>
      </c>
      <c r="F97" s="676"/>
      <c r="G97" s="24">
        <f t="shared" si="20"/>
        <v>1</v>
      </c>
      <c r="H97" s="676"/>
      <c r="I97" s="24">
        <f t="shared" si="21"/>
        <v>1</v>
      </c>
      <c r="J97" s="676"/>
      <c r="K97" s="24">
        <f t="shared" si="22"/>
        <v>1</v>
      </c>
      <c r="L97" s="676"/>
      <c r="M97" s="24">
        <f t="shared" si="23"/>
        <v>1</v>
      </c>
      <c r="N97" s="676"/>
      <c r="O97" s="24">
        <f t="shared" si="24"/>
        <v>1</v>
      </c>
      <c r="P97" s="676"/>
      <c r="Q97" s="24">
        <f t="shared" si="25"/>
        <v>1</v>
      </c>
      <c r="R97" s="672">
        <f t="shared" si="26"/>
        <v>0</v>
      </c>
      <c r="S97" s="322">
        <f t="shared" si="17"/>
        <v>0</v>
      </c>
    </row>
    <row r="98" spans="1:19">
      <c r="A98" s="155"/>
      <c r="B98" s="57"/>
      <c r="C98" s="24">
        <f t="shared" si="18"/>
        <v>1</v>
      </c>
      <c r="D98" s="676"/>
      <c r="E98" s="24">
        <f t="shared" si="19"/>
        <v>1</v>
      </c>
      <c r="F98" s="676"/>
      <c r="G98" s="24">
        <f t="shared" si="20"/>
        <v>1</v>
      </c>
      <c r="H98" s="676"/>
      <c r="I98" s="24">
        <f t="shared" si="21"/>
        <v>1</v>
      </c>
      <c r="J98" s="676"/>
      <c r="K98" s="24">
        <f t="shared" si="22"/>
        <v>1</v>
      </c>
      <c r="L98" s="676"/>
      <c r="M98" s="24">
        <f t="shared" si="23"/>
        <v>1</v>
      </c>
      <c r="N98" s="676"/>
      <c r="O98" s="24">
        <f t="shared" si="24"/>
        <v>1</v>
      </c>
      <c r="P98" s="676"/>
      <c r="Q98" s="24">
        <f t="shared" si="25"/>
        <v>1</v>
      </c>
      <c r="R98" s="672">
        <f t="shared" si="26"/>
        <v>0</v>
      </c>
      <c r="S98" s="322">
        <f t="shared" si="17"/>
        <v>0</v>
      </c>
    </row>
    <row r="99" spans="1:19">
      <c r="A99" s="155"/>
      <c r="B99" s="57"/>
      <c r="C99" s="24">
        <f t="shared" si="18"/>
        <v>1</v>
      </c>
      <c r="D99" s="676"/>
      <c r="E99" s="24">
        <f t="shared" si="19"/>
        <v>1</v>
      </c>
      <c r="F99" s="676"/>
      <c r="G99" s="24">
        <f t="shared" si="20"/>
        <v>1</v>
      </c>
      <c r="H99" s="676"/>
      <c r="I99" s="24">
        <f t="shared" si="21"/>
        <v>1</v>
      </c>
      <c r="J99" s="676"/>
      <c r="K99" s="24">
        <f t="shared" si="22"/>
        <v>1</v>
      </c>
      <c r="L99" s="676"/>
      <c r="M99" s="24">
        <f t="shared" si="23"/>
        <v>1</v>
      </c>
      <c r="N99" s="676"/>
      <c r="O99" s="24">
        <f t="shared" si="24"/>
        <v>1</v>
      </c>
      <c r="P99" s="676"/>
      <c r="Q99" s="24">
        <f t="shared" si="25"/>
        <v>1</v>
      </c>
      <c r="R99" s="672">
        <f t="shared" si="26"/>
        <v>0</v>
      </c>
      <c r="S99" s="322">
        <f t="shared" si="17"/>
        <v>0</v>
      </c>
    </row>
    <row r="100" spans="1:19">
      <c r="A100" s="155"/>
      <c r="B100" s="57"/>
      <c r="C100" s="24">
        <f t="shared" si="18"/>
        <v>1</v>
      </c>
      <c r="D100" s="676"/>
      <c r="E100" s="24">
        <f t="shared" si="19"/>
        <v>1</v>
      </c>
      <c r="F100" s="676"/>
      <c r="G100" s="24">
        <f t="shared" si="20"/>
        <v>1</v>
      </c>
      <c r="H100" s="676"/>
      <c r="I100" s="24">
        <f t="shared" si="21"/>
        <v>1</v>
      </c>
      <c r="J100" s="676"/>
      <c r="K100" s="24">
        <f t="shared" si="22"/>
        <v>1</v>
      </c>
      <c r="L100" s="676"/>
      <c r="M100" s="24">
        <f t="shared" si="23"/>
        <v>1</v>
      </c>
      <c r="N100" s="676"/>
      <c r="O100" s="24">
        <f t="shared" si="24"/>
        <v>1</v>
      </c>
      <c r="P100" s="676"/>
      <c r="Q100" s="24">
        <f t="shared" si="25"/>
        <v>1</v>
      </c>
      <c r="R100" s="672">
        <f t="shared" si="26"/>
        <v>0</v>
      </c>
      <c r="S100" s="322">
        <f t="shared" si="17"/>
        <v>0</v>
      </c>
    </row>
    <row r="101" spans="1:19">
      <c r="A101" s="155"/>
      <c r="B101" s="57"/>
      <c r="C101" s="24">
        <f t="shared" si="18"/>
        <v>1</v>
      </c>
      <c r="D101" s="676"/>
      <c r="E101" s="24">
        <f t="shared" si="19"/>
        <v>1</v>
      </c>
      <c r="F101" s="676"/>
      <c r="G101" s="24">
        <f t="shared" si="20"/>
        <v>1</v>
      </c>
      <c r="H101" s="676"/>
      <c r="I101" s="24">
        <f t="shared" si="21"/>
        <v>1</v>
      </c>
      <c r="J101" s="676"/>
      <c r="K101" s="24">
        <f t="shared" si="22"/>
        <v>1</v>
      </c>
      <c r="L101" s="676"/>
      <c r="M101" s="24">
        <f t="shared" si="23"/>
        <v>1</v>
      </c>
      <c r="N101" s="676"/>
      <c r="O101" s="24">
        <f t="shared" si="24"/>
        <v>1</v>
      </c>
      <c r="P101" s="676"/>
      <c r="Q101" s="24">
        <f t="shared" si="25"/>
        <v>1</v>
      </c>
      <c r="R101" s="672">
        <f t="shared" si="26"/>
        <v>0</v>
      </c>
      <c r="S101" s="322">
        <f t="shared" si="17"/>
        <v>0</v>
      </c>
    </row>
    <row r="102" spans="1:19">
      <c r="A102" s="155"/>
      <c r="B102" s="57"/>
      <c r="C102" s="24">
        <f t="shared" si="18"/>
        <v>1</v>
      </c>
      <c r="D102" s="676"/>
      <c r="E102" s="24">
        <f t="shared" si="19"/>
        <v>1</v>
      </c>
      <c r="F102" s="676"/>
      <c r="G102" s="24">
        <f t="shared" si="20"/>
        <v>1</v>
      </c>
      <c r="H102" s="676"/>
      <c r="I102" s="24">
        <f t="shared" si="21"/>
        <v>1</v>
      </c>
      <c r="J102" s="676"/>
      <c r="K102" s="24">
        <f t="shared" si="22"/>
        <v>1</v>
      </c>
      <c r="L102" s="676"/>
      <c r="M102" s="24">
        <f t="shared" si="23"/>
        <v>1</v>
      </c>
      <c r="N102" s="676"/>
      <c r="O102" s="24">
        <f t="shared" si="24"/>
        <v>1</v>
      </c>
      <c r="P102" s="676"/>
      <c r="Q102" s="24">
        <f t="shared" si="25"/>
        <v>1</v>
      </c>
      <c r="R102" s="672">
        <f t="shared" si="26"/>
        <v>0</v>
      </c>
      <c r="S102" s="322">
        <f t="shared" si="17"/>
        <v>0</v>
      </c>
    </row>
    <row r="103" spans="1:19">
      <c r="A103" s="155"/>
      <c r="B103" s="57"/>
      <c r="C103" s="24">
        <f t="shared" si="18"/>
        <v>1</v>
      </c>
      <c r="D103" s="676"/>
      <c r="E103" s="24">
        <f t="shared" si="19"/>
        <v>1</v>
      </c>
      <c r="F103" s="676"/>
      <c r="G103" s="24">
        <f t="shared" si="20"/>
        <v>1</v>
      </c>
      <c r="H103" s="676"/>
      <c r="I103" s="24">
        <f t="shared" si="21"/>
        <v>1</v>
      </c>
      <c r="J103" s="676"/>
      <c r="K103" s="24">
        <f t="shared" si="22"/>
        <v>1</v>
      </c>
      <c r="L103" s="676"/>
      <c r="M103" s="24">
        <f t="shared" si="23"/>
        <v>1</v>
      </c>
      <c r="N103" s="676"/>
      <c r="O103" s="24">
        <f t="shared" si="24"/>
        <v>1</v>
      </c>
      <c r="P103" s="676"/>
      <c r="Q103" s="24">
        <f t="shared" si="25"/>
        <v>1</v>
      </c>
      <c r="R103" s="672">
        <f t="shared" si="26"/>
        <v>0</v>
      </c>
      <c r="S103" s="322">
        <f t="shared" si="17"/>
        <v>0</v>
      </c>
    </row>
    <row r="104" spans="1:19">
      <c r="A104" s="155"/>
      <c r="B104" s="57"/>
      <c r="C104" s="24">
        <f t="shared" si="18"/>
        <v>1</v>
      </c>
      <c r="D104" s="676"/>
      <c r="E104" s="24">
        <f t="shared" si="19"/>
        <v>1</v>
      </c>
      <c r="F104" s="676"/>
      <c r="G104" s="24">
        <f t="shared" si="20"/>
        <v>1</v>
      </c>
      <c r="H104" s="676"/>
      <c r="I104" s="24">
        <f t="shared" si="21"/>
        <v>1</v>
      </c>
      <c r="J104" s="676"/>
      <c r="K104" s="24">
        <f t="shared" si="22"/>
        <v>1</v>
      </c>
      <c r="L104" s="676"/>
      <c r="M104" s="24">
        <f t="shared" si="23"/>
        <v>1</v>
      </c>
      <c r="N104" s="676"/>
      <c r="O104" s="24">
        <f t="shared" si="24"/>
        <v>1</v>
      </c>
      <c r="P104" s="676"/>
      <c r="Q104" s="24">
        <f t="shared" si="25"/>
        <v>1</v>
      </c>
      <c r="R104" s="672">
        <f t="shared" si="26"/>
        <v>0</v>
      </c>
      <c r="S104" s="322">
        <f t="shared" si="17"/>
        <v>0</v>
      </c>
    </row>
    <row r="105" spans="1:19">
      <c r="A105" s="155"/>
      <c r="B105" s="57"/>
      <c r="C105" s="24">
        <f t="shared" si="18"/>
        <v>1</v>
      </c>
      <c r="D105" s="676"/>
      <c r="E105" s="24">
        <f t="shared" si="19"/>
        <v>1</v>
      </c>
      <c r="F105" s="676"/>
      <c r="G105" s="24">
        <f t="shared" si="20"/>
        <v>1</v>
      </c>
      <c r="H105" s="676"/>
      <c r="I105" s="24">
        <f t="shared" si="21"/>
        <v>1</v>
      </c>
      <c r="J105" s="676"/>
      <c r="K105" s="24">
        <f t="shared" si="22"/>
        <v>1</v>
      </c>
      <c r="L105" s="676"/>
      <c r="M105" s="24">
        <f t="shared" si="23"/>
        <v>1</v>
      </c>
      <c r="N105" s="676"/>
      <c r="O105" s="24">
        <f t="shared" si="24"/>
        <v>1</v>
      </c>
      <c r="P105" s="676"/>
      <c r="Q105" s="24">
        <f t="shared" si="25"/>
        <v>1</v>
      </c>
      <c r="R105" s="672">
        <f t="shared" si="26"/>
        <v>0</v>
      </c>
      <c r="S105" s="322">
        <f t="shared" si="17"/>
        <v>0</v>
      </c>
    </row>
    <row r="106" spans="1:19">
      <c r="A106" s="155"/>
      <c r="B106" s="57"/>
      <c r="C106" s="24">
        <f t="shared" si="18"/>
        <v>1</v>
      </c>
      <c r="D106" s="676"/>
      <c r="E106" s="24">
        <f t="shared" si="19"/>
        <v>1</v>
      </c>
      <c r="F106" s="676"/>
      <c r="G106" s="24">
        <f t="shared" si="20"/>
        <v>1</v>
      </c>
      <c r="H106" s="676"/>
      <c r="I106" s="24">
        <f t="shared" si="21"/>
        <v>1</v>
      </c>
      <c r="J106" s="676"/>
      <c r="K106" s="24">
        <f t="shared" si="22"/>
        <v>1</v>
      </c>
      <c r="L106" s="676"/>
      <c r="M106" s="24">
        <f t="shared" si="23"/>
        <v>1</v>
      </c>
      <c r="N106" s="676"/>
      <c r="O106" s="24">
        <f t="shared" si="24"/>
        <v>1</v>
      </c>
      <c r="P106" s="676"/>
      <c r="Q106" s="24">
        <f t="shared" si="25"/>
        <v>1</v>
      </c>
      <c r="R106" s="672">
        <f t="shared" si="26"/>
        <v>0</v>
      </c>
      <c r="S106" s="322">
        <f t="shared" si="17"/>
        <v>0</v>
      </c>
    </row>
    <row r="107" spans="1:19">
      <c r="A107" s="155"/>
      <c r="B107" s="57"/>
      <c r="C107" s="24">
        <f t="shared" si="18"/>
        <v>1</v>
      </c>
      <c r="D107" s="676"/>
      <c r="E107" s="24">
        <f t="shared" si="19"/>
        <v>1</v>
      </c>
      <c r="F107" s="676"/>
      <c r="G107" s="24">
        <f t="shared" si="20"/>
        <v>1</v>
      </c>
      <c r="H107" s="676"/>
      <c r="I107" s="24">
        <f t="shared" si="21"/>
        <v>1</v>
      </c>
      <c r="J107" s="676"/>
      <c r="K107" s="24">
        <f t="shared" si="22"/>
        <v>1</v>
      </c>
      <c r="L107" s="676"/>
      <c r="M107" s="24">
        <f t="shared" si="23"/>
        <v>1</v>
      </c>
      <c r="N107" s="676"/>
      <c r="O107" s="24">
        <f t="shared" si="24"/>
        <v>1</v>
      </c>
      <c r="P107" s="676"/>
      <c r="Q107" s="24">
        <f t="shared" si="25"/>
        <v>1</v>
      </c>
      <c r="R107" s="672">
        <f t="shared" si="26"/>
        <v>0</v>
      </c>
      <c r="S107" s="322">
        <f t="shared" si="17"/>
        <v>0</v>
      </c>
    </row>
    <row r="108" spans="1:19">
      <c r="A108" s="155"/>
      <c r="B108" s="57"/>
      <c r="C108" s="24">
        <f t="shared" si="18"/>
        <v>1</v>
      </c>
      <c r="D108" s="676"/>
      <c r="E108" s="24">
        <f t="shared" si="19"/>
        <v>1</v>
      </c>
      <c r="F108" s="676"/>
      <c r="G108" s="24">
        <f t="shared" si="20"/>
        <v>1</v>
      </c>
      <c r="H108" s="676"/>
      <c r="I108" s="24">
        <f t="shared" si="21"/>
        <v>1</v>
      </c>
      <c r="J108" s="676"/>
      <c r="K108" s="24">
        <f t="shared" si="22"/>
        <v>1</v>
      </c>
      <c r="L108" s="676"/>
      <c r="M108" s="24">
        <f t="shared" si="23"/>
        <v>1</v>
      </c>
      <c r="N108" s="676"/>
      <c r="O108" s="24">
        <f t="shared" si="24"/>
        <v>1</v>
      </c>
      <c r="P108" s="676"/>
      <c r="Q108" s="24">
        <f t="shared" si="25"/>
        <v>1</v>
      </c>
      <c r="R108" s="672">
        <f t="shared" si="26"/>
        <v>0</v>
      </c>
      <c r="S108" s="322">
        <f t="shared" si="17"/>
        <v>0</v>
      </c>
    </row>
    <row r="109" spans="1:19">
      <c r="A109" s="155"/>
      <c r="B109" s="57"/>
      <c r="C109" s="24">
        <f t="shared" si="18"/>
        <v>1</v>
      </c>
      <c r="D109" s="676"/>
      <c r="E109" s="24">
        <f t="shared" si="19"/>
        <v>1</v>
      </c>
      <c r="F109" s="676"/>
      <c r="G109" s="24">
        <f t="shared" si="20"/>
        <v>1</v>
      </c>
      <c r="H109" s="676"/>
      <c r="I109" s="24">
        <f t="shared" si="21"/>
        <v>1</v>
      </c>
      <c r="J109" s="676"/>
      <c r="K109" s="24">
        <f t="shared" si="22"/>
        <v>1</v>
      </c>
      <c r="L109" s="676"/>
      <c r="M109" s="24">
        <f t="shared" si="23"/>
        <v>1</v>
      </c>
      <c r="N109" s="676"/>
      <c r="O109" s="24">
        <f t="shared" si="24"/>
        <v>1</v>
      </c>
      <c r="P109" s="676"/>
      <c r="Q109" s="24">
        <f t="shared" si="25"/>
        <v>1</v>
      </c>
      <c r="R109" s="672">
        <f t="shared" si="26"/>
        <v>0</v>
      </c>
      <c r="S109" s="322">
        <f t="shared" si="17"/>
        <v>0</v>
      </c>
    </row>
    <row r="110" spans="1:19">
      <c r="A110" s="155"/>
      <c r="B110" s="57"/>
      <c r="C110" s="24">
        <f t="shared" si="18"/>
        <v>1</v>
      </c>
      <c r="D110" s="676"/>
      <c r="E110" s="24">
        <f t="shared" si="19"/>
        <v>1</v>
      </c>
      <c r="F110" s="676"/>
      <c r="G110" s="24">
        <f t="shared" si="20"/>
        <v>1</v>
      </c>
      <c r="H110" s="676"/>
      <c r="I110" s="24">
        <f t="shared" si="21"/>
        <v>1</v>
      </c>
      <c r="J110" s="676"/>
      <c r="K110" s="24">
        <f t="shared" si="22"/>
        <v>1</v>
      </c>
      <c r="L110" s="676"/>
      <c r="M110" s="24">
        <f t="shared" si="23"/>
        <v>1</v>
      </c>
      <c r="N110" s="676"/>
      <c r="O110" s="24">
        <f t="shared" si="24"/>
        <v>1</v>
      </c>
      <c r="P110" s="676"/>
      <c r="Q110" s="24">
        <f t="shared" si="25"/>
        <v>1</v>
      </c>
      <c r="R110" s="672">
        <f t="shared" si="26"/>
        <v>0</v>
      </c>
      <c r="S110" s="322">
        <f t="shared" si="17"/>
        <v>0</v>
      </c>
    </row>
    <row r="111" spans="1:19">
      <c r="A111" s="155"/>
      <c r="B111" s="57"/>
      <c r="C111" s="24">
        <f t="shared" si="18"/>
        <v>1</v>
      </c>
      <c r="D111" s="676"/>
      <c r="E111" s="24">
        <f t="shared" si="19"/>
        <v>1</v>
      </c>
      <c r="F111" s="676"/>
      <c r="G111" s="24">
        <f t="shared" si="20"/>
        <v>1</v>
      </c>
      <c r="H111" s="676"/>
      <c r="I111" s="24">
        <f t="shared" si="21"/>
        <v>1</v>
      </c>
      <c r="J111" s="676"/>
      <c r="K111" s="24">
        <f t="shared" si="22"/>
        <v>1</v>
      </c>
      <c r="L111" s="676"/>
      <c r="M111" s="24">
        <f t="shared" si="23"/>
        <v>1</v>
      </c>
      <c r="N111" s="676"/>
      <c r="O111" s="24">
        <f t="shared" si="24"/>
        <v>1</v>
      </c>
      <c r="P111" s="676"/>
      <c r="Q111" s="24">
        <f t="shared" si="25"/>
        <v>1</v>
      </c>
      <c r="R111" s="672">
        <f t="shared" si="26"/>
        <v>0</v>
      </c>
      <c r="S111" s="322">
        <f t="shared" si="17"/>
        <v>0</v>
      </c>
    </row>
    <row r="112" spans="1:19">
      <c r="A112" s="155"/>
      <c r="B112" s="57"/>
      <c r="C112" s="24">
        <f t="shared" si="18"/>
        <v>1</v>
      </c>
      <c r="D112" s="676"/>
      <c r="E112" s="24">
        <f t="shared" si="19"/>
        <v>1</v>
      </c>
      <c r="F112" s="676"/>
      <c r="G112" s="24">
        <f t="shared" si="20"/>
        <v>1</v>
      </c>
      <c r="H112" s="676"/>
      <c r="I112" s="24">
        <f t="shared" si="21"/>
        <v>1</v>
      </c>
      <c r="J112" s="676"/>
      <c r="K112" s="24">
        <f t="shared" si="22"/>
        <v>1</v>
      </c>
      <c r="L112" s="676"/>
      <c r="M112" s="24">
        <f t="shared" si="23"/>
        <v>1</v>
      </c>
      <c r="N112" s="676"/>
      <c r="O112" s="24">
        <f t="shared" si="24"/>
        <v>1</v>
      </c>
      <c r="P112" s="676"/>
      <c r="Q112" s="24">
        <f t="shared" si="25"/>
        <v>1</v>
      </c>
      <c r="R112" s="672">
        <f t="shared" si="26"/>
        <v>0</v>
      </c>
      <c r="S112" s="322">
        <f t="shared" si="17"/>
        <v>0</v>
      </c>
    </row>
    <row r="113" spans="1:19">
      <c r="A113" s="155"/>
      <c r="B113" s="57"/>
      <c r="C113" s="24">
        <f t="shared" si="18"/>
        <v>1</v>
      </c>
      <c r="D113" s="676"/>
      <c r="E113" s="24">
        <f t="shared" si="19"/>
        <v>1</v>
      </c>
      <c r="F113" s="676"/>
      <c r="G113" s="24">
        <f t="shared" si="20"/>
        <v>1</v>
      </c>
      <c r="H113" s="676"/>
      <c r="I113" s="24">
        <f t="shared" si="21"/>
        <v>1</v>
      </c>
      <c r="J113" s="676"/>
      <c r="K113" s="24">
        <f t="shared" si="22"/>
        <v>1</v>
      </c>
      <c r="L113" s="676"/>
      <c r="M113" s="24">
        <f t="shared" si="23"/>
        <v>1</v>
      </c>
      <c r="N113" s="676"/>
      <c r="O113" s="24">
        <f t="shared" si="24"/>
        <v>1</v>
      </c>
      <c r="P113" s="676"/>
      <c r="Q113" s="24">
        <f t="shared" si="25"/>
        <v>1</v>
      </c>
      <c r="R113" s="672">
        <f t="shared" si="26"/>
        <v>0</v>
      </c>
      <c r="S113" s="322">
        <f t="shared" si="17"/>
        <v>0</v>
      </c>
    </row>
    <row r="114" spans="1:19">
      <c r="A114" s="155"/>
      <c r="B114" s="57"/>
      <c r="C114" s="24">
        <f t="shared" si="18"/>
        <v>1</v>
      </c>
      <c r="D114" s="676"/>
      <c r="E114" s="24">
        <f t="shared" si="19"/>
        <v>1</v>
      </c>
      <c r="F114" s="676"/>
      <c r="G114" s="24">
        <f t="shared" si="20"/>
        <v>1</v>
      </c>
      <c r="H114" s="676"/>
      <c r="I114" s="24">
        <f t="shared" si="21"/>
        <v>1</v>
      </c>
      <c r="J114" s="676"/>
      <c r="K114" s="24">
        <f t="shared" si="22"/>
        <v>1</v>
      </c>
      <c r="L114" s="676"/>
      <c r="M114" s="24">
        <f t="shared" si="23"/>
        <v>1</v>
      </c>
      <c r="N114" s="676"/>
      <c r="O114" s="24">
        <f t="shared" si="24"/>
        <v>1</v>
      </c>
      <c r="P114" s="676"/>
      <c r="Q114" s="24">
        <f t="shared" si="25"/>
        <v>1</v>
      </c>
      <c r="R114" s="672">
        <f t="shared" si="26"/>
        <v>0</v>
      </c>
      <c r="S114" s="322">
        <f t="shared" si="17"/>
        <v>0</v>
      </c>
    </row>
    <row r="115" spans="1:19">
      <c r="A115" s="155"/>
      <c r="B115" s="57"/>
      <c r="C115" s="24">
        <f t="shared" si="18"/>
        <v>1</v>
      </c>
      <c r="D115" s="676"/>
      <c r="E115" s="24">
        <f t="shared" si="19"/>
        <v>1</v>
      </c>
      <c r="F115" s="676"/>
      <c r="G115" s="24">
        <f t="shared" si="20"/>
        <v>1</v>
      </c>
      <c r="H115" s="676"/>
      <c r="I115" s="24">
        <f t="shared" si="21"/>
        <v>1</v>
      </c>
      <c r="J115" s="676"/>
      <c r="K115" s="24">
        <f t="shared" si="22"/>
        <v>1</v>
      </c>
      <c r="L115" s="676"/>
      <c r="M115" s="24">
        <f t="shared" si="23"/>
        <v>1</v>
      </c>
      <c r="N115" s="676"/>
      <c r="O115" s="24">
        <f t="shared" si="24"/>
        <v>1</v>
      </c>
      <c r="P115" s="676"/>
      <c r="Q115" s="24">
        <f t="shared" si="25"/>
        <v>1</v>
      </c>
      <c r="R115" s="672">
        <f t="shared" si="26"/>
        <v>0</v>
      </c>
      <c r="S115" s="322">
        <f t="shared" si="17"/>
        <v>0</v>
      </c>
    </row>
    <row r="116" spans="1:19">
      <c r="A116" s="155"/>
      <c r="B116" s="57"/>
      <c r="C116" s="24">
        <f t="shared" si="18"/>
        <v>1</v>
      </c>
      <c r="D116" s="676"/>
      <c r="E116" s="24">
        <f t="shared" si="19"/>
        <v>1</v>
      </c>
      <c r="F116" s="676"/>
      <c r="G116" s="24">
        <f t="shared" si="20"/>
        <v>1</v>
      </c>
      <c r="H116" s="676"/>
      <c r="I116" s="24">
        <f t="shared" si="21"/>
        <v>1</v>
      </c>
      <c r="J116" s="676"/>
      <c r="K116" s="24">
        <f t="shared" si="22"/>
        <v>1</v>
      </c>
      <c r="L116" s="676"/>
      <c r="M116" s="24">
        <f t="shared" si="23"/>
        <v>1</v>
      </c>
      <c r="N116" s="676"/>
      <c r="O116" s="24">
        <f t="shared" si="24"/>
        <v>1</v>
      </c>
      <c r="P116" s="676"/>
      <c r="Q116" s="24">
        <f t="shared" si="25"/>
        <v>1</v>
      </c>
      <c r="R116" s="672">
        <f t="shared" si="26"/>
        <v>0</v>
      </c>
      <c r="S116" s="322">
        <f t="shared" si="17"/>
        <v>0</v>
      </c>
    </row>
    <row r="117" spans="1:19">
      <c r="A117" s="155"/>
      <c r="B117" s="57"/>
      <c r="C117" s="24">
        <f t="shared" si="18"/>
        <v>1</v>
      </c>
      <c r="D117" s="676"/>
      <c r="E117" s="24">
        <f t="shared" si="19"/>
        <v>1</v>
      </c>
      <c r="F117" s="676"/>
      <c r="G117" s="24">
        <f t="shared" si="20"/>
        <v>1</v>
      </c>
      <c r="H117" s="676"/>
      <c r="I117" s="24">
        <f t="shared" si="21"/>
        <v>1</v>
      </c>
      <c r="J117" s="676"/>
      <c r="K117" s="24">
        <f t="shared" si="22"/>
        <v>1</v>
      </c>
      <c r="L117" s="676"/>
      <c r="M117" s="24">
        <f t="shared" si="23"/>
        <v>1</v>
      </c>
      <c r="N117" s="676"/>
      <c r="O117" s="24">
        <f t="shared" si="24"/>
        <v>1</v>
      </c>
      <c r="P117" s="676"/>
      <c r="Q117" s="24">
        <f t="shared" si="25"/>
        <v>1</v>
      </c>
      <c r="R117" s="672">
        <f t="shared" si="26"/>
        <v>0</v>
      </c>
      <c r="S117" s="322">
        <f t="shared" si="17"/>
        <v>0</v>
      </c>
    </row>
    <row r="118" spans="1:19">
      <c r="A118" s="155"/>
      <c r="B118" s="57"/>
      <c r="C118" s="24">
        <f t="shared" si="18"/>
        <v>1</v>
      </c>
      <c r="D118" s="676"/>
      <c r="E118" s="24">
        <f t="shared" si="19"/>
        <v>1</v>
      </c>
      <c r="F118" s="676"/>
      <c r="G118" s="24">
        <f t="shared" si="20"/>
        <v>1</v>
      </c>
      <c r="H118" s="676"/>
      <c r="I118" s="24">
        <f t="shared" si="21"/>
        <v>1</v>
      </c>
      <c r="J118" s="676"/>
      <c r="K118" s="24">
        <f t="shared" si="22"/>
        <v>1</v>
      </c>
      <c r="L118" s="676"/>
      <c r="M118" s="24">
        <f t="shared" si="23"/>
        <v>1</v>
      </c>
      <c r="N118" s="676"/>
      <c r="O118" s="24">
        <f t="shared" si="24"/>
        <v>1</v>
      </c>
      <c r="P118" s="676"/>
      <c r="Q118" s="24">
        <f t="shared" si="25"/>
        <v>1</v>
      </c>
      <c r="R118" s="672">
        <f t="shared" si="26"/>
        <v>0</v>
      </c>
      <c r="S118" s="322">
        <f t="shared" si="17"/>
        <v>0</v>
      </c>
    </row>
    <row r="119" spans="1:19">
      <c r="A119" s="155"/>
      <c r="B119" s="57"/>
      <c r="C119" s="24">
        <f t="shared" si="18"/>
        <v>1</v>
      </c>
      <c r="D119" s="676"/>
      <c r="E119" s="24">
        <f t="shared" si="19"/>
        <v>1</v>
      </c>
      <c r="F119" s="676"/>
      <c r="G119" s="24">
        <f t="shared" si="20"/>
        <v>1</v>
      </c>
      <c r="H119" s="676"/>
      <c r="I119" s="24">
        <f t="shared" si="21"/>
        <v>1</v>
      </c>
      <c r="J119" s="676"/>
      <c r="K119" s="24">
        <f t="shared" si="22"/>
        <v>1</v>
      </c>
      <c r="L119" s="676"/>
      <c r="M119" s="24">
        <f t="shared" si="23"/>
        <v>1</v>
      </c>
      <c r="N119" s="676"/>
      <c r="O119" s="24">
        <f t="shared" si="24"/>
        <v>1</v>
      </c>
      <c r="P119" s="676"/>
      <c r="Q119" s="24">
        <f t="shared" si="25"/>
        <v>1</v>
      </c>
      <c r="R119" s="672">
        <f t="shared" si="26"/>
        <v>0</v>
      </c>
      <c r="S119" s="322">
        <f t="shared" si="17"/>
        <v>0</v>
      </c>
    </row>
    <row r="120" spans="1:19">
      <c r="A120" s="155"/>
      <c r="B120" s="57"/>
      <c r="C120" s="24">
        <f t="shared" si="18"/>
        <v>1</v>
      </c>
      <c r="D120" s="676"/>
      <c r="E120" s="24">
        <f t="shared" si="19"/>
        <v>1</v>
      </c>
      <c r="F120" s="676"/>
      <c r="G120" s="24">
        <f t="shared" si="20"/>
        <v>1</v>
      </c>
      <c r="H120" s="676"/>
      <c r="I120" s="24">
        <f t="shared" si="21"/>
        <v>1</v>
      </c>
      <c r="J120" s="676"/>
      <c r="K120" s="24">
        <f t="shared" si="22"/>
        <v>1</v>
      </c>
      <c r="L120" s="676"/>
      <c r="M120" s="24">
        <f t="shared" si="23"/>
        <v>1</v>
      </c>
      <c r="N120" s="676"/>
      <c r="O120" s="24">
        <f t="shared" si="24"/>
        <v>1</v>
      </c>
      <c r="P120" s="676"/>
      <c r="Q120" s="24">
        <f t="shared" si="25"/>
        <v>1</v>
      </c>
      <c r="R120" s="672">
        <f t="shared" si="26"/>
        <v>0</v>
      </c>
      <c r="S120" s="322">
        <f t="shared" si="17"/>
        <v>0</v>
      </c>
    </row>
    <row r="121" spans="1:19">
      <c r="A121" s="155"/>
      <c r="B121" s="57"/>
      <c r="C121" s="24">
        <f t="shared" si="18"/>
        <v>1</v>
      </c>
      <c r="D121" s="676"/>
      <c r="E121" s="24">
        <f t="shared" si="19"/>
        <v>1</v>
      </c>
      <c r="F121" s="676"/>
      <c r="G121" s="24">
        <f t="shared" si="20"/>
        <v>1</v>
      </c>
      <c r="H121" s="676"/>
      <c r="I121" s="24">
        <f t="shared" si="21"/>
        <v>1</v>
      </c>
      <c r="J121" s="676"/>
      <c r="K121" s="24">
        <f t="shared" si="22"/>
        <v>1</v>
      </c>
      <c r="L121" s="676"/>
      <c r="M121" s="24">
        <f t="shared" si="23"/>
        <v>1</v>
      </c>
      <c r="N121" s="676"/>
      <c r="O121" s="24">
        <f t="shared" si="24"/>
        <v>1</v>
      </c>
      <c r="P121" s="676"/>
      <c r="Q121" s="24">
        <f t="shared" si="25"/>
        <v>1</v>
      </c>
      <c r="R121" s="672">
        <f t="shared" si="26"/>
        <v>0</v>
      </c>
      <c r="S121" s="322">
        <f t="shared" si="17"/>
        <v>0</v>
      </c>
    </row>
    <row r="122" spans="1:19">
      <c r="A122" s="155"/>
      <c r="B122" s="57"/>
      <c r="C122" s="24">
        <f t="shared" si="18"/>
        <v>1</v>
      </c>
      <c r="D122" s="676"/>
      <c r="E122" s="24">
        <f t="shared" si="19"/>
        <v>1</v>
      </c>
      <c r="F122" s="676"/>
      <c r="G122" s="24">
        <f t="shared" si="20"/>
        <v>1</v>
      </c>
      <c r="H122" s="676"/>
      <c r="I122" s="24">
        <f t="shared" si="21"/>
        <v>1</v>
      </c>
      <c r="J122" s="676"/>
      <c r="K122" s="24">
        <f t="shared" si="22"/>
        <v>1</v>
      </c>
      <c r="L122" s="676"/>
      <c r="M122" s="24">
        <f t="shared" si="23"/>
        <v>1</v>
      </c>
      <c r="N122" s="676"/>
      <c r="O122" s="24">
        <f t="shared" si="24"/>
        <v>1</v>
      </c>
      <c r="P122" s="676"/>
      <c r="Q122" s="24">
        <f t="shared" si="25"/>
        <v>1</v>
      </c>
      <c r="R122" s="672">
        <f t="shared" si="26"/>
        <v>0</v>
      </c>
      <c r="S122" s="322">
        <f t="shared" si="17"/>
        <v>0</v>
      </c>
    </row>
    <row r="123" spans="1:19">
      <c r="A123" s="155"/>
      <c r="B123" s="57"/>
      <c r="C123" s="24">
        <f t="shared" si="18"/>
        <v>1</v>
      </c>
      <c r="D123" s="676"/>
      <c r="E123" s="24">
        <f t="shared" si="19"/>
        <v>1</v>
      </c>
      <c r="F123" s="676"/>
      <c r="G123" s="24">
        <f t="shared" si="20"/>
        <v>1</v>
      </c>
      <c r="H123" s="676"/>
      <c r="I123" s="24">
        <f t="shared" si="21"/>
        <v>1</v>
      </c>
      <c r="J123" s="676"/>
      <c r="K123" s="24">
        <f t="shared" si="22"/>
        <v>1</v>
      </c>
      <c r="L123" s="676"/>
      <c r="M123" s="24">
        <f t="shared" si="23"/>
        <v>1</v>
      </c>
      <c r="N123" s="676"/>
      <c r="O123" s="24">
        <f t="shared" si="24"/>
        <v>1</v>
      </c>
      <c r="P123" s="676"/>
      <c r="Q123" s="24">
        <f t="shared" si="25"/>
        <v>1</v>
      </c>
      <c r="R123" s="672">
        <f t="shared" si="26"/>
        <v>0</v>
      </c>
      <c r="S123" s="322">
        <f t="shared" ref="S123:S186" si="27">ROUND(R123*B123/10000,0)</f>
        <v>0</v>
      </c>
    </row>
    <row r="124" spans="1:19">
      <c r="A124" s="155"/>
      <c r="B124" s="57"/>
      <c r="C124" s="24">
        <f t="shared" si="18"/>
        <v>1</v>
      </c>
      <c r="D124" s="676"/>
      <c r="E124" s="24">
        <f t="shared" si="19"/>
        <v>1</v>
      </c>
      <c r="F124" s="676"/>
      <c r="G124" s="24">
        <f t="shared" si="20"/>
        <v>1</v>
      </c>
      <c r="H124" s="676"/>
      <c r="I124" s="24">
        <f t="shared" si="21"/>
        <v>1</v>
      </c>
      <c r="J124" s="676"/>
      <c r="K124" s="24">
        <f t="shared" si="22"/>
        <v>1</v>
      </c>
      <c r="L124" s="676"/>
      <c r="M124" s="24">
        <f t="shared" si="23"/>
        <v>1</v>
      </c>
      <c r="N124" s="676"/>
      <c r="O124" s="24">
        <f t="shared" si="24"/>
        <v>1</v>
      </c>
      <c r="P124" s="676"/>
      <c r="Q124" s="24">
        <f t="shared" si="25"/>
        <v>1</v>
      </c>
      <c r="R124" s="672">
        <f t="shared" si="26"/>
        <v>0</v>
      </c>
      <c r="S124" s="322">
        <f t="shared" si="27"/>
        <v>0</v>
      </c>
    </row>
    <row r="125" spans="1:19">
      <c r="A125" s="155"/>
      <c r="B125" s="57"/>
      <c r="C125" s="24">
        <f t="shared" si="18"/>
        <v>1</v>
      </c>
      <c r="D125" s="676"/>
      <c r="E125" s="24">
        <f t="shared" si="19"/>
        <v>1</v>
      </c>
      <c r="F125" s="676"/>
      <c r="G125" s="24">
        <f t="shared" si="20"/>
        <v>1</v>
      </c>
      <c r="H125" s="676"/>
      <c r="I125" s="24">
        <f t="shared" si="21"/>
        <v>1</v>
      </c>
      <c r="J125" s="676"/>
      <c r="K125" s="24">
        <f t="shared" si="22"/>
        <v>1</v>
      </c>
      <c r="L125" s="676"/>
      <c r="M125" s="24">
        <f t="shared" si="23"/>
        <v>1</v>
      </c>
      <c r="N125" s="676"/>
      <c r="O125" s="24">
        <f t="shared" si="24"/>
        <v>1</v>
      </c>
      <c r="P125" s="676"/>
      <c r="Q125" s="24">
        <f t="shared" si="25"/>
        <v>1</v>
      </c>
      <c r="R125" s="672">
        <f t="shared" si="26"/>
        <v>0</v>
      </c>
      <c r="S125" s="322">
        <f t="shared" si="27"/>
        <v>0</v>
      </c>
    </row>
    <row r="126" spans="1:19">
      <c r="A126" s="155"/>
      <c r="B126" s="57"/>
      <c r="C126" s="24">
        <f t="shared" si="18"/>
        <v>1</v>
      </c>
      <c r="D126" s="676"/>
      <c r="E126" s="24">
        <f t="shared" si="19"/>
        <v>1</v>
      </c>
      <c r="F126" s="676"/>
      <c r="G126" s="24">
        <f t="shared" si="20"/>
        <v>1</v>
      </c>
      <c r="H126" s="676"/>
      <c r="I126" s="24">
        <f t="shared" si="21"/>
        <v>1</v>
      </c>
      <c r="J126" s="676"/>
      <c r="K126" s="24">
        <f t="shared" si="22"/>
        <v>1</v>
      </c>
      <c r="L126" s="676"/>
      <c r="M126" s="24">
        <f t="shared" si="23"/>
        <v>1</v>
      </c>
      <c r="N126" s="676"/>
      <c r="O126" s="24">
        <f t="shared" si="24"/>
        <v>1</v>
      </c>
      <c r="P126" s="676"/>
      <c r="Q126" s="24">
        <f t="shared" si="25"/>
        <v>1</v>
      </c>
      <c r="R126" s="672">
        <f t="shared" si="26"/>
        <v>0</v>
      </c>
      <c r="S126" s="322">
        <f t="shared" si="27"/>
        <v>0</v>
      </c>
    </row>
    <row r="127" spans="1:19">
      <c r="A127" s="155"/>
      <c r="B127" s="57"/>
      <c r="C127" s="24">
        <f t="shared" si="18"/>
        <v>1</v>
      </c>
      <c r="D127" s="676"/>
      <c r="E127" s="24">
        <f t="shared" si="19"/>
        <v>1</v>
      </c>
      <c r="F127" s="676"/>
      <c r="G127" s="24">
        <f t="shared" si="20"/>
        <v>1</v>
      </c>
      <c r="H127" s="676"/>
      <c r="I127" s="24">
        <f t="shared" si="21"/>
        <v>1</v>
      </c>
      <c r="J127" s="676"/>
      <c r="K127" s="24">
        <f t="shared" si="22"/>
        <v>1</v>
      </c>
      <c r="L127" s="676"/>
      <c r="M127" s="24">
        <f t="shared" si="23"/>
        <v>1</v>
      </c>
      <c r="N127" s="676"/>
      <c r="O127" s="24">
        <f t="shared" si="24"/>
        <v>1</v>
      </c>
      <c r="P127" s="676"/>
      <c r="Q127" s="24">
        <f t="shared" si="25"/>
        <v>1</v>
      </c>
      <c r="R127" s="672">
        <f t="shared" si="26"/>
        <v>0</v>
      </c>
      <c r="S127" s="322">
        <f t="shared" si="27"/>
        <v>0</v>
      </c>
    </row>
    <row r="128" spans="1:19">
      <c r="A128" s="155"/>
      <c r="B128" s="57"/>
      <c r="C128" s="24">
        <f t="shared" si="18"/>
        <v>1</v>
      </c>
      <c r="D128" s="676"/>
      <c r="E128" s="24">
        <f t="shared" si="19"/>
        <v>1</v>
      </c>
      <c r="F128" s="676"/>
      <c r="G128" s="24">
        <f t="shared" si="20"/>
        <v>1</v>
      </c>
      <c r="H128" s="676"/>
      <c r="I128" s="24">
        <f t="shared" si="21"/>
        <v>1</v>
      </c>
      <c r="J128" s="676"/>
      <c r="K128" s="24">
        <f t="shared" si="22"/>
        <v>1</v>
      </c>
      <c r="L128" s="676"/>
      <c r="M128" s="24">
        <f t="shared" si="23"/>
        <v>1</v>
      </c>
      <c r="N128" s="676"/>
      <c r="O128" s="24">
        <f t="shared" si="24"/>
        <v>1</v>
      </c>
      <c r="P128" s="676"/>
      <c r="Q128" s="24">
        <f t="shared" si="25"/>
        <v>1</v>
      </c>
      <c r="R128" s="672">
        <f t="shared" si="26"/>
        <v>0</v>
      </c>
      <c r="S128" s="322">
        <f t="shared" si="27"/>
        <v>0</v>
      </c>
    </row>
    <row r="129" spans="1:19">
      <c r="A129" s="155"/>
      <c r="B129" s="57"/>
      <c r="C129" s="24">
        <f t="shared" si="18"/>
        <v>1</v>
      </c>
      <c r="D129" s="676"/>
      <c r="E129" s="24">
        <f t="shared" si="19"/>
        <v>1</v>
      </c>
      <c r="F129" s="676"/>
      <c r="G129" s="24">
        <f t="shared" si="20"/>
        <v>1</v>
      </c>
      <c r="H129" s="676"/>
      <c r="I129" s="24">
        <f t="shared" si="21"/>
        <v>1</v>
      </c>
      <c r="J129" s="676"/>
      <c r="K129" s="24">
        <f t="shared" si="22"/>
        <v>1</v>
      </c>
      <c r="L129" s="676"/>
      <c r="M129" s="24">
        <f t="shared" si="23"/>
        <v>1</v>
      </c>
      <c r="N129" s="676"/>
      <c r="O129" s="24">
        <f t="shared" si="24"/>
        <v>1</v>
      </c>
      <c r="P129" s="676"/>
      <c r="Q129" s="24">
        <f t="shared" si="25"/>
        <v>1</v>
      </c>
      <c r="R129" s="672">
        <f t="shared" si="26"/>
        <v>0</v>
      </c>
      <c r="S129" s="322">
        <f t="shared" si="27"/>
        <v>0</v>
      </c>
    </row>
    <row r="130" spans="1:19">
      <c r="A130" s="155"/>
      <c r="B130" s="57"/>
      <c r="C130" s="24">
        <f t="shared" si="18"/>
        <v>1</v>
      </c>
      <c r="D130" s="676"/>
      <c r="E130" s="24">
        <f t="shared" si="19"/>
        <v>1</v>
      </c>
      <c r="F130" s="676"/>
      <c r="G130" s="24">
        <f t="shared" si="20"/>
        <v>1</v>
      </c>
      <c r="H130" s="676"/>
      <c r="I130" s="24">
        <f t="shared" si="21"/>
        <v>1</v>
      </c>
      <c r="J130" s="676"/>
      <c r="K130" s="24">
        <f t="shared" si="22"/>
        <v>1</v>
      </c>
      <c r="L130" s="676"/>
      <c r="M130" s="24">
        <f t="shared" si="23"/>
        <v>1</v>
      </c>
      <c r="N130" s="676"/>
      <c r="O130" s="24">
        <f t="shared" si="24"/>
        <v>1</v>
      </c>
      <c r="P130" s="676"/>
      <c r="Q130" s="24">
        <f t="shared" si="25"/>
        <v>1</v>
      </c>
      <c r="R130" s="672">
        <f t="shared" si="26"/>
        <v>0</v>
      </c>
      <c r="S130" s="322">
        <f t="shared" si="27"/>
        <v>0</v>
      </c>
    </row>
    <row r="131" spans="1:19">
      <c r="A131" s="155"/>
      <c r="B131" s="57"/>
      <c r="C131" s="24">
        <f t="shared" si="18"/>
        <v>1</v>
      </c>
      <c r="D131" s="676"/>
      <c r="E131" s="24">
        <f t="shared" si="19"/>
        <v>1</v>
      </c>
      <c r="F131" s="676"/>
      <c r="G131" s="24">
        <f t="shared" si="20"/>
        <v>1</v>
      </c>
      <c r="H131" s="676"/>
      <c r="I131" s="24">
        <f t="shared" si="21"/>
        <v>1</v>
      </c>
      <c r="J131" s="676"/>
      <c r="K131" s="24">
        <f t="shared" si="22"/>
        <v>1</v>
      </c>
      <c r="L131" s="676"/>
      <c r="M131" s="24">
        <f t="shared" si="23"/>
        <v>1</v>
      </c>
      <c r="N131" s="676"/>
      <c r="O131" s="24">
        <f t="shared" si="24"/>
        <v>1</v>
      </c>
      <c r="P131" s="676"/>
      <c r="Q131" s="24">
        <f t="shared" si="25"/>
        <v>1</v>
      </c>
      <c r="R131" s="672">
        <f t="shared" si="26"/>
        <v>0</v>
      </c>
      <c r="S131" s="322">
        <f t="shared" si="27"/>
        <v>0</v>
      </c>
    </row>
    <row r="132" spans="1:19">
      <c r="A132" s="155"/>
      <c r="B132" s="57"/>
      <c r="C132" s="24">
        <f t="shared" si="18"/>
        <v>1</v>
      </c>
      <c r="D132" s="676"/>
      <c r="E132" s="24">
        <f t="shared" si="19"/>
        <v>1</v>
      </c>
      <c r="F132" s="676"/>
      <c r="G132" s="24">
        <f t="shared" si="20"/>
        <v>1</v>
      </c>
      <c r="H132" s="676"/>
      <c r="I132" s="24">
        <f t="shared" si="21"/>
        <v>1</v>
      </c>
      <c r="J132" s="676"/>
      <c r="K132" s="24">
        <f t="shared" si="22"/>
        <v>1</v>
      </c>
      <c r="L132" s="676"/>
      <c r="M132" s="24">
        <f t="shared" si="23"/>
        <v>1</v>
      </c>
      <c r="N132" s="676"/>
      <c r="O132" s="24">
        <f t="shared" si="24"/>
        <v>1</v>
      </c>
      <c r="P132" s="676"/>
      <c r="Q132" s="24">
        <f t="shared" si="25"/>
        <v>1</v>
      </c>
      <c r="R132" s="672">
        <f t="shared" si="26"/>
        <v>0</v>
      </c>
      <c r="S132" s="322">
        <f t="shared" si="27"/>
        <v>0</v>
      </c>
    </row>
    <row r="133" spans="1:19">
      <c r="A133" s="155"/>
      <c r="B133" s="57"/>
      <c r="C133" s="24">
        <f t="shared" si="18"/>
        <v>1</v>
      </c>
      <c r="D133" s="676"/>
      <c r="E133" s="24">
        <f t="shared" si="19"/>
        <v>1</v>
      </c>
      <c r="F133" s="676"/>
      <c r="G133" s="24">
        <f t="shared" si="20"/>
        <v>1</v>
      </c>
      <c r="H133" s="676"/>
      <c r="I133" s="24">
        <f t="shared" si="21"/>
        <v>1</v>
      </c>
      <c r="J133" s="676"/>
      <c r="K133" s="24">
        <f t="shared" si="22"/>
        <v>1</v>
      </c>
      <c r="L133" s="676"/>
      <c r="M133" s="24">
        <f t="shared" si="23"/>
        <v>1</v>
      </c>
      <c r="N133" s="676"/>
      <c r="O133" s="24">
        <f t="shared" si="24"/>
        <v>1</v>
      </c>
      <c r="P133" s="676"/>
      <c r="Q133" s="24">
        <f t="shared" si="25"/>
        <v>1</v>
      </c>
      <c r="R133" s="672">
        <f t="shared" si="26"/>
        <v>0</v>
      </c>
      <c r="S133" s="322">
        <f t="shared" si="27"/>
        <v>0</v>
      </c>
    </row>
    <row r="134" spans="1:19">
      <c r="A134" s="155"/>
      <c r="B134" s="57"/>
      <c r="C134" s="24">
        <f t="shared" si="18"/>
        <v>1</v>
      </c>
      <c r="D134" s="676"/>
      <c r="E134" s="24">
        <f t="shared" si="19"/>
        <v>1</v>
      </c>
      <c r="F134" s="676"/>
      <c r="G134" s="24">
        <f t="shared" si="20"/>
        <v>1</v>
      </c>
      <c r="H134" s="676"/>
      <c r="I134" s="24">
        <f t="shared" si="21"/>
        <v>1</v>
      </c>
      <c r="J134" s="676"/>
      <c r="K134" s="24">
        <f t="shared" si="22"/>
        <v>1</v>
      </c>
      <c r="L134" s="676"/>
      <c r="M134" s="24">
        <f t="shared" si="23"/>
        <v>1</v>
      </c>
      <c r="N134" s="676"/>
      <c r="O134" s="24">
        <f t="shared" si="24"/>
        <v>1</v>
      </c>
      <c r="P134" s="676"/>
      <c r="Q134" s="24">
        <f t="shared" si="25"/>
        <v>1</v>
      </c>
      <c r="R134" s="672">
        <f t="shared" si="26"/>
        <v>0</v>
      </c>
      <c r="S134" s="322">
        <f t="shared" si="27"/>
        <v>0</v>
      </c>
    </row>
    <row r="135" spans="1:19">
      <c r="A135" s="155"/>
      <c r="B135" s="57"/>
      <c r="C135" s="24">
        <f t="shared" si="18"/>
        <v>1</v>
      </c>
      <c r="D135" s="676"/>
      <c r="E135" s="24">
        <f t="shared" si="19"/>
        <v>1</v>
      </c>
      <c r="F135" s="676"/>
      <c r="G135" s="24">
        <f t="shared" si="20"/>
        <v>1</v>
      </c>
      <c r="H135" s="676"/>
      <c r="I135" s="24">
        <f t="shared" si="21"/>
        <v>1</v>
      </c>
      <c r="J135" s="676"/>
      <c r="K135" s="24">
        <f t="shared" si="22"/>
        <v>1</v>
      </c>
      <c r="L135" s="676"/>
      <c r="M135" s="24">
        <f t="shared" si="23"/>
        <v>1</v>
      </c>
      <c r="N135" s="676"/>
      <c r="O135" s="24">
        <f t="shared" si="24"/>
        <v>1</v>
      </c>
      <c r="P135" s="676"/>
      <c r="Q135" s="24">
        <f t="shared" si="25"/>
        <v>1</v>
      </c>
      <c r="R135" s="672">
        <f t="shared" si="26"/>
        <v>0</v>
      </c>
      <c r="S135" s="322">
        <f t="shared" si="27"/>
        <v>0</v>
      </c>
    </row>
    <row r="136" spans="1:19">
      <c r="A136" s="155"/>
      <c r="B136" s="57"/>
      <c r="C136" s="24">
        <f t="shared" si="18"/>
        <v>1</v>
      </c>
      <c r="D136" s="676"/>
      <c r="E136" s="24">
        <f t="shared" si="19"/>
        <v>1</v>
      </c>
      <c r="F136" s="676"/>
      <c r="G136" s="24">
        <f t="shared" si="20"/>
        <v>1</v>
      </c>
      <c r="H136" s="676"/>
      <c r="I136" s="24">
        <f t="shared" si="21"/>
        <v>1</v>
      </c>
      <c r="J136" s="676"/>
      <c r="K136" s="24">
        <f t="shared" si="22"/>
        <v>1</v>
      </c>
      <c r="L136" s="676"/>
      <c r="M136" s="24">
        <f t="shared" si="23"/>
        <v>1</v>
      </c>
      <c r="N136" s="676"/>
      <c r="O136" s="24">
        <f t="shared" si="24"/>
        <v>1</v>
      </c>
      <c r="P136" s="676"/>
      <c r="Q136" s="24">
        <f t="shared" si="25"/>
        <v>1</v>
      </c>
      <c r="R136" s="672">
        <f t="shared" si="26"/>
        <v>0</v>
      </c>
      <c r="S136" s="322">
        <f t="shared" si="27"/>
        <v>0</v>
      </c>
    </row>
    <row r="137" spans="1:19">
      <c r="A137" s="155"/>
      <c r="B137" s="57"/>
      <c r="C137" s="24">
        <f t="shared" si="18"/>
        <v>1</v>
      </c>
      <c r="D137" s="676"/>
      <c r="E137" s="24">
        <f t="shared" si="19"/>
        <v>1</v>
      </c>
      <c r="F137" s="676"/>
      <c r="G137" s="24">
        <f t="shared" si="20"/>
        <v>1</v>
      </c>
      <c r="H137" s="676"/>
      <c r="I137" s="24">
        <f t="shared" si="21"/>
        <v>1</v>
      </c>
      <c r="J137" s="676"/>
      <c r="K137" s="24">
        <f t="shared" si="22"/>
        <v>1</v>
      </c>
      <c r="L137" s="676"/>
      <c r="M137" s="24">
        <f t="shared" si="23"/>
        <v>1</v>
      </c>
      <c r="N137" s="676"/>
      <c r="O137" s="24">
        <f t="shared" si="24"/>
        <v>1</v>
      </c>
      <c r="P137" s="676"/>
      <c r="Q137" s="24">
        <f t="shared" si="25"/>
        <v>1</v>
      </c>
      <c r="R137" s="672">
        <f t="shared" si="26"/>
        <v>0</v>
      </c>
      <c r="S137" s="322">
        <f t="shared" si="27"/>
        <v>0</v>
      </c>
    </row>
    <row r="138" spans="1:19">
      <c r="A138" s="155"/>
      <c r="B138" s="57"/>
      <c r="C138" s="24">
        <f t="shared" si="18"/>
        <v>1</v>
      </c>
      <c r="D138" s="676"/>
      <c r="E138" s="24">
        <f t="shared" si="19"/>
        <v>1</v>
      </c>
      <c r="F138" s="676"/>
      <c r="G138" s="24">
        <f t="shared" si="20"/>
        <v>1</v>
      </c>
      <c r="H138" s="676"/>
      <c r="I138" s="24">
        <f t="shared" si="21"/>
        <v>1</v>
      </c>
      <c r="J138" s="676"/>
      <c r="K138" s="24">
        <f t="shared" si="22"/>
        <v>1</v>
      </c>
      <c r="L138" s="676"/>
      <c r="M138" s="24">
        <f t="shared" si="23"/>
        <v>1</v>
      </c>
      <c r="N138" s="676"/>
      <c r="O138" s="24">
        <f t="shared" si="24"/>
        <v>1</v>
      </c>
      <c r="P138" s="676"/>
      <c r="Q138" s="24">
        <f t="shared" si="25"/>
        <v>1</v>
      </c>
      <c r="R138" s="672">
        <f t="shared" si="26"/>
        <v>0</v>
      </c>
      <c r="S138" s="322">
        <f t="shared" si="27"/>
        <v>0</v>
      </c>
    </row>
    <row r="139" spans="1:19">
      <c r="A139" s="155"/>
      <c r="B139" s="57"/>
      <c r="C139" s="24">
        <f t="shared" si="18"/>
        <v>1</v>
      </c>
      <c r="D139" s="676"/>
      <c r="E139" s="24">
        <f t="shared" si="19"/>
        <v>1</v>
      </c>
      <c r="F139" s="676"/>
      <c r="G139" s="24">
        <f t="shared" si="20"/>
        <v>1</v>
      </c>
      <c r="H139" s="676"/>
      <c r="I139" s="24">
        <f t="shared" si="21"/>
        <v>1</v>
      </c>
      <c r="J139" s="676"/>
      <c r="K139" s="24">
        <f t="shared" si="22"/>
        <v>1</v>
      </c>
      <c r="L139" s="676"/>
      <c r="M139" s="24">
        <f t="shared" si="23"/>
        <v>1</v>
      </c>
      <c r="N139" s="676"/>
      <c r="O139" s="24">
        <f t="shared" si="24"/>
        <v>1</v>
      </c>
      <c r="P139" s="676"/>
      <c r="Q139" s="24">
        <f t="shared" si="25"/>
        <v>1</v>
      </c>
      <c r="R139" s="672">
        <f t="shared" si="26"/>
        <v>0</v>
      </c>
      <c r="S139" s="322">
        <f t="shared" si="27"/>
        <v>0</v>
      </c>
    </row>
    <row r="140" spans="1:19">
      <c r="A140" s="155"/>
      <c r="B140" s="57"/>
      <c r="C140" s="24">
        <f t="shared" si="18"/>
        <v>1</v>
      </c>
      <c r="D140" s="676"/>
      <c r="E140" s="24">
        <f t="shared" si="19"/>
        <v>1</v>
      </c>
      <c r="F140" s="676"/>
      <c r="G140" s="24">
        <f t="shared" si="20"/>
        <v>1</v>
      </c>
      <c r="H140" s="676"/>
      <c r="I140" s="24">
        <f t="shared" si="21"/>
        <v>1</v>
      </c>
      <c r="J140" s="676"/>
      <c r="K140" s="24">
        <f t="shared" si="22"/>
        <v>1</v>
      </c>
      <c r="L140" s="676"/>
      <c r="M140" s="24">
        <f t="shared" si="23"/>
        <v>1</v>
      </c>
      <c r="N140" s="676"/>
      <c r="O140" s="24">
        <f t="shared" si="24"/>
        <v>1</v>
      </c>
      <c r="P140" s="676"/>
      <c r="Q140" s="24">
        <f t="shared" si="25"/>
        <v>1</v>
      </c>
      <c r="R140" s="672">
        <f t="shared" si="26"/>
        <v>0</v>
      </c>
      <c r="S140" s="322">
        <f t="shared" si="27"/>
        <v>0</v>
      </c>
    </row>
    <row r="141" spans="1:19">
      <c r="A141" s="155"/>
      <c r="B141" s="57"/>
      <c r="C141" s="24">
        <f t="shared" si="18"/>
        <v>1</v>
      </c>
      <c r="D141" s="676"/>
      <c r="E141" s="24">
        <f t="shared" si="19"/>
        <v>1</v>
      </c>
      <c r="F141" s="676"/>
      <c r="G141" s="24">
        <f t="shared" si="20"/>
        <v>1</v>
      </c>
      <c r="H141" s="676"/>
      <c r="I141" s="24">
        <f t="shared" si="21"/>
        <v>1</v>
      </c>
      <c r="J141" s="676"/>
      <c r="K141" s="24">
        <f t="shared" si="22"/>
        <v>1</v>
      </c>
      <c r="L141" s="676"/>
      <c r="M141" s="24">
        <f t="shared" si="23"/>
        <v>1</v>
      </c>
      <c r="N141" s="676"/>
      <c r="O141" s="24">
        <f t="shared" si="24"/>
        <v>1</v>
      </c>
      <c r="P141" s="676"/>
      <c r="Q141" s="24">
        <f t="shared" si="25"/>
        <v>1</v>
      </c>
      <c r="R141" s="672">
        <f t="shared" si="26"/>
        <v>0</v>
      </c>
      <c r="S141" s="322">
        <f t="shared" si="27"/>
        <v>0</v>
      </c>
    </row>
    <row r="142" spans="1:19">
      <c r="A142" s="155"/>
      <c r="B142" s="57"/>
      <c r="C142" s="24">
        <f t="shared" si="18"/>
        <v>1</v>
      </c>
      <c r="D142" s="676"/>
      <c r="E142" s="24">
        <f t="shared" si="19"/>
        <v>1</v>
      </c>
      <c r="F142" s="676"/>
      <c r="G142" s="24">
        <f t="shared" si="20"/>
        <v>1</v>
      </c>
      <c r="H142" s="676"/>
      <c r="I142" s="24">
        <f t="shared" si="21"/>
        <v>1</v>
      </c>
      <c r="J142" s="676"/>
      <c r="K142" s="24">
        <f t="shared" si="22"/>
        <v>1</v>
      </c>
      <c r="L142" s="676"/>
      <c r="M142" s="24">
        <f t="shared" si="23"/>
        <v>1</v>
      </c>
      <c r="N142" s="676"/>
      <c r="O142" s="24">
        <f t="shared" si="24"/>
        <v>1</v>
      </c>
      <c r="P142" s="676"/>
      <c r="Q142" s="24">
        <f t="shared" si="25"/>
        <v>1</v>
      </c>
      <c r="R142" s="672">
        <f t="shared" si="26"/>
        <v>0</v>
      </c>
      <c r="S142" s="322">
        <f t="shared" si="27"/>
        <v>0</v>
      </c>
    </row>
    <row r="143" spans="1:19">
      <c r="A143" s="155"/>
      <c r="B143" s="57"/>
      <c r="C143" s="24">
        <f t="shared" si="18"/>
        <v>1</v>
      </c>
      <c r="D143" s="676"/>
      <c r="E143" s="24">
        <f t="shared" si="19"/>
        <v>1</v>
      </c>
      <c r="F143" s="676"/>
      <c r="G143" s="24">
        <f t="shared" si="20"/>
        <v>1</v>
      </c>
      <c r="H143" s="676"/>
      <c r="I143" s="24">
        <f t="shared" si="21"/>
        <v>1</v>
      </c>
      <c r="J143" s="676"/>
      <c r="K143" s="24">
        <f t="shared" si="22"/>
        <v>1</v>
      </c>
      <c r="L143" s="676"/>
      <c r="M143" s="24">
        <f t="shared" si="23"/>
        <v>1</v>
      </c>
      <c r="N143" s="676"/>
      <c r="O143" s="24">
        <f t="shared" si="24"/>
        <v>1</v>
      </c>
      <c r="P143" s="676"/>
      <c r="Q143" s="24">
        <f t="shared" si="25"/>
        <v>1</v>
      </c>
      <c r="R143" s="672">
        <f t="shared" si="26"/>
        <v>0</v>
      </c>
      <c r="S143" s="322">
        <f t="shared" si="27"/>
        <v>0</v>
      </c>
    </row>
    <row r="144" spans="1:19">
      <c r="A144" s="155"/>
      <c r="B144" s="57"/>
      <c r="C144" s="24">
        <f t="shared" si="18"/>
        <v>1</v>
      </c>
      <c r="D144" s="676"/>
      <c r="E144" s="24">
        <f t="shared" si="19"/>
        <v>1</v>
      </c>
      <c r="F144" s="676"/>
      <c r="G144" s="24">
        <f t="shared" si="20"/>
        <v>1</v>
      </c>
      <c r="H144" s="676"/>
      <c r="I144" s="24">
        <f t="shared" si="21"/>
        <v>1</v>
      </c>
      <c r="J144" s="676"/>
      <c r="K144" s="24">
        <f t="shared" si="22"/>
        <v>1</v>
      </c>
      <c r="L144" s="676"/>
      <c r="M144" s="24">
        <f t="shared" si="23"/>
        <v>1</v>
      </c>
      <c r="N144" s="676"/>
      <c r="O144" s="24">
        <f t="shared" si="24"/>
        <v>1</v>
      </c>
      <c r="P144" s="676"/>
      <c r="Q144" s="24">
        <f t="shared" si="25"/>
        <v>1</v>
      </c>
      <c r="R144" s="672">
        <f t="shared" si="26"/>
        <v>0</v>
      </c>
      <c r="S144" s="322">
        <f t="shared" si="27"/>
        <v>0</v>
      </c>
    </row>
    <row r="145" spans="1:19">
      <c r="A145" s="155"/>
      <c r="B145" s="57"/>
      <c r="C145" s="24">
        <f t="shared" si="18"/>
        <v>1</v>
      </c>
      <c r="D145" s="676"/>
      <c r="E145" s="24">
        <f t="shared" si="19"/>
        <v>1</v>
      </c>
      <c r="F145" s="676"/>
      <c r="G145" s="24">
        <f t="shared" si="20"/>
        <v>1</v>
      </c>
      <c r="H145" s="676"/>
      <c r="I145" s="24">
        <f t="shared" si="21"/>
        <v>1</v>
      </c>
      <c r="J145" s="676"/>
      <c r="K145" s="24">
        <f t="shared" si="22"/>
        <v>1</v>
      </c>
      <c r="L145" s="676"/>
      <c r="M145" s="24">
        <f t="shared" si="23"/>
        <v>1</v>
      </c>
      <c r="N145" s="676"/>
      <c r="O145" s="24">
        <f t="shared" si="24"/>
        <v>1</v>
      </c>
      <c r="P145" s="676"/>
      <c r="Q145" s="24">
        <f t="shared" si="25"/>
        <v>1</v>
      </c>
      <c r="R145" s="672">
        <f t="shared" si="26"/>
        <v>0</v>
      </c>
      <c r="S145" s="322">
        <f t="shared" si="27"/>
        <v>0</v>
      </c>
    </row>
    <row r="146" spans="1:19">
      <c r="A146" s="155"/>
      <c r="B146" s="57"/>
      <c r="C146" s="24">
        <f t="shared" si="18"/>
        <v>1</v>
      </c>
      <c r="D146" s="676"/>
      <c r="E146" s="24">
        <f t="shared" si="19"/>
        <v>1</v>
      </c>
      <c r="F146" s="676"/>
      <c r="G146" s="24">
        <f t="shared" si="20"/>
        <v>1</v>
      </c>
      <c r="H146" s="676"/>
      <c r="I146" s="24">
        <f t="shared" si="21"/>
        <v>1</v>
      </c>
      <c r="J146" s="676"/>
      <c r="K146" s="24">
        <f t="shared" si="22"/>
        <v>1</v>
      </c>
      <c r="L146" s="676"/>
      <c r="M146" s="24">
        <f t="shared" si="23"/>
        <v>1</v>
      </c>
      <c r="N146" s="676"/>
      <c r="O146" s="24">
        <f t="shared" si="24"/>
        <v>1</v>
      </c>
      <c r="P146" s="676"/>
      <c r="Q146" s="24">
        <f t="shared" si="25"/>
        <v>1</v>
      </c>
      <c r="R146" s="672">
        <f t="shared" si="26"/>
        <v>0</v>
      </c>
      <c r="S146" s="322">
        <f t="shared" si="27"/>
        <v>0</v>
      </c>
    </row>
    <row r="147" spans="1:19">
      <c r="A147" s="155"/>
      <c r="B147" s="57"/>
      <c r="C147" s="24">
        <f t="shared" si="18"/>
        <v>1</v>
      </c>
      <c r="D147" s="676"/>
      <c r="E147" s="24">
        <f t="shared" si="19"/>
        <v>1</v>
      </c>
      <c r="F147" s="676"/>
      <c r="G147" s="24">
        <f t="shared" si="20"/>
        <v>1</v>
      </c>
      <c r="H147" s="676"/>
      <c r="I147" s="24">
        <f t="shared" si="21"/>
        <v>1</v>
      </c>
      <c r="J147" s="676"/>
      <c r="K147" s="24">
        <f t="shared" si="22"/>
        <v>1</v>
      </c>
      <c r="L147" s="676"/>
      <c r="M147" s="24">
        <f t="shared" si="23"/>
        <v>1</v>
      </c>
      <c r="N147" s="676"/>
      <c r="O147" s="24">
        <f t="shared" si="24"/>
        <v>1</v>
      </c>
      <c r="P147" s="676"/>
      <c r="Q147" s="24">
        <f t="shared" si="25"/>
        <v>1</v>
      </c>
      <c r="R147" s="672">
        <f t="shared" si="26"/>
        <v>0</v>
      </c>
      <c r="S147" s="322">
        <f t="shared" si="27"/>
        <v>0</v>
      </c>
    </row>
    <row r="148" spans="1:19">
      <c r="A148" s="155"/>
      <c r="B148" s="57"/>
      <c r="C148" s="24">
        <f t="shared" si="18"/>
        <v>1</v>
      </c>
      <c r="D148" s="676"/>
      <c r="E148" s="24">
        <f t="shared" si="19"/>
        <v>1</v>
      </c>
      <c r="F148" s="676"/>
      <c r="G148" s="24">
        <f t="shared" si="20"/>
        <v>1</v>
      </c>
      <c r="H148" s="676"/>
      <c r="I148" s="24">
        <f t="shared" si="21"/>
        <v>1</v>
      </c>
      <c r="J148" s="676"/>
      <c r="K148" s="24">
        <f t="shared" si="22"/>
        <v>1</v>
      </c>
      <c r="L148" s="676"/>
      <c r="M148" s="24">
        <f t="shared" si="23"/>
        <v>1</v>
      </c>
      <c r="N148" s="676"/>
      <c r="O148" s="24">
        <f t="shared" si="24"/>
        <v>1</v>
      </c>
      <c r="P148" s="676"/>
      <c r="Q148" s="24">
        <f t="shared" si="25"/>
        <v>1</v>
      </c>
      <c r="R148" s="672">
        <f t="shared" si="26"/>
        <v>0</v>
      </c>
      <c r="S148" s="322">
        <f t="shared" si="27"/>
        <v>0</v>
      </c>
    </row>
    <row r="149" spans="1:19">
      <c r="A149" s="155"/>
      <c r="B149" s="57"/>
      <c r="C149" s="24">
        <f t="shared" si="18"/>
        <v>1</v>
      </c>
      <c r="D149" s="676"/>
      <c r="E149" s="24">
        <f t="shared" si="19"/>
        <v>1</v>
      </c>
      <c r="F149" s="676"/>
      <c r="G149" s="24">
        <f t="shared" si="20"/>
        <v>1</v>
      </c>
      <c r="H149" s="676"/>
      <c r="I149" s="24">
        <f t="shared" si="21"/>
        <v>1</v>
      </c>
      <c r="J149" s="676"/>
      <c r="K149" s="24">
        <f t="shared" si="22"/>
        <v>1</v>
      </c>
      <c r="L149" s="676"/>
      <c r="M149" s="24">
        <f t="shared" si="23"/>
        <v>1</v>
      </c>
      <c r="N149" s="676"/>
      <c r="O149" s="24">
        <f t="shared" si="24"/>
        <v>1</v>
      </c>
      <c r="P149" s="676"/>
      <c r="Q149" s="24">
        <f t="shared" si="25"/>
        <v>1</v>
      </c>
      <c r="R149" s="672">
        <f t="shared" si="26"/>
        <v>0</v>
      </c>
      <c r="S149" s="322">
        <f t="shared" si="27"/>
        <v>0</v>
      </c>
    </row>
    <row r="150" spans="1:19">
      <c r="A150" s="155"/>
      <c r="B150" s="57"/>
      <c r="C150" s="24">
        <f t="shared" si="18"/>
        <v>1</v>
      </c>
      <c r="D150" s="676"/>
      <c r="E150" s="24">
        <f t="shared" si="19"/>
        <v>1</v>
      </c>
      <c r="F150" s="676"/>
      <c r="G150" s="24">
        <f t="shared" si="20"/>
        <v>1</v>
      </c>
      <c r="H150" s="676"/>
      <c r="I150" s="24">
        <f t="shared" si="21"/>
        <v>1</v>
      </c>
      <c r="J150" s="676"/>
      <c r="K150" s="24">
        <f t="shared" si="22"/>
        <v>1</v>
      </c>
      <c r="L150" s="676"/>
      <c r="M150" s="24">
        <f t="shared" si="23"/>
        <v>1</v>
      </c>
      <c r="N150" s="676"/>
      <c r="O150" s="24">
        <f t="shared" si="24"/>
        <v>1</v>
      </c>
      <c r="P150" s="676"/>
      <c r="Q150" s="24">
        <f t="shared" si="25"/>
        <v>1</v>
      </c>
      <c r="R150" s="672">
        <f t="shared" si="26"/>
        <v>0</v>
      </c>
      <c r="S150" s="322">
        <f t="shared" si="27"/>
        <v>0</v>
      </c>
    </row>
    <row r="151" spans="1:19">
      <c r="A151" s="155"/>
      <c r="B151" s="57"/>
      <c r="C151" s="24">
        <f t="shared" si="18"/>
        <v>1</v>
      </c>
      <c r="D151" s="676"/>
      <c r="E151" s="24">
        <f t="shared" si="19"/>
        <v>1</v>
      </c>
      <c r="F151" s="676"/>
      <c r="G151" s="24">
        <f t="shared" si="20"/>
        <v>1</v>
      </c>
      <c r="H151" s="676"/>
      <c r="I151" s="24">
        <f t="shared" si="21"/>
        <v>1</v>
      </c>
      <c r="J151" s="676"/>
      <c r="K151" s="24">
        <f t="shared" si="22"/>
        <v>1</v>
      </c>
      <c r="L151" s="676"/>
      <c r="M151" s="24">
        <f t="shared" si="23"/>
        <v>1</v>
      </c>
      <c r="N151" s="676"/>
      <c r="O151" s="24">
        <f t="shared" si="24"/>
        <v>1</v>
      </c>
      <c r="P151" s="676"/>
      <c r="Q151" s="24">
        <f t="shared" si="25"/>
        <v>1</v>
      </c>
      <c r="R151" s="672">
        <f t="shared" si="26"/>
        <v>0</v>
      </c>
      <c r="S151" s="322">
        <f t="shared" si="27"/>
        <v>0</v>
      </c>
    </row>
    <row r="152" spans="1:19">
      <c r="A152" s="155"/>
      <c r="B152" s="57"/>
      <c r="C152" s="24">
        <f t="shared" si="18"/>
        <v>1</v>
      </c>
      <c r="D152" s="676"/>
      <c r="E152" s="24">
        <f t="shared" si="19"/>
        <v>1</v>
      </c>
      <c r="F152" s="676"/>
      <c r="G152" s="24">
        <f t="shared" si="20"/>
        <v>1</v>
      </c>
      <c r="H152" s="676"/>
      <c r="I152" s="24">
        <f t="shared" si="21"/>
        <v>1</v>
      </c>
      <c r="J152" s="676"/>
      <c r="K152" s="24">
        <f t="shared" si="22"/>
        <v>1</v>
      </c>
      <c r="L152" s="676"/>
      <c r="M152" s="24">
        <f t="shared" si="23"/>
        <v>1</v>
      </c>
      <c r="N152" s="676"/>
      <c r="O152" s="24">
        <f t="shared" si="24"/>
        <v>1</v>
      </c>
      <c r="P152" s="676"/>
      <c r="Q152" s="24">
        <f t="shared" si="25"/>
        <v>1</v>
      </c>
      <c r="R152" s="672">
        <f t="shared" si="26"/>
        <v>0</v>
      </c>
      <c r="S152" s="322">
        <f t="shared" si="27"/>
        <v>0</v>
      </c>
    </row>
    <row r="153" spans="1:19">
      <c r="A153" s="155"/>
      <c r="B153" s="57"/>
      <c r="C153" s="24">
        <f t="shared" si="18"/>
        <v>1</v>
      </c>
      <c r="D153" s="676"/>
      <c r="E153" s="24">
        <f t="shared" si="19"/>
        <v>1</v>
      </c>
      <c r="F153" s="676"/>
      <c r="G153" s="24">
        <f t="shared" si="20"/>
        <v>1</v>
      </c>
      <c r="H153" s="676"/>
      <c r="I153" s="24">
        <f t="shared" si="21"/>
        <v>1</v>
      </c>
      <c r="J153" s="676"/>
      <c r="K153" s="24">
        <f t="shared" si="22"/>
        <v>1</v>
      </c>
      <c r="L153" s="676"/>
      <c r="M153" s="24">
        <f t="shared" si="23"/>
        <v>1</v>
      </c>
      <c r="N153" s="676"/>
      <c r="O153" s="24">
        <f t="shared" si="24"/>
        <v>1</v>
      </c>
      <c r="P153" s="676"/>
      <c r="Q153" s="24">
        <f t="shared" si="25"/>
        <v>1</v>
      </c>
      <c r="R153" s="672">
        <f t="shared" si="26"/>
        <v>0</v>
      </c>
      <c r="S153" s="322">
        <f t="shared" si="27"/>
        <v>0</v>
      </c>
    </row>
    <row r="154" spans="1:19">
      <c r="A154" s="155"/>
      <c r="B154" s="57"/>
      <c r="C154" s="24">
        <f t="shared" ref="C154:C217" si="28">IF(B154="",1,(LOOKUP(B154,$3:$3,$4:$4)-LOOKUP($B$24,$3:$3,$4:$4)+100)/100)</f>
        <v>1</v>
      </c>
      <c r="D154" s="676"/>
      <c r="E154" s="24">
        <f t="shared" ref="E154:E217" si="29">(SUMIF($5:$5,D154,$6:$6)-SUMIF($5:$5,$D$24,$6:$6)+100)/100</f>
        <v>1</v>
      </c>
      <c r="F154" s="676"/>
      <c r="G154" s="24">
        <f t="shared" ref="G154:G217" si="30">(SUMIF($7:$7,F154,$8:$8)-SUMIF($7:$7,$F$24,$8:$8)+100)/100</f>
        <v>1</v>
      </c>
      <c r="H154" s="676"/>
      <c r="I154" s="24">
        <f t="shared" ref="I154:I217" si="31">(SUMIF($9:$9,H154,$10:$10)-SUMIF($9:$9,$H$24,$10:$10)+100)/100</f>
        <v>1</v>
      </c>
      <c r="J154" s="676"/>
      <c r="K154" s="24">
        <f t="shared" ref="K154:K217" si="32">(SUMIF($11:$11,J154,$12:$12)-SUMIF($11:$11,$J$24,$12:$12)+100)/100</f>
        <v>1</v>
      </c>
      <c r="L154" s="676"/>
      <c r="M154" s="24">
        <f t="shared" ref="M154:M217" si="33">(SUMIF($13:$13,L154,$14:$14)-SUMIF($13:$13,$L$24,$14:$14)+100)/100</f>
        <v>1</v>
      </c>
      <c r="N154" s="676"/>
      <c r="O154" s="24">
        <f t="shared" ref="O154:O217" si="34">(SUMIF($15:$15,N154,$16:$16)-SUMIF($15:$15,$N$24,$16:$16)+100)/100</f>
        <v>1</v>
      </c>
      <c r="P154" s="676"/>
      <c r="Q154" s="24">
        <f t="shared" ref="Q154:Q217" si="35">(SUMIF($17:$17,P154,$18:$18)-SUMIF($17:$17,$P$24,$18:$18)+100)/100</f>
        <v>1</v>
      </c>
      <c r="R154" s="672">
        <f t="shared" ref="R154:R217" si="36">IF(B154="",0,ROUND($R$24*C154*E154*G154*I154*K154*M154*O154*Q154,0))</f>
        <v>0</v>
      </c>
      <c r="S154" s="322">
        <f t="shared" si="27"/>
        <v>0</v>
      </c>
    </row>
    <row r="155" spans="1:19">
      <c r="A155" s="155"/>
      <c r="B155" s="57"/>
      <c r="C155" s="24">
        <f t="shared" si="28"/>
        <v>1</v>
      </c>
      <c r="D155" s="676"/>
      <c r="E155" s="24">
        <f t="shared" si="29"/>
        <v>1</v>
      </c>
      <c r="F155" s="676"/>
      <c r="G155" s="24">
        <f t="shared" si="30"/>
        <v>1</v>
      </c>
      <c r="H155" s="676"/>
      <c r="I155" s="24">
        <f t="shared" si="31"/>
        <v>1</v>
      </c>
      <c r="J155" s="676"/>
      <c r="K155" s="24">
        <f t="shared" si="32"/>
        <v>1</v>
      </c>
      <c r="L155" s="676"/>
      <c r="M155" s="24">
        <f t="shared" si="33"/>
        <v>1</v>
      </c>
      <c r="N155" s="676"/>
      <c r="O155" s="24">
        <f t="shared" si="34"/>
        <v>1</v>
      </c>
      <c r="P155" s="676"/>
      <c r="Q155" s="24">
        <f t="shared" si="35"/>
        <v>1</v>
      </c>
      <c r="R155" s="672">
        <f t="shared" si="36"/>
        <v>0</v>
      </c>
      <c r="S155" s="322">
        <f t="shared" si="27"/>
        <v>0</v>
      </c>
    </row>
    <row r="156" spans="1:19">
      <c r="A156" s="155"/>
      <c r="B156" s="57"/>
      <c r="C156" s="24">
        <f t="shared" si="28"/>
        <v>1</v>
      </c>
      <c r="D156" s="676"/>
      <c r="E156" s="24">
        <f t="shared" si="29"/>
        <v>1</v>
      </c>
      <c r="F156" s="676"/>
      <c r="G156" s="24">
        <f t="shared" si="30"/>
        <v>1</v>
      </c>
      <c r="H156" s="676"/>
      <c r="I156" s="24">
        <f t="shared" si="31"/>
        <v>1</v>
      </c>
      <c r="J156" s="676"/>
      <c r="K156" s="24">
        <f t="shared" si="32"/>
        <v>1</v>
      </c>
      <c r="L156" s="676"/>
      <c r="M156" s="24">
        <f t="shared" si="33"/>
        <v>1</v>
      </c>
      <c r="N156" s="676"/>
      <c r="O156" s="24">
        <f t="shared" si="34"/>
        <v>1</v>
      </c>
      <c r="P156" s="676"/>
      <c r="Q156" s="24">
        <f t="shared" si="35"/>
        <v>1</v>
      </c>
      <c r="R156" s="672">
        <f t="shared" si="36"/>
        <v>0</v>
      </c>
      <c r="S156" s="322">
        <f t="shared" si="27"/>
        <v>0</v>
      </c>
    </row>
    <row r="157" spans="1:19">
      <c r="A157" s="155"/>
      <c r="B157" s="57"/>
      <c r="C157" s="24">
        <f t="shared" si="28"/>
        <v>1</v>
      </c>
      <c r="D157" s="676"/>
      <c r="E157" s="24">
        <f t="shared" si="29"/>
        <v>1</v>
      </c>
      <c r="F157" s="676"/>
      <c r="G157" s="24">
        <f t="shared" si="30"/>
        <v>1</v>
      </c>
      <c r="H157" s="676"/>
      <c r="I157" s="24">
        <f t="shared" si="31"/>
        <v>1</v>
      </c>
      <c r="J157" s="676"/>
      <c r="K157" s="24">
        <f t="shared" si="32"/>
        <v>1</v>
      </c>
      <c r="L157" s="676"/>
      <c r="M157" s="24">
        <f t="shared" si="33"/>
        <v>1</v>
      </c>
      <c r="N157" s="676"/>
      <c r="O157" s="24">
        <f t="shared" si="34"/>
        <v>1</v>
      </c>
      <c r="P157" s="676"/>
      <c r="Q157" s="24">
        <f t="shared" si="35"/>
        <v>1</v>
      </c>
      <c r="R157" s="672">
        <f t="shared" si="36"/>
        <v>0</v>
      </c>
      <c r="S157" s="322">
        <f t="shared" si="27"/>
        <v>0</v>
      </c>
    </row>
    <row r="158" spans="1:19">
      <c r="A158" s="155"/>
      <c r="B158" s="57"/>
      <c r="C158" s="24">
        <f t="shared" si="28"/>
        <v>1</v>
      </c>
      <c r="D158" s="676"/>
      <c r="E158" s="24">
        <f t="shared" si="29"/>
        <v>1</v>
      </c>
      <c r="F158" s="676"/>
      <c r="G158" s="24">
        <f t="shared" si="30"/>
        <v>1</v>
      </c>
      <c r="H158" s="676"/>
      <c r="I158" s="24">
        <f t="shared" si="31"/>
        <v>1</v>
      </c>
      <c r="J158" s="676"/>
      <c r="K158" s="24">
        <f t="shared" si="32"/>
        <v>1</v>
      </c>
      <c r="L158" s="676"/>
      <c r="M158" s="24">
        <f t="shared" si="33"/>
        <v>1</v>
      </c>
      <c r="N158" s="676"/>
      <c r="O158" s="24">
        <f t="shared" si="34"/>
        <v>1</v>
      </c>
      <c r="P158" s="676"/>
      <c r="Q158" s="24">
        <f t="shared" si="35"/>
        <v>1</v>
      </c>
      <c r="R158" s="672">
        <f t="shared" si="36"/>
        <v>0</v>
      </c>
      <c r="S158" s="322">
        <f t="shared" si="27"/>
        <v>0</v>
      </c>
    </row>
    <row r="159" spans="1:19">
      <c r="A159" s="155"/>
      <c r="B159" s="57"/>
      <c r="C159" s="24">
        <f t="shared" si="28"/>
        <v>1</v>
      </c>
      <c r="D159" s="676"/>
      <c r="E159" s="24">
        <f t="shared" si="29"/>
        <v>1</v>
      </c>
      <c r="F159" s="676"/>
      <c r="G159" s="24">
        <f t="shared" si="30"/>
        <v>1</v>
      </c>
      <c r="H159" s="676"/>
      <c r="I159" s="24">
        <f t="shared" si="31"/>
        <v>1</v>
      </c>
      <c r="J159" s="676"/>
      <c r="K159" s="24">
        <f t="shared" si="32"/>
        <v>1</v>
      </c>
      <c r="L159" s="676"/>
      <c r="M159" s="24">
        <f t="shared" si="33"/>
        <v>1</v>
      </c>
      <c r="N159" s="676"/>
      <c r="O159" s="24">
        <f t="shared" si="34"/>
        <v>1</v>
      </c>
      <c r="P159" s="676"/>
      <c r="Q159" s="24">
        <f t="shared" si="35"/>
        <v>1</v>
      </c>
      <c r="R159" s="672">
        <f t="shared" si="36"/>
        <v>0</v>
      </c>
      <c r="S159" s="322">
        <f t="shared" si="27"/>
        <v>0</v>
      </c>
    </row>
    <row r="160" spans="1:19">
      <c r="A160" s="155"/>
      <c r="B160" s="57"/>
      <c r="C160" s="24">
        <f t="shared" si="28"/>
        <v>1</v>
      </c>
      <c r="D160" s="676"/>
      <c r="E160" s="24">
        <f t="shared" si="29"/>
        <v>1</v>
      </c>
      <c r="F160" s="676"/>
      <c r="G160" s="24">
        <f t="shared" si="30"/>
        <v>1</v>
      </c>
      <c r="H160" s="676"/>
      <c r="I160" s="24">
        <f t="shared" si="31"/>
        <v>1</v>
      </c>
      <c r="J160" s="676"/>
      <c r="K160" s="24">
        <f t="shared" si="32"/>
        <v>1</v>
      </c>
      <c r="L160" s="676"/>
      <c r="M160" s="24">
        <f t="shared" si="33"/>
        <v>1</v>
      </c>
      <c r="N160" s="676"/>
      <c r="O160" s="24">
        <f t="shared" si="34"/>
        <v>1</v>
      </c>
      <c r="P160" s="676"/>
      <c r="Q160" s="24">
        <f t="shared" si="35"/>
        <v>1</v>
      </c>
      <c r="R160" s="672">
        <f t="shared" si="36"/>
        <v>0</v>
      </c>
      <c r="S160" s="322">
        <f t="shared" si="27"/>
        <v>0</v>
      </c>
    </row>
    <row r="161" spans="1:19">
      <c r="A161" s="155"/>
      <c r="B161" s="57"/>
      <c r="C161" s="24">
        <f t="shared" si="28"/>
        <v>1</v>
      </c>
      <c r="D161" s="676"/>
      <c r="E161" s="24">
        <f t="shared" si="29"/>
        <v>1</v>
      </c>
      <c r="F161" s="676"/>
      <c r="G161" s="24">
        <f t="shared" si="30"/>
        <v>1</v>
      </c>
      <c r="H161" s="676"/>
      <c r="I161" s="24">
        <f t="shared" si="31"/>
        <v>1</v>
      </c>
      <c r="J161" s="676"/>
      <c r="K161" s="24">
        <f t="shared" si="32"/>
        <v>1</v>
      </c>
      <c r="L161" s="676"/>
      <c r="M161" s="24">
        <f t="shared" si="33"/>
        <v>1</v>
      </c>
      <c r="N161" s="676"/>
      <c r="O161" s="24">
        <f t="shared" si="34"/>
        <v>1</v>
      </c>
      <c r="P161" s="676"/>
      <c r="Q161" s="24">
        <f t="shared" si="35"/>
        <v>1</v>
      </c>
      <c r="R161" s="672">
        <f t="shared" si="36"/>
        <v>0</v>
      </c>
      <c r="S161" s="322">
        <f t="shared" si="27"/>
        <v>0</v>
      </c>
    </row>
    <row r="162" spans="1:19">
      <c r="A162" s="155"/>
      <c r="B162" s="57"/>
      <c r="C162" s="24">
        <f t="shared" si="28"/>
        <v>1</v>
      </c>
      <c r="D162" s="676"/>
      <c r="E162" s="24">
        <f t="shared" si="29"/>
        <v>1</v>
      </c>
      <c r="F162" s="676"/>
      <c r="G162" s="24">
        <f t="shared" si="30"/>
        <v>1</v>
      </c>
      <c r="H162" s="676"/>
      <c r="I162" s="24">
        <f t="shared" si="31"/>
        <v>1</v>
      </c>
      <c r="J162" s="676"/>
      <c r="K162" s="24">
        <f t="shared" si="32"/>
        <v>1</v>
      </c>
      <c r="L162" s="676"/>
      <c r="M162" s="24">
        <f t="shared" si="33"/>
        <v>1</v>
      </c>
      <c r="N162" s="676"/>
      <c r="O162" s="24">
        <f t="shared" si="34"/>
        <v>1</v>
      </c>
      <c r="P162" s="676"/>
      <c r="Q162" s="24">
        <f t="shared" si="35"/>
        <v>1</v>
      </c>
      <c r="R162" s="672">
        <f t="shared" si="36"/>
        <v>0</v>
      </c>
      <c r="S162" s="322">
        <f t="shared" si="27"/>
        <v>0</v>
      </c>
    </row>
    <row r="163" spans="1:19">
      <c r="A163" s="155"/>
      <c r="B163" s="57"/>
      <c r="C163" s="24">
        <f t="shared" si="28"/>
        <v>1</v>
      </c>
      <c r="D163" s="676"/>
      <c r="E163" s="24">
        <f t="shared" si="29"/>
        <v>1</v>
      </c>
      <c r="F163" s="676"/>
      <c r="G163" s="24">
        <f t="shared" si="30"/>
        <v>1</v>
      </c>
      <c r="H163" s="676"/>
      <c r="I163" s="24">
        <f t="shared" si="31"/>
        <v>1</v>
      </c>
      <c r="J163" s="676"/>
      <c r="K163" s="24">
        <f t="shared" si="32"/>
        <v>1</v>
      </c>
      <c r="L163" s="676"/>
      <c r="M163" s="24">
        <f t="shared" si="33"/>
        <v>1</v>
      </c>
      <c r="N163" s="676"/>
      <c r="O163" s="24">
        <f t="shared" si="34"/>
        <v>1</v>
      </c>
      <c r="P163" s="676"/>
      <c r="Q163" s="24">
        <f t="shared" si="35"/>
        <v>1</v>
      </c>
      <c r="R163" s="672">
        <f t="shared" si="36"/>
        <v>0</v>
      </c>
      <c r="S163" s="322">
        <f t="shared" si="27"/>
        <v>0</v>
      </c>
    </row>
    <row r="164" spans="1:19">
      <c r="A164" s="155"/>
      <c r="B164" s="57"/>
      <c r="C164" s="24">
        <f t="shared" si="28"/>
        <v>1</v>
      </c>
      <c r="D164" s="676"/>
      <c r="E164" s="24">
        <f t="shared" si="29"/>
        <v>1</v>
      </c>
      <c r="F164" s="676"/>
      <c r="G164" s="24">
        <f t="shared" si="30"/>
        <v>1</v>
      </c>
      <c r="H164" s="676"/>
      <c r="I164" s="24">
        <f t="shared" si="31"/>
        <v>1</v>
      </c>
      <c r="J164" s="676"/>
      <c r="K164" s="24">
        <f t="shared" si="32"/>
        <v>1</v>
      </c>
      <c r="L164" s="676"/>
      <c r="M164" s="24">
        <f t="shared" si="33"/>
        <v>1</v>
      </c>
      <c r="N164" s="676"/>
      <c r="O164" s="24">
        <f t="shared" si="34"/>
        <v>1</v>
      </c>
      <c r="P164" s="676"/>
      <c r="Q164" s="24">
        <f t="shared" si="35"/>
        <v>1</v>
      </c>
      <c r="R164" s="672">
        <f t="shared" si="36"/>
        <v>0</v>
      </c>
      <c r="S164" s="322">
        <f t="shared" si="27"/>
        <v>0</v>
      </c>
    </row>
    <row r="165" spans="1:19">
      <c r="A165" s="155"/>
      <c r="B165" s="57"/>
      <c r="C165" s="24">
        <f t="shared" si="28"/>
        <v>1</v>
      </c>
      <c r="D165" s="676"/>
      <c r="E165" s="24">
        <f t="shared" si="29"/>
        <v>1</v>
      </c>
      <c r="F165" s="676"/>
      <c r="G165" s="24">
        <f t="shared" si="30"/>
        <v>1</v>
      </c>
      <c r="H165" s="676"/>
      <c r="I165" s="24">
        <f t="shared" si="31"/>
        <v>1</v>
      </c>
      <c r="J165" s="676"/>
      <c r="K165" s="24">
        <f t="shared" si="32"/>
        <v>1</v>
      </c>
      <c r="L165" s="676"/>
      <c r="M165" s="24">
        <f t="shared" si="33"/>
        <v>1</v>
      </c>
      <c r="N165" s="676"/>
      <c r="O165" s="24">
        <f t="shared" si="34"/>
        <v>1</v>
      </c>
      <c r="P165" s="676"/>
      <c r="Q165" s="24">
        <f t="shared" si="35"/>
        <v>1</v>
      </c>
      <c r="R165" s="672">
        <f t="shared" si="36"/>
        <v>0</v>
      </c>
      <c r="S165" s="322">
        <f t="shared" si="27"/>
        <v>0</v>
      </c>
    </row>
    <row r="166" spans="1:19">
      <c r="A166" s="155"/>
      <c r="B166" s="57"/>
      <c r="C166" s="24">
        <f t="shared" si="28"/>
        <v>1</v>
      </c>
      <c r="D166" s="676"/>
      <c r="E166" s="24">
        <f t="shared" si="29"/>
        <v>1</v>
      </c>
      <c r="F166" s="676"/>
      <c r="G166" s="24">
        <f t="shared" si="30"/>
        <v>1</v>
      </c>
      <c r="H166" s="676"/>
      <c r="I166" s="24">
        <f t="shared" si="31"/>
        <v>1</v>
      </c>
      <c r="J166" s="676"/>
      <c r="K166" s="24">
        <f t="shared" si="32"/>
        <v>1</v>
      </c>
      <c r="L166" s="676"/>
      <c r="M166" s="24">
        <f t="shared" si="33"/>
        <v>1</v>
      </c>
      <c r="N166" s="676"/>
      <c r="O166" s="24">
        <f t="shared" si="34"/>
        <v>1</v>
      </c>
      <c r="P166" s="676"/>
      <c r="Q166" s="24">
        <f t="shared" si="35"/>
        <v>1</v>
      </c>
      <c r="R166" s="672">
        <f t="shared" si="36"/>
        <v>0</v>
      </c>
      <c r="S166" s="322">
        <f t="shared" si="27"/>
        <v>0</v>
      </c>
    </row>
    <row r="167" spans="1:19">
      <c r="A167" s="155"/>
      <c r="B167" s="57"/>
      <c r="C167" s="24">
        <f t="shared" si="28"/>
        <v>1</v>
      </c>
      <c r="D167" s="676"/>
      <c r="E167" s="24">
        <f t="shared" si="29"/>
        <v>1</v>
      </c>
      <c r="F167" s="676"/>
      <c r="G167" s="24">
        <f t="shared" si="30"/>
        <v>1</v>
      </c>
      <c r="H167" s="676"/>
      <c r="I167" s="24">
        <f t="shared" si="31"/>
        <v>1</v>
      </c>
      <c r="J167" s="676"/>
      <c r="K167" s="24">
        <f t="shared" si="32"/>
        <v>1</v>
      </c>
      <c r="L167" s="676"/>
      <c r="M167" s="24">
        <f t="shared" si="33"/>
        <v>1</v>
      </c>
      <c r="N167" s="676"/>
      <c r="O167" s="24">
        <f t="shared" si="34"/>
        <v>1</v>
      </c>
      <c r="P167" s="676"/>
      <c r="Q167" s="24">
        <f t="shared" si="35"/>
        <v>1</v>
      </c>
      <c r="R167" s="672">
        <f t="shared" si="36"/>
        <v>0</v>
      </c>
      <c r="S167" s="322">
        <f t="shared" si="27"/>
        <v>0</v>
      </c>
    </row>
    <row r="168" spans="1:19">
      <c r="A168" s="155"/>
      <c r="B168" s="57"/>
      <c r="C168" s="24">
        <f t="shared" si="28"/>
        <v>1</v>
      </c>
      <c r="D168" s="676"/>
      <c r="E168" s="24">
        <f t="shared" si="29"/>
        <v>1</v>
      </c>
      <c r="F168" s="676"/>
      <c r="G168" s="24">
        <f t="shared" si="30"/>
        <v>1</v>
      </c>
      <c r="H168" s="676"/>
      <c r="I168" s="24">
        <f t="shared" si="31"/>
        <v>1</v>
      </c>
      <c r="J168" s="676"/>
      <c r="K168" s="24">
        <f t="shared" si="32"/>
        <v>1</v>
      </c>
      <c r="L168" s="676"/>
      <c r="M168" s="24">
        <f t="shared" si="33"/>
        <v>1</v>
      </c>
      <c r="N168" s="676"/>
      <c r="O168" s="24">
        <f t="shared" si="34"/>
        <v>1</v>
      </c>
      <c r="P168" s="676"/>
      <c r="Q168" s="24">
        <f t="shared" si="35"/>
        <v>1</v>
      </c>
      <c r="R168" s="672">
        <f t="shared" si="36"/>
        <v>0</v>
      </c>
      <c r="S168" s="322">
        <f t="shared" si="27"/>
        <v>0</v>
      </c>
    </row>
    <row r="169" spans="1:19">
      <c r="A169" s="155"/>
      <c r="B169" s="57"/>
      <c r="C169" s="24">
        <f t="shared" si="28"/>
        <v>1</v>
      </c>
      <c r="D169" s="676"/>
      <c r="E169" s="24">
        <f t="shared" si="29"/>
        <v>1</v>
      </c>
      <c r="F169" s="676"/>
      <c r="G169" s="24">
        <f t="shared" si="30"/>
        <v>1</v>
      </c>
      <c r="H169" s="676"/>
      <c r="I169" s="24">
        <f t="shared" si="31"/>
        <v>1</v>
      </c>
      <c r="J169" s="676"/>
      <c r="K169" s="24">
        <f t="shared" si="32"/>
        <v>1</v>
      </c>
      <c r="L169" s="676"/>
      <c r="M169" s="24">
        <f t="shared" si="33"/>
        <v>1</v>
      </c>
      <c r="N169" s="676"/>
      <c r="O169" s="24">
        <f t="shared" si="34"/>
        <v>1</v>
      </c>
      <c r="P169" s="676"/>
      <c r="Q169" s="24">
        <f t="shared" si="35"/>
        <v>1</v>
      </c>
      <c r="R169" s="672">
        <f t="shared" si="36"/>
        <v>0</v>
      </c>
      <c r="S169" s="322">
        <f t="shared" si="27"/>
        <v>0</v>
      </c>
    </row>
    <row r="170" spans="1:19">
      <c r="A170" s="155"/>
      <c r="B170" s="57"/>
      <c r="C170" s="24">
        <f t="shared" si="28"/>
        <v>1</v>
      </c>
      <c r="D170" s="676"/>
      <c r="E170" s="24">
        <f t="shared" si="29"/>
        <v>1</v>
      </c>
      <c r="F170" s="676"/>
      <c r="G170" s="24">
        <f t="shared" si="30"/>
        <v>1</v>
      </c>
      <c r="H170" s="676"/>
      <c r="I170" s="24">
        <f t="shared" si="31"/>
        <v>1</v>
      </c>
      <c r="J170" s="676"/>
      <c r="K170" s="24">
        <f t="shared" si="32"/>
        <v>1</v>
      </c>
      <c r="L170" s="676"/>
      <c r="M170" s="24">
        <f t="shared" si="33"/>
        <v>1</v>
      </c>
      <c r="N170" s="676"/>
      <c r="O170" s="24">
        <f t="shared" si="34"/>
        <v>1</v>
      </c>
      <c r="P170" s="676"/>
      <c r="Q170" s="24">
        <f t="shared" si="35"/>
        <v>1</v>
      </c>
      <c r="R170" s="672">
        <f t="shared" si="36"/>
        <v>0</v>
      </c>
      <c r="S170" s="322">
        <f t="shared" si="27"/>
        <v>0</v>
      </c>
    </row>
    <row r="171" spans="1:19">
      <c r="A171" s="155"/>
      <c r="B171" s="57"/>
      <c r="C171" s="24">
        <f t="shared" si="28"/>
        <v>1</v>
      </c>
      <c r="D171" s="676"/>
      <c r="E171" s="24">
        <f t="shared" si="29"/>
        <v>1</v>
      </c>
      <c r="F171" s="676"/>
      <c r="G171" s="24">
        <f t="shared" si="30"/>
        <v>1</v>
      </c>
      <c r="H171" s="676"/>
      <c r="I171" s="24">
        <f t="shared" si="31"/>
        <v>1</v>
      </c>
      <c r="J171" s="676"/>
      <c r="K171" s="24">
        <f t="shared" si="32"/>
        <v>1</v>
      </c>
      <c r="L171" s="676"/>
      <c r="M171" s="24">
        <f t="shared" si="33"/>
        <v>1</v>
      </c>
      <c r="N171" s="676"/>
      <c r="O171" s="24">
        <f t="shared" si="34"/>
        <v>1</v>
      </c>
      <c r="P171" s="676"/>
      <c r="Q171" s="24">
        <f t="shared" si="35"/>
        <v>1</v>
      </c>
      <c r="R171" s="672">
        <f t="shared" si="36"/>
        <v>0</v>
      </c>
      <c r="S171" s="322">
        <f t="shared" si="27"/>
        <v>0</v>
      </c>
    </row>
    <row r="172" spans="1:19">
      <c r="A172" s="155"/>
      <c r="B172" s="57"/>
      <c r="C172" s="24">
        <f t="shared" si="28"/>
        <v>1</v>
      </c>
      <c r="D172" s="676"/>
      <c r="E172" s="24">
        <f t="shared" si="29"/>
        <v>1</v>
      </c>
      <c r="F172" s="676"/>
      <c r="G172" s="24">
        <f t="shared" si="30"/>
        <v>1</v>
      </c>
      <c r="H172" s="676"/>
      <c r="I172" s="24">
        <f t="shared" si="31"/>
        <v>1</v>
      </c>
      <c r="J172" s="676"/>
      <c r="K172" s="24">
        <f t="shared" si="32"/>
        <v>1</v>
      </c>
      <c r="L172" s="676"/>
      <c r="M172" s="24">
        <f t="shared" si="33"/>
        <v>1</v>
      </c>
      <c r="N172" s="676"/>
      <c r="O172" s="24">
        <f t="shared" si="34"/>
        <v>1</v>
      </c>
      <c r="P172" s="676"/>
      <c r="Q172" s="24">
        <f t="shared" si="35"/>
        <v>1</v>
      </c>
      <c r="R172" s="672">
        <f t="shared" si="36"/>
        <v>0</v>
      </c>
      <c r="S172" s="322">
        <f t="shared" si="27"/>
        <v>0</v>
      </c>
    </row>
    <row r="173" spans="1:19">
      <c r="A173" s="155"/>
      <c r="B173" s="57"/>
      <c r="C173" s="24">
        <f t="shared" si="28"/>
        <v>1</v>
      </c>
      <c r="D173" s="676"/>
      <c r="E173" s="24">
        <f t="shared" si="29"/>
        <v>1</v>
      </c>
      <c r="F173" s="676"/>
      <c r="G173" s="24">
        <f t="shared" si="30"/>
        <v>1</v>
      </c>
      <c r="H173" s="676"/>
      <c r="I173" s="24">
        <f t="shared" si="31"/>
        <v>1</v>
      </c>
      <c r="J173" s="676"/>
      <c r="K173" s="24">
        <f t="shared" si="32"/>
        <v>1</v>
      </c>
      <c r="L173" s="676"/>
      <c r="M173" s="24">
        <f t="shared" si="33"/>
        <v>1</v>
      </c>
      <c r="N173" s="676"/>
      <c r="O173" s="24">
        <f t="shared" si="34"/>
        <v>1</v>
      </c>
      <c r="P173" s="676"/>
      <c r="Q173" s="24">
        <f t="shared" si="35"/>
        <v>1</v>
      </c>
      <c r="R173" s="672">
        <f t="shared" si="36"/>
        <v>0</v>
      </c>
      <c r="S173" s="322">
        <f t="shared" si="27"/>
        <v>0</v>
      </c>
    </row>
    <row r="174" spans="1:19">
      <c r="A174" s="155"/>
      <c r="B174" s="57"/>
      <c r="C174" s="24">
        <f t="shared" si="28"/>
        <v>1</v>
      </c>
      <c r="D174" s="676"/>
      <c r="E174" s="24">
        <f t="shared" si="29"/>
        <v>1</v>
      </c>
      <c r="F174" s="676"/>
      <c r="G174" s="24">
        <f t="shared" si="30"/>
        <v>1</v>
      </c>
      <c r="H174" s="676"/>
      <c r="I174" s="24">
        <f t="shared" si="31"/>
        <v>1</v>
      </c>
      <c r="J174" s="676"/>
      <c r="K174" s="24">
        <f t="shared" si="32"/>
        <v>1</v>
      </c>
      <c r="L174" s="676"/>
      <c r="M174" s="24">
        <f t="shared" si="33"/>
        <v>1</v>
      </c>
      <c r="N174" s="676"/>
      <c r="O174" s="24">
        <f t="shared" si="34"/>
        <v>1</v>
      </c>
      <c r="P174" s="676"/>
      <c r="Q174" s="24">
        <f t="shared" si="35"/>
        <v>1</v>
      </c>
      <c r="R174" s="672">
        <f t="shared" si="36"/>
        <v>0</v>
      </c>
      <c r="S174" s="322">
        <f t="shared" si="27"/>
        <v>0</v>
      </c>
    </row>
    <row r="175" spans="1:19">
      <c r="A175" s="155"/>
      <c r="B175" s="57"/>
      <c r="C175" s="24">
        <f t="shared" si="28"/>
        <v>1</v>
      </c>
      <c r="D175" s="676"/>
      <c r="E175" s="24">
        <f t="shared" si="29"/>
        <v>1</v>
      </c>
      <c r="F175" s="676"/>
      <c r="G175" s="24">
        <f t="shared" si="30"/>
        <v>1</v>
      </c>
      <c r="H175" s="676"/>
      <c r="I175" s="24">
        <f t="shared" si="31"/>
        <v>1</v>
      </c>
      <c r="J175" s="676"/>
      <c r="K175" s="24">
        <f t="shared" si="32"/>
        <v>1</v>
      </c>
      <c r="L175" s="676"/>
      <c r="M175" s="24">
        <f t="shared" si="33"/>
        <v>1</v>
      </c>
      <c r="N175" s="676"/>
      <c r="O175" s="24">
        <f t="shared" si="34"/>
        <v>1</v>
      </c>
      <c r="P175" s="676"/>
      <c r="Q175" s="24">
        <f t="shared" si="35"/>
        <v>1</v>
      </c>
      <c r="R175" s="672">
        <f t="shared" si="36"/>
        <v>0</v>
      </c>
      <c r="S175" s="322">
        <f t="shared" si="27"/>
        <v>0</v>
      </c>
    </row>
    <row r="176" spans="1:19">
      <c r="A176" s="155"/>
      <c r="B176" s="57"/>
      <c r="C176" s="24">
        <f t="shared" si="28"/>
        <v>1</v>
      </c>
      <c r="D176" s="676"/>
      <c r="E176" s="24">
        <f t="shared" si="29"/>
        <v>1</v>
      </c>
      <c r="F176" s="676"/>
      <c r="G176" s="24">
        <f t="shared" si="30"/>
        <v>1</v>
      </c>
      <c r="H176" s="676"/>
      <c r="I176" s="24">
        <f t="shared" si="31"/>
        <v>1</v>
      </c>
      <c r="J176" s="676"/>
      <c r="K176" s="24">
        <f t="shared" si="32"/>
        <v>1</v>
      </c>
      <c r="L176" s="676"/>
      <c r="M176" s="24">
        <f t="shared" si="33"/>
        <v>1</v>
      </c>
      <c r="N176" s="676"/>
      <c r="O176" s="24">
        <f t="shared" si="34"/>
        <v>1</v>
      </c>
      <c r="P176" s="676"/>
      <c r="Q176" s="24">
        <f t="shared" si="35"/>
        <v>1</v>
      </c>
      <c r="R176" s="672">
        <f t="shared" si="36"/>
        <v>0</v>
      </c>
      <c r="S176" s="322">
        <f t="shared" si="27"/>
        <v>0</v>
      </c>
    </row>
    <row r="177" spans="1:19">
      <c r="A177" s="155"/>
      <c r="B177" s="57"/>
      <c r="C177" s="24">
        <f t="shared" si="28"/>
        <v>1</v>
      </c>
      <c r="D177" s="676"/>
      <c r="E177" s="24">
        <f t="shared" si="29"/>
        <v>1</v>
      </c>
      <c r="F177" s="676"/>
      <c r="G177" s="24">
        <f t="shared" si="30"/>
        <v>1</v>
      </c>
      <c r="H177" s="676"/>
      <c r="I177" s="24">
        <f t="shared" si="31"/>
        <v>1</v>
      </c>
      <c r="J177" s="676"/>
      <c r="K177" s="24">
        <f t="shared" si="32"/>
        <v>1</v>
      </c>
      <c r="L177" s="676"/>
      <c r="M177" s="24">
        <f t="shared" si="33"/>
        <v>1</v>
      </c>
      <c r="N177" s="676"/>
      <c r="O177" s="24">
        <f t="shared" si="34"/>
        <v>1</v>
      </c>
      <c r="P177" s="676"/>
      <c r="Q177" s="24">
        <f t="shared" si="35"/>
        <v>1</v>
      </c>
      <c r="R177" s="672">
        <f t="shared" si="36"/>
        <v>0</v>
      </c>
      <c r="S177" s="322">
        <f t="shared" si="27"/>
        <v>0</v>
      </c>
    </row>
    <row r="178" spans="1:19">
      <c r="A178" s="155"/>
      <c r="B178" s="57"/>
      <c r="C178" s="24">
        <f t="shared" si="28"/>
        <v>1</v>
      </c>
      <c r="D178" s="676"/>
      <c r="E178" s="24">
        <f t="shared" si="29"/>
        <v>1</v>
      </c>
      <c r="F178" s="676"/>
      <c r="G178" s="24">
        <f t="shared" si="30"/>
        <v>1</v>
      </c>
      <c r="H178" s="676"/>
      <c r="I178" s="24">
        <f t="shared" si="31"/>
        <v>1</v>
      </c>
      <c r="J178" s="676"/>
      <c r="K178" s="24">
        <f t="shared" si="32"/>
        <v>1</v>
      </c>
      <c r="L178" s="676"/>
      <c r="M178" s="24">
        <f t="shared" si="33"/>
        <v>1</v>
      </c>
      <c r="N178" s="676"/>
      <c r="O178" s="24">
        <f t="shared" si="34"/>
        <v>1</v>
      </c>
      <c r="P178" s="676"/>
      <c r="Q178" s="24">
        <f t="shared" si="35"/>
        <v>1</v>
      </c>
      <c r="R178" s="672">
        <f t="shared" si="36"/>
        <v>0</v>
      </c>
      <c r="S178" s="322">
        <f t="shared" si="27"/>
        <v>0</v>
      </c>
    </row>
    <row r="179" spans="1:19">
      <c r="A179" s="155"/>
      <c r="B179" s="57"/>
      <c r="C179" s="24">
        <f t="shared" si="28"/>
        <v>1</v>
      </c>
      <c r="D179" s="676"/>
      <c r="E179" s="24">
        <f t="shared" si="29"/>
        <v>1</v>
      </c>
      <c r="F179" s="676"/>
      <c r="G179" s="24">
        <f t="shared" si="30"/>
        <v>1</v>
      </c>
      <c r="H179" s="676"/>
      <c r="I179" s="24">
        <f t="shared" si="31"/>
        <v>1</v>
      </c>
      <c r="J179" s="676"/>
      <c r="K179" s="24">
        <f t="shared" si="32"/>
        <v>1</v>
      </c>
      <c r="L179" s="676"/>
      <c r="M179" s="24">
        <f t="shared" si="33"/>
        <v>1</v>
      </c>
      <c r="N179" s="676"/>
      <c r="O179" s="24">
        <f t="shared" si="34"/>
        <v>1</v>
      </c>
      <c r="P179" s="676"/>
      <c r="Q179" s="24">
        <f t="shared" si="35"/>
        <v>1</v>
      </c>
      <c r="R179" s="672">
        <f t="shared" si="36"/>
        <v>0</v>
      </c>
      <c r="S179" s="322">
        <f t="shared" si="27"/>
        <v>0</v>
      </c>
    </row>
    <row r="180" spans="1:19">
      <c r="A180" s="155"/>
      <c r="B180" s="57"/>
      <c r="C180" s="24">
        <f t="shared" si="28"/>
        <v>1</v>
      </c>
      <c r="D180" s="676"/>
      <c r="E180" s="24">
        <f t="shared" si="29"/>
        <v>1</v>
      </c>
      <c r="F180" s="676"/>
      <c r="G180" s="24">
        <f t="shared" si="30"/>
        <v>1</v>
      </c>
      <c r="H180" s="676"/>
      <c r="I180" s="24">
        <f t="shared" si="31"/>
        <v>1</v>
      </c>
      <c r="J180" s="676"/>
      <c r="K180" s="24">
        <f t="shared" si="32"/>
        <v>1</v>
      </c>
      <c r="L180" s="676"/>
      <c r="M180" s="24">
        <f t="shared" si="33"/>
        <v>1</v>
      </c>
      <c r="N180" s="676"/>
      <c r="O180" s="24">
        <f t="shared" si="34"/>
        <v>1</v>
      </c>
      <c r="P180" s="676"/>
      <c r="Q180" s="24">
        <f t="shared" si="35"/>
        <v>1</v>
      </c>
      <c r="R180" s="672">
        <f t="shared" si="36"/>
        <v>0</v>
      </c>
      <c r="S180" s="322">
        <f t="shared" si="27"/>
        <v>0</v>
      </c>
    </row>
    <row r="181" spans="1:19">
      <c r="A181" s="155"/>
      <c r="B181" s="57"/>
      <c r="C181" s="24">
        <f t="shared" si="28"/>
        <v>1</v>
      </c>
      <c r="D181" s="676"/>
      <c r="E181" s="24">
        <f t="shared" si="29"/>
        <v>1</v>
      </c>
      <c r="F181" s="676"/>
      <c r="G181" s="24">
        <f t="shared" si="30"/>
        <v>1</v>
      </c>
      <c r="H181" s="676"/>
      <c r="I181" s="24">
        <f t="shared" si="31"/>
        <v>1</v>
      </c>
      <c r="J181" s="676"/>
      <c r="K181" s="24">
        <f t="shared" si="32"/>
        <v>1</v>
      </c>
      <c r="L181" s="676"/>
      <c r="M181" s="24">
        <f t="shared" si="33"/>
        <v>1</v>
      </c>
      <c r="N181" s="676"/>
      <c r="O181" s="24">
        <f t="shared" si="34"/>
        <v>1</v>
      </c>
      <c r="P181" s="676"/>
      <c r="Q181" s="24">
        <f t="shared" si="35"/>
        <v>1</v>
      </c>
      <c r="R181" s="672">
        <f t="shared" si="36"/>
        <v>0</v>
      </c>
      <c r="S181" s="322">
        <f t="shared" si="27"/>
        <v>0</v>
      </c>
    </row>
    <row r="182" spans="1:19">
      <c r="A182" s="155"/>
      <c r="B182" s="57"/>
      <c r="C182" s="24">
        <f t="shared" si="28"/>
        <v>1</v>
      </c>
      <c r="D182" s="676"/>
      <c r="E182" s="24">
        <f t="shared" si="29"/>
        <v>1</v>
      </c>
      <c r="F182" s="676"/>
      <c r="G182" s="24">
        <f t="shared" si="30"/>
        <v>1</v>
      </c>
      <c r="H182" s="676"/>
      <c r="I182" s="24">
        <f t="shared" si="31"/>
        <v>1</v>
      </c>
      <c r="J182" s="676"/>
      <c r="K182" s="24">
        <f t="shared" si="32"/>
        <v>1</v>
      </c>
      <c r="L182" s="676"/>
      <c r="M182" s="24">
        <f t="shared" si="33"/>
        <v>1</v>
      </c>
      <c r="N182" s="676"/>
      <c r="O182" s="24">
        <f t="shared" si="34"/>
        <v>1</v>
      </c>
      <c r="P182" s="676"/>
      <c r="Q182" s="24">
        <f t="shared" si="35"/>
        <v>1</v>
      </c>
      <c r="R182" s="672">
        <f t="shared" si="36"/>
        <v>0</v>
      </c>
      <c r="S182" s="322">
        <f t="shared" si="27"/>
        <v>0</v>
      </c>
    </row>
    <row r="183" spans="1:19">
      <c r="A183" s="155"/>
      <c r="B183" s="57"/>
      <c r="C183" s="24">
        <f t="shared" si="28"/>
        <v>1</v>
      </c>
      <c r="D183" s="676"/>
      <c r="E183" s="24">
        <f t="shared" si="29"/>
        <v>1</v>
      </c>
      <c r="F183" s="676"/>
      <c r="G183" s="24">
        <f t="shared" si="30"/>
        <v>1</v>
      </c>
      <c r="H183" s="676"/>
      <c r="I183" s="24">
        <f t="shared" si="31"/>
        <v>1</v>
      </c>
      <c r="J183" s="676"/>
      <c r="K183" s="24">
        <f t="shared" si="32"/>
        <v>1</v>
      </c>
      <c r="L183" s="676"/>
      <c r="M183" s="24">
        <f t="shared" si="33"/>
        <v>1</v>
      </c>
      <c r="N183" s="676"/>
      <c r="O183" s="24">
        <f t="shared" si="34"/>
        <v>1</v>
      </c>
      <c r="P183" s="676"/>
      <c r="Q183" s="24">
        <f t="shared" si="35"/>
        <v>1</v>
      </c>
      <c r="R183" s="672">
        <f t="shared" si="36"/>
        <v>0</v>
      </c>
      <c r="S183" s="322">
        <f t="shared" si="27"/>
        <v>0</v>
      </c>
    </row>
    <row r="184" spans="1:19">
      <c r="A184" s="155"/>
      <c r="B184" s="57"/>
      <c r="C184" s="24">
        <f t="shared" si="28"/>
        <v>1</v>
      </c>
      <c r="D184" s="676"/>
      <c r="E184" s="24">
        <f t="shared" si="29"/>
        <v>1</v>
      </c>
      <c r="F184" s="676"/>
      <c r="G184" s="24">
        <f t="shared" si="30"/>
        <v>1</v>
      </c>
      <c r="H184" s="676"/>
      <c r="I184" s="24">
        <f t="shared" si="31"/>
        <v>1</v>
      </c>
      <c r="J184" s="676"/>
      <c r="K184" s="24">
        <f t="shared" si="32"/>
        <v>1</v>
      </c>
      <c r="L184" s="676"/>
      <c r="M184" s="24">
        <f t="shared" si="33"/>
        <v>1</v>
      </c>
      <c r="N184" s="676"/>
      <c r="O184" s="24">
        <f t="shared" si="34"/>
        <v>1</v>
      </c>
      <c r="P184" s="676"/>
      <c r="Q184" s="24">
        <f t="shared" si="35"/>
        <v>1</v>
      </c>
      <c r="R184" s="672">
        <f t="shared" si="36"/>
        <v>0</v>
      </c>
      <c r="S184" s="322">
        <f t="shared" si="27"/>
        <v>0</v>
      </c>
    </row>
    <row r="185" spans="1:19">
      <c r="A185" s="155"/>
      <c r="B185" s="57"/>
      <c r="C185" s="24">
        <f t="shared" si="28"/>
        <v>1</v>
      </c>
      <c r="D185" s="676"/>
      <c r="E185" s="24">
        <f t="shared" si="29"/>
        <v>1</v>
      </c>
      <c r="F185" s="676"/>
      <c r="G185" s="24">
        <f t="shared" si="30"/>
        <v>1</v>
      </c>
      <c r="H185" s="676"/>
      <c r="I185" s="24">
        <f t="shared" si="31"/>
        <v>1</v>
      </c>
      <c r="J185" s="676"/>
      <c r="K185" s="24">
        <f t="shared" si="32"/>
        <v>1</v>
      </c>
      <c r="L185" s="676"/>
      <c r="M185" s="24">
        <f t="shared" si="33"/>
        <v>1</v>
      </c>
      <c r="N185" s="676"/>
      <c r="O185" s="24">
        <f t="shared" si="34"/>
        <v>1</v>
      </c>
      <c r="P185" s="676"/>
      <c r="Q185" s="24">
        <f t="shared" si="35"/>
        <v>1</v>
      </c>
      <c r="R185" s="672">
        <f t="shared" si="36"/>
        <v>0</v>
      </c>
      <c r="S185" s="322">
        <f t="shared" si="27"/>
        <v>0</v>
      </c>
    </row>
    <row r="186" spans="1:19">
      <c r="A186" s="155"/>
      <c r="B186" s="57"/>
      <c r="C186" s="24">
        <f t="shared" si="28"/>
        <v>1</v>
      </c>
      <c r="D186" s="676"/>
      <c r="E186" s="24">
        <f t="shared" si="29"/>
        <v>1</v>
      </c>
      <c r="F186" s="676"/>
      <c r="G186" s="24">
        <f t="shared" si="30"/>
        <v>1</v>
      </c>
      <c r="H186" s="676"/>
      <c r="I186" s="24">
        <f t="shared" si="31"/>
        <v>1</v>
      </c>
      <c r="J186" s="676"/>
      <c r="K186" s="24">
        <f t="shared" si="32"/>
        <v>1</v>
      </c>
      <c r="L186" s="676"/>
      <c r="M186" s="24">
        <f t="shared" si="33"/>
        <v>1</v>
      </c>
      <c r="N186" s="676"/>
      <c r="O186" s="24">
        <f t="shared" si="34"/>
        <v>1</v>
      </c>
      <c r="P186" s="676"/>
      <c r="Q186" s="24">
        <f t="shared" si="35"/>
        <v>1</v>
      </c>
      <c r="R186" s="672">
        <f t="shared" si="36"/>
        <v>0</v>
      </c>
      <c r="S186" s="322">
        <f t="shared" si="27"/>
        <v>0</v>
      </c>
    </row>
    <row r="187" spans="1:19">
      <c r="A187" s="155"/>
      <c r="B187" s="57"/>
      <c r="C187" s="24">
        <f t="shared" si="28"/>
        <v>1</v>
      </c>
      <c r="D187" s="676"/>
      <c r="E187" s="24">
        <f t="shared" si="29"/>
        <v>1</v>
      </c>
      <c r="F187" s="676"/>
      <c r="G187" s="24">
        <f t="shared" si="30"/>
        <v>1</v>
      </c>
      <c r="H187" s="676"/>
      <c r="I187" s="24">
        <f t="shared" si="31"/>
        <v>1</v>
      </c>
      <c r="J187" s="676"/>
      <c r="K187" s="24">
        <f t="shared" si="32"/>
        <v>1</v>
      </c>
      <c r="L187" s="676"/>
      <c r="M187" s="24">
        <f t="shared" si="33"/>
        <v>1</v>
      </c>
      <c r="N187" s="676"/>
      <c r="O187" s="24">
        <f t="shared" si="34"/>
        <v>1</v>
      </c>
      <c r="P187" s="676"/>
      <c r="Q187" s="24">
        <f t="shared" si="35"/>
        <v>1</v>
      </c>
      <c r="R187" s="672">
        <f t="shared" si="36"/>
        <v>0</v>
      </c>
      <c r="S187" s="322">
        <f t="shared" ref="S187:S222" si="37">ROUND(R187*B187/10000,0)</f>
        <v>0</v>
      </c>
    </row>
    <row r="188" spans="1:19">
      <c r="A188" s="155"/>
      <c r="B188" s="57"/>
      <c r="C188" s="24">
        <f t="shared" si="28"/>
        <v>1</v>
      </c>
      <c r="D188" s="676"/>
      <c r="E188" s="24">
        <f t="shared" si="29"/>
        <v>1</v>
      </c>
      <c r="F188" s="676"/>
      <c r="G188" s="24">
        <f t="shared" si="30"/>
        <v>1</v>
      </c>
      <c r="H188" s="676"/>
      <c r="I188" s="24">
        <f t="shared" si="31"/>
        <v>1</v>
      </c>
      <c r="J188" s="676"/>
      <c r="K188" s="24">
        <f t="shared" si="32"/>
        <v>1</v>
      </c>
      <c r="L188" s="676"/>
      <c r="M188" s="24">
        <f t="shared" si="33"/>
        <v>1</v>
      </c>
      <c r="N188" s="676"/>
      <c r="O188" s="24">
        <f t="shared" si="34"/>
        <v>1</v>
      </c>
      <c r="P188" s="676"/>
      <c r="Q188" s="24">
        <f t="shared" si="35"/>
        <v>1</v>
      </c>
      <c r="R188" s="672">
        <f t="shared" si="36"/>
        <v>0</v>
      </c>
      <c r="S188" s="322">
        <f t="shared" si="37"/>
        <v>0</v>
      </c>
    </row>
    <row r="189" spans="1:19">
      <c r="A189" s="155"/>
      <c r="B189" s="57"/>
      <c r="C189" s="24">
        <f t="shared" si="28"/>
        <v>1</v>
      </c>
      <c r="D189" s="676"/>
      <c r="E189" s="24">
        <f t="shared" si="29"/>
        <v>1</v>
      </c>
      <c r="F189" s="676"/>
      <c r="G189" s="24">
        <f t="shared" si="30"/>
        <v>1</v>
      </c>
      <c r="H189" s="676"/>
      <c r="I189" s="24">
        <f t="shared" si="31"/>
        <v>1</v>
      </c>
      <c r="J189" s="676"/>
      <c r="K189" s="24">
        <f t="shared" si="32"/>
        <v>1</v>
      </c>
      <c r="L189" s="676"/>
      <c r="M189" s="24">
        <f t="shared" si="33"/>
        <v>1</v>
      </c>
      <c r="N189" s="676"/>
      <c r="O189" s="24">
        <f t="shared" si="34"/>
        <v>1</v>
      </c>
      <c r="P189" s="676"/>
      <c r="Q189" s="24">
        <f t="shared" si="35"/>
        <v>1</v>
      </c>
      <c r="R189" s="672">
        <f t="shared" si="36"/>
        <v>0</v>
      </c>
      <c r="S189" s="322">
        <f t="shared" si="37"/>
        <v>0</v>
      </c>
    </row>
    <row r="190" spans="1:19">
      <c r="A190" s="155"/>
      <c r="B190" s="57"/>
      <c r="C190" s="24">
        <f t="shared" si="28"/>
        <v>1</v>
      </c>
      <c r="D190" s="676"/>
      <c r="E190" s="24">
        <f t="shared" si="29"/>
        <v>1</v>
      </c>
      <c r="F190" s="676"/>
      <c r="G190" s="24">
        <f t="shared" si="30"/>
        <v>1</v>
      </c>
      <c r="H190" s="676"/>
      <c r="I190" s="24">
        <f t="shared" si="31"/>
        <v>1</v>
      </c>
      <c r="J190" s="676"/>
      <c r="K190" s="24">
        <f t="shared" si="32"/>
        <v>1</v>
      </c>
      <c r="L190" s="676"/>
      <c r="M190" s="24">
        <f t="shared" si="33"/>
        <v>1</v>
      </c>
      <c r="N190" s="676"/>
      <c r="O190" s="24">
        <f t="shared" si="34"/>
        <v>1</v>
      </c>
      <c r="P190" s="676"/>
      <c r="Q190" s="24">
        <f t="shared" si="35"/>
        <v>1</v>
      </c>
      <c r="R190" s="672">
        <f t="shared" si="36"/>
        <v>0</v>
      </c>
      <c r="S190" s="322">
        <f t="shared" si="37"/>
        <v>0</v>
      </c>
    </row>
    <row r="191" spans="1:19">
      <c r="A191" s="155"/>
      <c r="B191" s="57"/>
      <c r="C191" s="24">
        <f t="shared" si="28"/>
        <v>1</v>
      </c>
      <c r="D191" s="676"/>
      <c r="E191" s="24">
        <f t="shared" si="29"/>
        <v>1</v>
      </c>
      <c r="F191" s="676"/>
      <c r="G191" s="24">
        <f t="shared" si="30"/>
        <v>1</v>
      </c>
      <c r="H191" s="676"/>
      <c r="I191" s="24">
        <f t="shared" si="31"/>
        <v>1</v>
      </c>
      <c r="J191" s="676"/>
      <c r="K191" s="24">
        <f t="shared" si="32"/>
        <v>1</v>
      </c>
      <c r="L191" s="676"/>
      <c r="M191" s="24">
        <f t="shared" si="33"/>
        <v>1</v>
      </c>
      <c r="N191" s="676"/>
      <c r="O191" s="24">
        <f t="shared" si="34"/>
        <v>1</v>
      </c>
      <c r="P191" s="676"/>
      <c r="Q191" s="24">
        <f t="shared" si="35"/>
        <v>1</v>
      </c>
      <c r="R191" s="672">
        <f t="shared" si="36"/>
        <v>0</v>
      </c>
      <c r="S191" s="322">
        <f t="shared" si="37"/>
        <v>0</v>
      </c>
    </row>
    <row r="192" spans="1:19">
      <c r="A192" s="155"/>
      <c r="B192" s="57"/>
      <c r="C192" s="24">
        <f t="shared" si="28"/>
        <v>1</v>
      </c>
      <c r="D192" s="676"/>
      <c r="E192" s="24">
        <f t="shared" si="29"/>
        <v>1</v>
      </c>
      <c r="F192" s="676"/>
      <c r="G192" s="24">
        <f t="shared" si="30"/>
        <v>1</v>
      </c>
      <c r="H192" s="676"/>
      <c r="I192" s="24">
        <f t="shared" si="31"/>
        <v>1</v>
      </c>
      <c r="J192" s="676"/>
      <c r="K192" s="24">
        <f t="shared" si="32"/>
        <v>1</v>
      </c>
      <c r="L192" s="676"/>
      <c r="M192" s="24">
        <f t="shared" si="33"/>
        <v>1</v>
      </c>
      <c r="N192" s="676"/>
      <c r="O192" s="24">
        <f t="shared" si="34"/>
        <v>1</v>
      </c>
      <c r="P192" s="676"/>
      <c r="Q192" s="24">
        <f t="shared" si="35"/>
        <v>1</v>
      </c>
      <c r="R192" s="672">
        <f t="shared" si="36"/>
        <v>0</v>
      </c>
      <c r="S192" s="322">
        <f t="shared" si="37"/>
        <v>0</v>
      </c>
    </row>
    <row r="193" spans="1:19">
      <c r="A193" s="155"/>
      <c r="B193" s="57"/>
      <c r="C193" s="24">
        <f t="shared" si="28"/>
        <v>1</v>
      </c>
      <c r="D193" s="676"/>
      <c r="E193" s="24">
        <f t="shared" si="29"/>
        <v>1</v>
      </c>
      <c r="F193" s="676"/>
      <c r="G193" s="24">
        <f t="shared" si="30"/>
        <v>1</v>
      </c>
      <c r="H193" s="676"/>
      <c r="I193" s="24">
        <f t="shared" si="31"/>
        <v>1</v>
      </c>
      <c r="J193" s="676"/>
      <c r="K193" s="24">
        <f t="shared" si="32"/>
        <v>1</v>
      </c>
      <c r="L193" s="676"/>
      <c r="M193" s="24">
        <f t="shared" si="33"/>
        <v>1</v>
      </c>
      <c r="N193" s="676"/>
      <c r="O193" s="24">
        <f t="shared" si="34"/>
        <v>1</v>
      </c>
      <c r="P193" s="676"/>
      <c r="Q193" s="24">
        <f t="shared" si="35"/>
        <v>1</v>
      </c>
      <c r="R193" s="672">
        <f t="shared" si="36"/>
        <v>0</v>
      </c>
      <c r="S193" s="322">
        <f t="shared" si="37"/>
        <v>0</v>
      </c>
    </row>
    <row r="194" spans="1:19">
      <c r="A194" s="155"/>
      <c r="B194" s="57"/>
      <c r="C194" s="24">
        <f t="shared" si="28"/>
        <v>1</v>
      </c>
      <c r="D194" s="676"/>
      <c r="E194" s="24">
        <f t="shared" si="29"/>
        <v>1</v>
      </c>
      <c r="F194" s="676"/>
      <c r="G194" s="24">
        <f t="shared" si="30"/>
        <v>1</v>
      </c>
      <c r="H194" s="676"/>
      <c r="I194" s="24">
        <f t="shared" si="31"/>
        <v>1</v>
      </c>
      <c r="J194" s="676"/>
      <c r="K194" s="24">
        <f t="shared" si="32"/>
        <v>1</v>
      </c>
      <c r="L194" s="676"/>
      <c r="M194" s="24">
        <f t="shared" si="33"/>
        <v>1</v>
      </c>
      <c r="N194" s="676"/>
      <c r="O194" s="24">
        <f t="shared" si="34"/>
        <v>1</v>
      </c>
      <c r="P194" s="676"/>
      <c r="Q194" s="24">
        <f t="shared" si="35"/>
        <v>1</v>
      </c>
      <c r="R194" s="672">
        <f t="shared" si="36"/>
        <v>0</v>
      </c>
      <c r="S194" s="322">
        <f t="shared" si="37"/>
        <v>0</v>
      </c>
    </row>
    <row r="195" spans="1:19">
      <c r="A195" s="155"/>
      <c r="B195" s="57"/>
      <c r="C195" s="24">
        <f t="shared" si="28"/>
        <v>1</v>
      </c>
      <c r="D195" s="676"/>
      <c r="E195" s="24">
        <f t="shared" si="29"/>
        <v>1</v>
      </c>
      <c r="F195" s="676"/>
      <c r="G195" s="24">
        <f t="shared" si="30"/>
        <v>1</v>
      </c>
      <c r="H195" s="676"/>
      <c r="I195" s="24">
        <f t="shared" si="31"/>
        <v>1</v>
      </c>
      <c r="J195" s="676"/>
      <c r="K195" s="24">
        <f t="shared" si="32"/>
        <v>1</v>
      </c>
      <c r="L195" s="676"/>
      <c r="M195" s="24">
        <f t="shared" si="33"/>
        <v>1</v>
      </c>
      <c r="N195" s="676"/>
      <c r="O195" s="24">
        <f t="shared" si="34"/>
        <v>1</v>
      </c>
      <c r="P195" s="676"/>
      <c r="Q195" s="24">
        <f t="shared" si="35"/>
        <v>1</v>
      </c>
      <c r="R195" s="672">
        <f t="shared" si="36"/>
        <v>0</v>
      </c>
      <c r="S195" s="322">
        <f t="shared" si="37"/>
        <v>0</v>
      </c>
    </row>
    <row r="196" spans="1:19">
      <c r="A196" s="155"/>
      <c r="B196" s="57"/>
      <c r="C196" s="24">
        <f t="shared" si="28"/>
        <v>1</v>
      </c>
      <c r="D196" s="676"/>
      <c r="E196" s="24">
        <f t="shared" si="29"/>
        <v>1</v>
      </c>
      <c r="F196" s="676"/>
      <c r="G196" s="24">
        <f t="shared" si="30"/>
        <v>1</v>
      </c>
      <c r="H196" s="676"/>
      <c r="I196" s="24">
        <f t="shared" si="31"/>
        <v>1</v>
      </c>
      <c r="J196" s="676"/>
      <c r="K196" s="24">
        <f t="shared" si="32"/>
        <v>1</v>
      </c>
      <c r="L196" s="676"/>
      <c r="M196" s="24">
        <f t="shared" si="33"/>
        <v>1</v>
      </c>
      <c r="N196" s="676"/>
      <c r="O196" s="24">
        <f t="shared" si="34"/>
        <v>1</v>
      </c>
      <c r="P196" s="676"/>
      <c r="Q196" s="24">
        <f t="shared" si="35"/>
        <v>1</v>
      </c>
      <c r="R196" s="672">
        <f t="shared" si="36"/>
        <v>0</v>
      </c>
      <c r="S196" s="322">
        <f t="shared" si="37"/>
        <v>0</v>
      </c>
    </row>
    <row r="197" spans="1:19">
      <c r="A197" s="155"/>
      <c r="B197" s="57"/>
      <c r="C197" s="24">
        <f t="shared" si="28"/>
        <v>1</v>
      </c>
      <c r="D197" s="676"/>
      <c r="E197" s="24">
        <f t="shared" si="29"/>
        <v>1</v>
      </c>
      <c r="F197" s="676"/>
      <c r="G197" s="24">
        <f t="shared" si="30"/>
        <v>1</v>
      </c>
      <c r="H197" s="676"/>
      <c r="I197" s="24">
        <f t="shared" si="31"/>
        <v>1</v>
      </c>
      <c r="J197" s="676"/>
      <c r="K197" s="24">
        <f t="shared" si="32"/>
        <v>1</v>
      </c>
      <c r="L197" s="676"/>
      <c r="M197" s="24">
        <f t="shared" si="33"/>
        <v>1</v>
      </c>
      <c r="N197" s="676"/>
      <c r="O197" s="24">
        <f t="shared" si="34"/>
        <v>1</v>
      </c>
      <c r="P197" s="676"/>
      <c r="Q197" s="24">
        <f t="shared" si="35"/>
        <v>1</v>
      </c>
      <c r="R197" s="672">
        <f t="shared" si="36"/>
        <v>0</v>
      </c>
      <c r="S197" s="322">
        <f t="shared" si="37"/>
        <v>0</v>
      </c>
    </row>
    <row r="198" spans="1:19">
      <c r="A198" s="155"/>
      <c r="B198" s="57"/>
      <c r="C198" s="24">
        <f t="shared" si="28"/>
        <v>1</v>
      </c>
      <c r="D198" s="676"/>
      <c r="E198" s="24">
        <f t="shared" si="29"/>
        <v>1</v>
      </c>
      <c r="F198" s="676"/>
      <c r="G198" s="24">
        <f t="shared" si="30"/>
        <v>1</v>
      </c>
      <c r="H198" s="676"/>
      <c r="I198" s="24">
        <f t="shared" si="31"/>
        <v>1</v>
      </c>
      <c r="J198" s="676"/>
      <c r="K198" s="24">
        <f t="shared" si="32"/>
        <v>1</v>
      </c>
      <c r="L198" s="676"/>
      <c r="M198" s="24">
        <f t="shared" si="33"/>
        <v>1</v>
      </c>
      <c r="N198" s="676"/>
      <c r="O198" s="24">
        <f t="shared" si="34"/>
        <v>1</v>
      </c>
      <c r="P198" s="676"/>
      <c r="Q198" s="24">
        <f t="shared" si="35"/>
        <v>1</v>
      </c>
      <c r="R198" s="672">
        <f t="shared" si="36"/>
        <v>0</v>
      </c>
      <c r="S198" s="322">
        <f t="shared" si="37"/>
        <v>0</v>
      </c>
    </row>
    <row r="199" spans="1:19">
      <c r="A199" s="155"/>
      <c r="B199" s="57"/>
      <c r="C199" s="24">
        <f t="shared" si="28"/>
        <v>1</v>
      </c>
      <c r="D199" s="676"/>
      <c r="E199" s="24">
        <f t="shared" si="29"/>
        <v>1</v>
      </c>
      <c r="F199" s="676"/>
      <c r="G199" s="24">
        <f t="shared" si="30"/>
        <v>1</v>
      </c>
      <c r="H199" s="676"/>
      <c r="I199" s="24">
        <f t="shared" si="31"/>
        <v>1</v>
      </c>
      <c r="J199" s="676"/>
      <c r="K199" s="24">
        <f t="shared" si="32"/>
        <v>1</v>
      </c>
      <c r="L199" s="676"/>
      <c r="M199" s="24">
        <f t="shared" si="33"/>
        <v>1</v>
      </c>
      <c r="N199" s="676"/>
      <c r="O199" s="24">
        <f t="shared" si="34"/>
        <v>1</v>
      </c>
      <c r="P199" s="676"/>
      <c r="Q199" s="24">
        <f t="shared" si="35"/>
        <v>1</v>
      </c>
      <c r="R199" s="672">
        <f t="shared" si="36"/>
        <v>0</v>
      </c>
      <c r="S199" s="322">
        <f t="shared" si="37"/>
        <v>0</v>
      </c>
    </row>
    <row r="200" spans="1:19">
      <c r="A200" s="155"/>
      <c r="B200" s="57"/>
      <c r="C200" s="24">
        <f t="shared" si="28"/>
        <v>1</v>
      </c>
      <c r="D200" s="676"/>
      <c r="E200" s="24">
        <f t="shared" si="29"/>
        <v>1</v>
      </c>
      <c r="F200" s="676"/>
      <c r="G200" s="24">
        <f t="shared" si="30"/>
        <v>1</v>
      </c>
      <c r="H200" s="676"/>
      <c r="I200" s="24">
        <f t="shared" si="31"/>
        <v>1</v>
      </c>
      <c r="J200" s="676"/>
      <c r="K200" s="24">
        <f t="shared" si="32"/>
        <v>1</v>
      </c>
      <c r="L200" s="676"/>
      <c r="M200" s="24">
        <f t="shared" si="33"/>
        <v>1</v>
      </c>
      <c r="N200" s="676"/>
      <c r="O200" s="24">
        <f t="shared" si="34"/>
        <v>1</v>
      </c>
      <c r="P200" s="676"/>
      <c r="Q200" s="24">
        <f t="shared" si="35"/>
        <v>1</v>
      </c>
      <c r="R200" s="672">
        <f t="shared" si="36"/>
        <v>0</v>
      </c>
      <c r="S200" s="322">
        <f t="shared" si="37"/>
        <v>0</v>
      </c>
    </row>
    <row r="201" spans="1:19">
      <c r="A201" s="155"/>
      <c r="B201" s="57"/>
      <c r="C201" s="24">
        <f t="shared" si="28"/>
        <v>1</v>
      </c>
      <c r="D201" s="676"/>
      <c r="E201" s="24">
        <f t="shared" si="29"/>
        <v>1</v>
      </c>
      <c r="F201" s="676"/>
      <c r="G201" s="24">
        <f t="shared" si="30"/>
        <v>1</v>
      </c>
      <c r="H201" s="676"/>
      <c r="I201" s="24">
        <f t="shared" si="31"/>
        <v>1</v>
      </c>
      <c r="J201" s="676"/>
      <c r="K201" s="24">
        <f t="shared" si="32"/>
        <v>1</v>
      </c>
      <c r="L201" s="676"/>
      <c r="M201" s="24">
        <f t="shared" si="33"/>
        <v>1</v>
      </c>
      <c r="N201" s="676"/>
      <c r="O201" s="24">
        <f t="shared" si="34"/>
        <v>1</v>
      </c>
      <c r="P201" s="676"/>
      <c r="Q201" s="24">
        <f t="shared" si="35"/>
        <v>1</v>
      </c>
      <c r="R201" s="672">
        <f t="shared" si="36"/>
        <v>0</v>
      </c>
      <c r="S201" s="322">
        <f t="shared" si="37"/>
        <v>0</v>
      </c>
    </row>
    <row r="202" spans="1:19">
      <c r="A202" s="155"/>
      <c r="B202" s="57"/>
      <c r="C202" s="24">
        <f t="shared" si="28"/>
        <v>1</v>
      </c>
      <c r="D202" s="676"/>
      <c r="E202" s="24">
        <f t="shared" si="29"/>
        <v>1</v>
      </c>
      <c r="F202" s="676"/>
      <c r="G202" s="24">
        <f t="shared" si="30"/>
        <v>1</v>
      </c>
      <c r="H202" s="676"/>
      <c r="I202" s="24">
        <f t="shared" si="31"/>
        <v>1</v>
      </c>
      <c r="J202" s="676"/>
      <c r="K202" s="24">
        <f t="shared" si="32"/>
        <v>1</v>
      </c>
      <c r="L202" s="676"/>
      <c r="M202" s="24">
        <f t="shared" si="33"/>
        <v>1</v>
      </c>
      <c r="N202" s="676"/>
      <c r="O202" s="24">
        <f t="shared" si="34"/>
        <v>1</v>
      </c>
      <c r="P202" s="676"/>
      <c r="Q202" s="24">
        <f t="shared" si="35"/>
        <v>1</v>
      </c>
      <c r="R202" s="672">
        <f t="shared" si="36"/>
        <v>0</v>
      </c>
      <c r="S202" s="322">
        <f t="shared" si="37"/>
        <v>0</v>
      </c>
    </row>
    <row r="203" spans="1:19">
      <c r="A203" s="155"/>
      <c r="B203" s="57"/>
      <c r="C203" s="24">
        <f t="shared" si="28"/>
        <v>1</v>
      </c>
      <c r="D203" s="676"/>
      <c r="E203" s="24">
        <f t="shared" si="29"/>
        <v>1</v>
      </c>
      <c r="F203" s="676"/>
      <c r="G203" s="24">
        <f t="shared" si="30"/>
        <v>1</v>
      </c>
      <c r="H203" s="676"/>
      <c r="I203" s="24">
        <f t="shared" si="31"/>
        <v>1</v>
      </c>
      <c r="J203" s="676"/>
      <c r="K203" s="24">
        <f t="shared" si="32"/>
        <v>1</v>
      </c>
      <c r="L203" s="676"/>
      <c r="M203" s="24">
        <f t="shared" si="33"/>
        <v>1</v>
      </c>
      <c r="N203" s="676"/>
      <c r="O203" s="24">
        <f t="shared" si="34"/>
        <v>1</v>
      </c>
      <c r="P203" s="676"/>
      <c r="Q203" s="24">
        <f t="shared" si="35"/>
        <v>1</v>
      </c>
      <c r="R203" s="672">
        <f t="shared" si="36"/>
        <v>0</v>
      </c>
      <c r="S203" s="322">
        <f t="shared" si="37"/>
        <v>0</v>
      </c>
    </row>
    <row r="204" spans="1:19">
      <c r="A204" s="155"/>
      <c r="B204" s="57"/>
      <c r="C204" s="24">
        <f t="shared" si="28"/>
        <v>1</v>
      </c>
      <c r="D204" s="676"/>
      <c r="E204" s="24">
        <f t="shared" si="29"/>
        <v>1</v>
      </c>
      <c r="F204" s="676"/>
      <c r="G204" s="24">
        <f t="shared" si="30"/>
        <v>1</v>
      </c>
      <c r="H204" s="676"/>
      <c r="I204" s="24">
        <f t="shared" si="31"/>
        <v>1</v>
      </c>
      <c r="J204" s="676"/>
      <c r="K204" s="24">
        <f t="shared" si="32"/>
        <v>1</v>
      </c>
      <c r="L204" s="676"/>
      <c r="M204" s="24">
        <f t="shared" si="33"/>
        <v>1</v>
      </c>
      <c r="N204" s="676"/>
      <c r="O204" s="24">
        <f t="shared" si="34"/>
        <v>1</v>
      </c>
      <c r="P204" s="676"/>
      <c r="Q204" s="24">
        <f t="shared" si="35"/>
        <v>1</v>
      </c>
      <c r="R204" s="672">
        <f t="shared" si="36"/>
        <v>0</v>
      </c>
      <c r="S204" s="322">
        <f t="shared" si="37"/>
        <v>0</v>
      </c>
    </row>
    <row r="205" spans="1:19">
      <c r="A205" s="155"/>
      <c r="B205" s="57"/>
      <c r="C205" s="24">
        <f t="shared" si="28"/>
        <v>1</v>
      </c>
      <c r="D205" s="676"/>
      <c r="E205" s="24">
        <f t="shared" si="29"/>
        <v>1</v>
      </c>
      <c r="F205" s="676"/>
      <c r="G205" s="24">
        <f t="shared" si="30"/>
        <v>1</v>
      </c>
      <c r="H205" s="676"/>
      <c r="I205" s="24">
        <f t="shared" si="31"/>
        <v>1</v>
      </c>
      <c r="J205" s="676"/>
      <c r="K205" s="24">
        <f t="shared" si="32"/>
        <v>1</v>
      </c>
      <c r="L205" s="676"/>
      <c r="M205" s="24">
        <f t="shared" si="33"/>
        <v>1</v>
      </c>
      <c r="N205" s="676"/>
      <c r="O205" s="24">
        <f t="shared" si="34"/>
        <v>1</v>
      </c>
      <c r="P205" s="676"/>
      <c r="Q205" s="24">
        <f t="shared" si="35"/>
        <v>1</v>
      </c>
      <c r="R205" s="672">
        <f t="shared" si="36"/>
        <v>0</v>
      </c>
      <c r="S205" s="322">
        <f t="shared" si="37"/>
        <v>0</v>
      </c>
    </row>
    <row r="206" spans="1:19">
      <c r="A206" s="155"/>
      <c r="B206" s="57"/>
      <c r="C206" s="24">
        <f t="shared" si="28"/>
        <v>1</v>
      </c>
      <c r="D206" s="676"/>
      <c r="E206" s="24">
        <f t="shared" si="29"/>
        <v>1</v>
      </c>
      <c r="F206" s="676"/>
      <c r="G206" s="24">
        <f t="shared" si="30"/>
        <v>1</v>
      </c>
      <c r="H206" s="676"/>
      <c r="I206" s="24">
        <f t="shared" si="31"/>
        <v>1</v>
      </c>
      <c r="J206" s="676"/>
      <c r="K206" s="24">
        <f t="shared" si="32"/>
        <v>1</v>
      </c>
      <c r="L206" s="676"/>
      <c r="M206" s="24">
        <f t="shared" si="33"/>
        <v>1</v>
      </c>
      <c r="N206" s="676"/>
      <c r="O206" s="24">
        <f t="shared" si="34"/>
        <v>1</v>
      </c>
      <c r="P206" s="676"/>
      <c r="Q206" s="24">
        <f t="shared" si="35"/>
        <v>1</v>
      </c>
      <c r="R206" s="672">
        <f t="shared" si="36"/>
        <v>0</v>
      </c>
      <c r="S206" s="322">
        <f t="shared" si="37"/>
        <v>0</v>
      </c>
    </row>
    <row r="207" spans="1:19">
      <c r="A207" s="155"/>
      <c r="B207" s="57"/>
      <c r="C207" s="24">
        <f t="shared" si="28"/>
        <v>1</v>
      </c>
      <c r="D207" s="676"/>
      <c r="E207" s="24">
        <f t="shared" si="29"/>
        <v>1</v>
      </c>
      <c r="F207" s="676"/>
      <c r="G207" s="24">
        <f t="shared" si="30"/>
        <v>1</v>
      </c>
      <c r="H207" s="676"/>
      <c r="I207" s="24">
        <f t="shared" si="31"/>
        <v>1</v>
      </c>
      <c r="J207" s="676"/>
      <c r="K207" s="24">
        <f t="shared" si="32"/>
        <v>1</v>
      </c>
      <c r="L207" s="676"/>
      <c r="M207" s="24">
        <f t="shared" si="33"/>
        <v>1</v>
      </c>
      <c r="N207" s="676"/>
      <c r="O207" s="24">
        <f t="shared" si="34"/>
        <v>1</v>
      </c>
      <c r="P207" s="676"/>
      <c r="Q207" s="24">
        <f t="shared" si="35"/>
        <v>1</v>
      </c>
      <c r="R207" s="672">
        <f t="shared" si="36"/>
        <v>0</v>
      </c>
      <c r="S207" s="322">
        <f t="shared" si="37"/>
        <v>0</v>
      </c>
    </row>
    <row r="208" spans="1:19">
      <c r="A208" s="155"/>
      <c r="B208" s="57"/>
      <c r="C208" s="24">
        <f t="shared" si="28"/>
        <v>1</v>
      </c>
      <c r="D208" s="676"/>
      <c r="E208" s="24">
        <f t="shared" si="29"/>
        <v>1</v>
      </c>
      <c r="F208" s="676"/>
      <c r="G208" s="24">
        <f t="shared" si="30"/>
        <v>1</v>
      </c>
      <c r="H208" s="676"/>
      <c r="I208" s="24">
        <f t="shared" si="31"/>
        <v>1</v>
      </c>
      <c r="J208" s="676"/>
      <c r="K208" s="24">
        <f t="shared" si="32"/>
        <v>1</v>
      </c>
      <c r="L208" s="676"/>
      <c r="M208" s="24">
        <f t="shared" si="33"/>
        <v>1</v>
      </c>
      <c r="N208" s="676"/>
      <c r="O208" s="24">
        <f t="shared" si="34"/>
        <v>1</v>
      </c>
      <c r="P208" s="676"/>
      <c r="Q208" s="24">
        <f t="shared" si="35"/>
        <v>1</v>
      </c>
      <c r="R208" s="672">
        <f t="shared" si="36"/>
        <v>0</v>
      </c>
      <c r="S208" s="322">
        <f t="shared" si="37"/>
        <v>0</v>
      </c>
    </row>
    <row r="209" spans="1:19">
      <c r="A209" s="155"/>
      <c r="B209" s="57"/>
      <c r="C209" s="24">
        <f t="shared" si="28"/>
        <v>1</v>
      </c>
      <c r="D209" s="676"/>
      <c r="E209" s="24">
        <f t="shared" si="29"/>
        <v>1</v>
      </c>
      <c r="F209" s="676"/>
      <c r="G209" s="24">
        <f t="shared" si="30"/>
        <v>1</v>
      </c>
      <c r="H209" s="676"/>
      <c r="I209" s="24">
        <f t="shared" si="31"/>
        <v>1</v>
      </c>
      <c r="J209" s="676"/>
      <c r="K209" s="24">
        <f t="shared" si="32"/>
        <v>1</v>
      </c>
      <c r="L209" s="676"/>
      <c r="M209" s="24">
        <f t="shared" si="33"/>
        <v>1</v>
      </c>
      <c r="N209" s="676"/>
      <c r="O209" s="24">
        <f t="shared" si="34"/>
        <v>1</v>
      </c>
      <c r="P209" s="676"/>
      <c r="Q209" s="24">
        <f t="shared" si="35"/>
        <v>1</v>
      </c>
      <c r="R209" s="672">
        <f t="shared" si="36"/>
        <v>0</v>
      </c>
      <c r="S209" s="322">
        <f t="shared" si="37"/>
        <v>0</v>
      </c>
    </row>
    <row r="210" spans="1:19">
      <c r="A210" s="155"/>
      <c r="B210" s="57"/>
      <c r="C210" s="24">
        <f t="shared" si="28"/>
        <v>1</v>
      </c>
      <c r="D210" s="676"/>
      <c r="E210" s="24">
        <f t="shared" si="29"/>
        <v>1</v>
      </c>
      <c r="F210" s="676"/>
      <c r="G210" s="24">
        <f t="shared" si="30"/>
        <v>1</v>
      </c>
      <c r="H210" s="676"/>
      <c r="I210" s="24">
        <f t="shared" si="31"/>
        <v>1</v>
      </c>
      <c r="J210" s="676"/>
      <c r="K210" s="24">
        <f t="shared" si="32"/>
        <v>1</v>
      </c>
      <c r="L210" s="676"/>
      <c r="M210" s="24">
        <f t="shared" si="33"/>
        <v>1</v>
      </c>
      <c r="N210" s="676"/>
      <c r="O210" s="24">
        <f t="shared" si="34"/>
        <v>1</v>
      </c>
      <c r="P210" s="676"/>
      <c r="Q210" s="24">
        <f t="shared" si="35"/>
        <v>1</v>
      </c>
      <c r="R210" s="672">
        <f t="shared" si="36"/>
        <v>0</v>
      </c>
      <c r="S210" s="322">
        <f t="shared" si="37"/>
        <v>0</v>
      </c>
    </row>
    <row r="211" spans="1:19">
      <c r="A211" s="155"/>
      <c r="B211" s="57"/>
      <c r="C211" s="24">
        <f t="shared" si="28"/>
        <v>1</v>
      </c>
      <c r="D211" s="676"/>
      <c r="E211" s="24">
        <f t="shared" si="29"/>
        <v>1</v>
      </c>
      <c r="F211" s="676"/>
      <c r="G211" s="24">
        <f t="shared" si="30"/>
        <v>1</v>
      </c>
      <c r="H211" s="676"/>
      <c r="I211" s="24">
        <f t="shared" si="31"/>
        <v>1</v>
      </c>
      <c r="J211" s="676"/>
      <c r="K211" s="24">
        <f t="shared" si="32"/>
        <v>1</v>
      </c>
      <c r="L211" s="676"/>
      <c r="M211" s="24">
        <f t="shared" si="33"/>
        <v>1</v>
      </c>
      <c r="N211" s="676"/>
      <c r="O211" s="24">
        <f t="shared" si="34"/>
        <v>1</v>
      </c>
      <c r="P211" s="676"/>
      <c r="Q211" s="24">
        <f t="shared" si="35"/>
        <v>1</v>
      </c>
      <c r="R211" s="672">
        <f t="shared" si="36"/>
        <v>0</v>
      </c>
      <c r="S211" s="322">
        <f t="shared" si="37"/>
        <v>0</v>
      </c>
    </row>
    <row r="212" spans="1:19">
      <c r="A212" s="155"/>
      <c r="B212" s="57"/>
      <c r="C212" s="24">
        <f t="shared" si="28"/>
        <v>1</v>
      </c>
      <c r="D212" s="676"/>
      <c r="E212" s="24">
        <f t="shared" si="29"/>
        <v>1</v>
      </c>
      <c r="F212" s="676"/>
      <c r="G212" s="24">
        <f t="shared" si="30"/>
        <v>1</v>
      </c>
      <c r="H212" s="676"/>
      <c r="I212" s="24">
        <f t="shared" si="31"/>
        <v>1</v>
      </c>
      <c r="J212" s="676"/>
      <c r="K212" s="24">
        <f t="shared" si="32"/>
        <v>1</v>
      </c>
      <c r="L212" s="676"/>
      <c r="M212" s="24">
        <f t="shared" si="33"/>
        <v>1</v>
      </c>
      <c r="N212" s="676"/>
      <c r="O212" s="24">
        <f t="shared" si="34"/>
        <v>1</v>
      </c>
      <c r="P212" s="676"/>
      <c r="Q212" s="24">
        <f t="shared" si="35"/>
        <v>1</v>
      </c>
      <c r="R212" s="672">
        <f t="shared" si="36"/>
        <v>0</v>
      </c>
      <c r="S212" s="322">
        <f t="shared" si="37"/>
        <v>0</v>
      </c>
    </row>
    <row r="213" spans="1:19">
      <c r="A213" s="155"/>
      <c r="B213" s="57"/>
      <c r="C213" s="24">
        <f t="shared" si="28"/>
        <v>1</v>
      </c>
      <c r="D213" s="676"/>
      <c r="E213" s="24">
        <f t="shared" si="29"/>
        <v>1</v>
      </c>
      <c r="F213" s="676"/>
      <c r="G213" s="24">
        <f t="shared" si="30"/>
        <v>1</v>
      </c>
      <c r="H213" s="676"/>
      <c r="I213" s="24">
        <f t="shared" si="31"/>
        <v>1</v>
      </c>
      <c r="J213" s="676"/>
      <c r="K213" s="24">
        <f t="shared" si="32"/>
        <v>1</v>
      </c>
      <c r="L213" s="676"/>
      <c r="M213" s="24">
        <f t="shared" si="33"/>
        <v>1</v>
      </c>
      <c r="N213" s="676"/>
      <c r="O213" s="24">
        <f t="shared" si="34"/>
        <v>1</v>
      </c>
      <c r="P213" s="676"/>
      <c r="Q213" s="24">
        <f t="shared" si="35"/>
        <v>1</v>
      </c>
      <c r="R213" s="672">
        <f t="shared" si="36"/>
        <v>0</v>
      </c>
      <c r="S213" s="322">
        <f t="shared" si="37"/>
        <v>0</v>
      </c>
    </row>
    <row r="214" spans="1:19">
      <c r="A214" s="155"/>
      <c r="B214" s="57"/>
      <c r="C214" s="24">
        <f t="shared" si="28"/>
        <v>1</v>
      </c>
      <c r="D214" s="676"/>
      <c r="E214" s="24">
        <f t="shared" si="29"/>
        <v>1</v>
      </c>
      <c r="F214" s="676"/>
      <c r="G214" s="24">
        <f t="shared" si="30"/>
        <v>1</v>
      </c>
      <c r="H214" s="676"/>
      <c r="I214" s="24">
        <f t="shared" si="31"/>
        <v>1</v>
      </c>
      <c r="J214" s="676"/>
      <c r="K214" s="24">
        <f t="shared" si="32"/>
        <v>1</v>
      </c>
      <c r="L214" s="676"/>
      <c r="M214" s="24">
        <f t="shared" si="33"/>
        <v>1</v>
      </c>
      <c r="N214" s="676"/>
      <c r="O214" s="24">
        <f t="shared" si="34"/>
        <v>1</v>
      </c>
      <c r="P214" s="676"/>
      <c r="Q214" s="24">
        <f t="shared" si="35"/>
        <v>1</v>
      </c>
      <c r="R214" s="672">
        <f t="shared" si="36"/>
        <v>0</v>
      </c>
      <c r="S214" s="322">
        <f t="shared" si="37"/>
        <v>0</v>
      </c>
    </row>
    <row r="215" spans="1:19">
      <c r="A215" s="155"/>
      <c r="B215" s="57"/>
      <c r="C215" s="24">
        <f t="shared" si="28"/>
        <v>1</v>
      </c>
      <c r="D215" s="676"/>
      <c r="E215" s="24">
        <f t="shared" si="29"/>
        <v>1</v>
      </c>
      <c r="F215" s="676"/>
      <c r="G215" s="24">
        <f t="shared" si="30"/>
        <v>1</v>
      </c>
      <c r="H215" s="676"/>
      <c r="I215" s="24">
        <f t="shared" si="31"/>
        <v>1</v>
      </c>
      <c r="J215" s="676"/>
      <c r="K215" s="24">
        <f t="shared" si="32"/>
        <v>1</v>
      </c>
      <c r="L215" s="676"/>
      <c r="M215" s="24">
        <f t="shared" si="33"/>
        <v>1</v>
      </c>
      <c r="N215" s="676"/>
      <c r="O215" s="24">
        <f t="shared" si="34"/>
        <v>1</v>
      </c>
      <c r="P215" s="676"/>
      <c r="Q215" s="24">
        <f t="shared" si="35"/>
        <v>1</v>
      </c>
      <c r="R215" s="672">
        <f t="shared" si="36"/>
        <v>0</v>
      </c>
      <c r="S215" s="322">
        <f t="shared" si="37"/>
        <v>0</v>
      </c>
    </row>
    <row r="216" spans="1:19">
      <c r="A216" s="155"/>
      <c r="B216" s="57"/>
      <c r="C216" s="24">
        <f t="shared" si="28"/>
        <v>1</v>
      </c>
      <c r="D216" s="676"/>
      <c r="E216" s="24">
        <f t="shared" si="29"/>
        <v>1</v>
      </c>
      <c r="F216" s="676"/>
      <c r="G216" s="24">
        <f t="shared" si="30"/>
        <v>1</v>
      </c>
      <c r="H216" s="676"/>
      <c r="I216" s="24">
        <f t="shared" si="31"/>
        <v>1</v>
      </c>
      <c r="J216" s="676"/>
      <c r="K216" s="24">
        <f t="shared" si="32"/>
        <v>1</v>
      </c>
      <c r="L216" s="676"/>
      <c r="M216" s="24">
        <f t="shared" si="33"/>
        <v>1</v>
      </c>
      <c r="N216" s="676"/>
      <c r="O216" s="24">
        <f t="shared" si="34"/>
        <v>1</v>
      </c>
      <c r="P216" s="676"/>
      <c r="Q216" s="24">
        <f t="shared" si="35"/>
        <v>1</v>
      </c>
      <c r="R216" s="672">
        <f t="shared" si="36"/>
        <v>0</v>
      </c>
      <c r="S216" s="322">
        <f t="shared" si="37"/>
        <v>0</v>
      </c>
    </row>
    <row r="217" spans="1:19">
      <c r="A217" s="155"/>
      <c r="B217" s="57"/>
      <c r="C217" s="24">
        <f t="shared" si="28"/>
        <v>1</v>
      </c>
      <c r="D217" s="676"/>
      <c r="E217" s="24">
        <f t="shared" si="29"/>
        <v>1</v>
      </c>
      <c r="F217" s="676"/>
      <c r="G217" s="24">
        <f t="shared" si="30"/>
        <v>1</v>
      </c>
      <c r="H217" s="676"/>
      <c r="I217" s="24">
        <f t="shared" si="31"/>
        <v>1</v>
      </c>
      <c r="J217" s="676"/>
      <c r="K217" s="24">
        <f t="shared" si="32"/>
        <v>1</v>
      </c>
      <c r="L217" s="676"/>
      <c r="M217" s="24">
        <f t="shared" si="33"/>
        <v>1</v>
      </c>
      <c r="N217" s="676"/>
      <c r="O217" s="24">
        <f t="shared" si="34"/>
        <v>1</v>
      </c>
      <c r="P217" s="676"/>
      <c r="Q217" s="24">
        <f t="shared" si="35"/>
        <v>1</v>
      </c>
      <c r="R217" s="672">
        <f t="shared" si="36"/>
        <v>0</v>
      </c>
      <c r="S217" s="322">
        <f t="shared" si="37"/>
        <v>0</v>
      </c>
    </row>
    <row r="218" spans="1:19">
      <c r="A218" s="155"/>
      <c r="B218" s="57"/>
      <c r="C218" s="24">
        <f t="shared" ref="C218:C281" si="38">IF(B218="",1,(LOOKUP(B218,$3:$3,$4:$4)-LOOKUP($B$24,$3:$3,$4:$4)+100)/100)</f>
        <v>1</v>
      </c>
      <c r="D218" s="676"/>
      <c r="E218" s="24">
        <f t="shared" ref="E218:E281" si="39">(SUMIF($5:$5,D218,$6:$6)-SUMIF($5:$5,$D$24,$6:$6)+100)/100</f>
        <v>1</v>
      </c>
      <c r="F218" s="676"/>
      <c r="G218" s="24">
        <f t="shared" ref="G218:G281" si="40">(SUMIF($7:$7,F218,$8:$8)-SUMIF($7:$7,$F$24,$8:$8)+100)/100</f>
        <v>1</v>
      </c>
      <c r="H218" s="676"/>
      <c r="I218" s="24">
        <f t="shared" ref="I218:I281" si="41">(SUMIF($9:$9,H218,$10:$10)-SUMIF($9:$9,$H$24,$10:$10)+100)/100</f>
        <v>1</v>
      </c>
      <c r="J218" s="676"/>
      <c r="K218" s="24">
        <f t="shared" ref="K218:K281" si="42">(SUMIF($11:$11,J218,$12:$12)-SUMIF($11:$11,$J$24,$12:$12)+100)/100</f>
        <v>1</v>
      </c>
      <c r="L218" s="676"/>
      <c r="M218" s="24">
        <f t="shared" ref="M218:M281" si="43">(SUMIF($13:$13,L218,$14:$14)-SUMIF($13:$13,$L$24,$14:$14)+100)/100</f>
        <v>1</v>
      </c>
      <c r="N218" s="676"/>
      <c r="O218" s="24">
        <f t="shared" ref="O218:O281" si="44">(SUMIF($15:$15,N218,$16:$16)-SUMIF($15:$15,$N$24,$16:$16)+100)/100</f>
        <v>1</v>
      </c>
      <c r="P218" s="676"/>
      <c r="Q218" s="24">
        <f t="shared" ref="Q218:Q281" si="45">(SUMIF($17:$17,P218,$18:$18)-SUMIF($17:$17,$P$24,$18:$18)+100)/100</f>
        <v>1</v>
      </c>
      <c r="R218" s="672">
        <f t="shared" ref="R218:R281" si="46">IF(B218="",0,ROUND($R$24*C218*E218*G218*I218*K218*M218*O218*Q218,0))</f>
        <v>0</v>
      </c>
      <c r="S218" s="322">
        <f t="shared" si="37"/>
        <v>0</v>
      </c>
    </row>
    <row r="219" spans="1:19">
      <c r="A219" s="155"/>
      <c r="B219" s="57"/>
      <c r="C219" s="24">
        <f t="shared" si="38"/>
        <v>1</v>
      </c>
      <c r="D219" s="676"/>
      <c r="E219" s="24">
        <f t="shared" si="39"/>
        <v>1</v>
      </c>
      <c r="F219" s="676"/>
      <c r="G219" s="24">
        <f t="shared" si="40"/>
        <v>1</v>
      </c>
      <c r="H219" s="676"/>
      <c r="I219" s="24">
        <f t="shared" si="41"/>
        <v>1</v>
      </c>
      <c r="J219" s="676"/>
      <c r="K219" s="24">
        <f t="shared" si="42"/>
        <v>1</v>
      </c>
      <c r="L219" s="676"/>
      <c r="M219" s="24">
        <f t="shared" si="43"/>
        <v>1</v>
      </c>
      <c r="N219" s="676"/>
      <c r="O219" s="24">
        <f t="shared" si="44"/>
        <v>1</v>
      </c>
      <c r="P219" s="676"/>
      <c r="Q219" s="24">
        <f t="shared" si="45"/>
        <v>1</v>
      </c>
      <c r="R219" s="672">
        <f t="shared" si="46"/>
        <v>0</v>
      </c>
      <c r="S219" s="322">
        <f t="shared" si="37"/>
        <v>0</v>
      </c>
    </row>
    <row r="220" spans="1:19">
      <c r="A220" s="155"/>
      <c r="B220" s="57"/>
      <c r="C220" s="24">
        <f t="shared" si="38"/>
        <v>1</v>
      </c>
      <c r="D220" s="676"/>
      <c r="E220" s="24">
        <f t="shared" si="39"/>
        <v>1</v>
      </c>
      <c r="F220" s="676"/>
      <c r="G220" s="24">
        <f t="shared" si="40"/>
        <v>1</v>
      </c>
      <c r="H220" s="676"/>
      <c r="I220" s="24">
        <f t="shared" si="41"/>
        <v>1</v>
      </c>
      <c r="J220" s="676"/>
      <c r="K220" s="24">
        <f t="shared" si="42"/>
        <v>1</v>
      </c>
      <c r="L220" s="676"/>
      <c r="M220" s="24">
        <f t="shared" si="43"/>
        <v>1</v>
      </c>
      <c r="N220" s="676"/>
      <c r="O220" s="24">
        <f t="shared" si="44"/>
        <v>1</v>
      </c>
      <c r="P220" s="676"/>
      <c r="Q220" s="24">
        <f t="shared" si="45"/>
        <v>1</v>
      </c>
      <c r="R220" s="672">
        <f t="shared" si="46"/>
        <v>0</v>
      </c>
      <c r="S220" s="322">
        <f t="shared" si="37"/>
        <v>0</v>
      </c>
    </row>
    <row r="221" spans="1:19">
      <c r="A221" s="155"/>
      <c r="B221" s="57"/>
      <c r="C221" s="24">
        <f t="shared" si="38"/>
        <v>1</v>
      </c>
      <c r="D221" s="676"/>
      <c r="E221" s="24">
        <f t="shared" si="39"/>
        <v>1</v>
      </c>
      <c r="F221" s="676"/>
      <c r="G221" s="24">
        <f t="shared" si="40"/>
        <v>1</v>
      </c>
      <c r="H221" s="676"/>
      <c r="I221" s="24">
        <f t="shared" si="41"/>
        <v>1</v>
      </c>
      <c r="J221" s="676"/>
      <c r="K221" s="24">
        <f t="shared" si="42"/>
        <v>1</v>
      </c>
      <c r="L221" s="676"/>
      <c r="M221" s="24">
        <f t="shared" si="43"/>
        <v>1</v>
      </c>
      <c r="N221" s="676"/>
      <c r="O221" s="24">
        <f t="shared" si="44"/>
        <v>1</v>
      </c>
      <c r="P221" s="676"/>
      <c r="Q221" s="24">
        <f t="shared" si="45"/>
        <v>1</v>
      </c>
      <c r="R221" s="672">
        <f t="shared" si="46"/>
        <v>0</v>
      </c>
      <c r="S221" s="322">
        <f t="shared" si="37"/>
        <v>0</v>
      </c>
    </row>
    <row r="222" spans="1:19">
      <c r="A222" s="155"/>
      <c r="B222" s="57"/>
      <c r="C222" s="24">
        <f t="shared" si="38"/>
        <v>1</v>
      </c>
      <c r="D222" s="676"/>
      <c r="E222" s="24">
        <f t="shared" si="39"/>
        <v>1</v>
      </c>
      <c r="F222" s="676"/>
      <c r="G222" s="24">
        <f t="shared" si="40"/>
        <v>1</v>
      </c>
      <c r="H222" s="676"/>
      <c r="I222" s="24">
        <f t="shared" si="41"/>
        <v>1</v>
      </c>
      <c r="J222" s="676"/>
      <c r="K222" s="24">
        <f t="shared" si="42"/>
        <v>1</v>
      </c>
      <c r="L222" s="676"/>
      <c r="M222" s="24">
        <f t="shared" si="43"/>
        <v>1</v>
      </c>
      <c r="N222" s="676"/>
      <c r="O222" s="24">
        <f t="shared" si="44"/>
        <v>1</v>
      </c>
      <c r="P222" s="676"/>
      <c r="Q222" s="24">
        <f t="shared" si="45"/>
        <v>1</v>
      </c>
      <c r="R222" s="672">
        <f t="shared" si="46"/>
        <v>0</v>
      </c>
      <c r="S222" s="322">
        <f t="shared" si="37"/>
        <v>0</v>
      </c>
    </row>
    <row r="223" spans="1:19">
      <c r="A223" s="155"/>
      <c r="B223" s="57"/>
      <c r="C223" s="24">
        <f t="shared" si="38"/>
        <v>1</v>
      </c>
      <c r="D223" s="676"/>
      <c r="E223" s="24">
        <f t="shared" si="39"/>
        <v>1</v>
      </c>
      <c r="F223" s="676"/>
      <c r="G223" s="24">
        <f t="shared" si="40"/>
        <v>1</v>
      </c>
      <c r="H223" s="676"/>
      <c r="I223" s="24">
        <f t="shared" si="41"/>
        <v>1</v>
      </c>
      <c r="J223" s="676"/>
      <c r="K223" s="24">
        <f t="shared" si="42"/>
        <v>1</v>
      </c>
      <c r="L223" s="676"/>
      <c r="M223" s="24">
        <f t="shared" si="43"/>
        <v>1</v>
      </c>
      <c r="N223" s="676"/>
      <c r="O223" s="24">
        <f t="shared" si="44"/>
        <v>1</v>
      </c>
      <c r="P223" s="676"/>
      <c r="Q223" s="24">
        <f t="shared" si="45"/>
        <v>1</v>
      </c>
      <c r="R223" s="672">
        <f t="shared" si="46"/>
        <v>0</v>
      </c>
      <c r="S223" s="322">
        <f t="shared" ref="S223:S286" si="47">ROUND(R223*B223/10000,0)</f>
        <v>0</v>
      </c>
    </row>
    <row r="224" spans="1:19">
      <c r="A224" s="155"/>
      <c r="B224" s="57"/>
      <c r="C224" s="24">
        <f t="shared" si="38"/>
        <v>1</v>
      </c>
      <c r="D224" s="676"/>
      <c r="E224" s="24">
        <f t="shared" si="39"/>
        <v>1</v>
      </c>
      <c r="F224" s="676"/>
      <c r="G224" s="24">
        <f t="shared" si="40"/>
        <v>1</v>
      </c>
      <c r="H224" s="676"/>
      <c r="I224" s="24">
        <f t="shared" si="41"/>
        <v>1</v>
      </c>
      <c r="J224" s="676"/>
      <c r="K224" s="24">
        <f t="shared" si="42"/>
        <v>1</v>
      </c>
      <c r="L224" s="676"/>
      <c r="M224" s="24">
        <f t="shared" si="43"/>
        <v>1</v>
      </c>
      <c r="N224" s="676"/>
      <c r="O224" s="24">
        <f t="shared" si="44"/>
        <v>1</v>
      </c>
      <c r="P224" s="676"/>
      <c r="Q224" s="24">
        <f t="shared" si="45"/>
        <v>1</v>
      </c>
      <c r="R224" s="672">
        <f t="shared" si="46"/>
        <v>0</v>
      </c>
      <c r="S224" s="322">
        <f t="shared" si="47"/>
        <v>0</v>
      </c>
    </row>
    <row r="225" spans="1:19">
      <c r="A225" s="155"/>
      <c r="B225" s="57"/>
      <c r="C225" s="24">
        <f t="shared" si="38"/>
        <v>1</v>
      </c>
      <c r="D225" s="676"/>
      <c r="E225" s="24">
        <f t="shared" si="39"/>
        <v>1</v>
      </c>
      <c r="F225" s="676"/>
      <c r="G225" s="24">
        <f t="shared" si="40"/>
        <v>1</v>
      </c>
      <c r="H225" s="676"/>
      <c r="I225" s="24">
        <f t="shared" si="41"/>
        <v>1</v>
      </c>
      <c r="J225" s="676"/>
      <c r="K225" s="24">
        <f t="shared" si="42"/>
        <v>1</v>
      </c>
      <c r="L225" s="676"/>
      <c r="M225" s="24">
        <f t="shared" si="43"/>
        <v>1</v>
      </c>
      <c r="N225" s="676"/>
      <c r="O225" s="24">
        <f t="shared" si="44"/>
        <v>1</v>
      </c>
      <c r="P225" s="676"/>
      <c r="Q225" s="24">
        <f t="shared" si="45"/>
        <v>1</v>
      </c>
      <c r="R225" s="672">
        <f t="shared" si="46"/>
        <v>0</v>
      </c>
      <c r="S225" s="322">
        <f t="shared" si="47"/>
        <v>0</v>
      </c>
    </row>
    <row r="226" spans="1:19">
      <c r="A226" s="155"/>
      <c r="B226" s="57"/>
      <c r="C226" s="24">
        <f t="shared" si="38"/>
        <v>1</v>
      </c>
      <c r="D226" s="676"/>
      <c r="E226" s="24">
        <f t="shared" si="39"/>
        <v>1</v>
      </c>
      <c r="F226" s="676"/>
      <c r="G226" s="24">
        <f t="shared" si="40"/>
        <v>1</v>
      </c>
      <c r="H226" s="676"/>
      <c r="I226" s="24">
        <f t="shared" si="41"/>
        <v>1</v>
      </c>
      <c r="J226" s="676"/>
      <c r="K226" s="24">
        <f t="shared" si="42"/>
        <v>1</v>
      </c>
      <c r="L226" s="676"/>
      <c r="M226" s="24">
        <f t="shared" si="43"/>
        <v>1</v>
      </c>
      <c r="N226" s="676"/>
      <c r="O226" s="24">
        <f t="shared" si="44"/>
        <v>1</v>
      </c>
      <c r="P226" s="676"/>
      <c r="Q226" s="24">
        <f t="shared" si="45"/>
        <v>1</v>
      </c>
      <c r="R226" s="672">
        <f t="shared" si="46"/>
        <v>0</v>
      </c>
      <c r="S226" s="322">
        <f t="shared" si="47"/>
        <v>0</v>
      </c>
    </row>
    <row r="227" spans="1:19">
      <c r="A227" s="155"/>
      <c r="B227" s="57"/>
      <c r="C227" s="24">
        <f t="shared" si="38"/>
        <v>1</v>
      </c>
      <c r="D227" s="676"/>
      <c r="E227" s="24">
        <f t="shared" si="39"/>
        <v>1</v>
      </c>
      <c r="F227" s="676"/>
      <c r="G227" s="24">
        <f t="shared" si="40"/>
        <v>1</v>
      </c>
      <c r="H227" s="676"/>
      <c r="I227" s="24">
        <f t="shared" si="41"/>
        <v>1</v>
      </c>
      <c r="J227" s="676"/>
      <c r="K227" s="24">
        <f t="shared" si="42"/>
        <v>1</v>
      </c>
      <c r="L227" s="676"/>
      <c r="M227" s="24">
        <f t="shared" si="43"/>
        <v>1</v>
      </c>
      <c r="N227" s="676"/>
      <c r="O227" s="24">
        <f t="shared" si="44"/>
        <v>1</v>
      </c>
      <c r="P227" s="676"/>
      <c r="Q227" s="24">
        <f t="shared" si="45"/>
        <v>1</v>
      </c>
      <c r="R227" s="672">
        <f t="shared" si="46"/>
        <v>0</v>
      </c>
      <c r="S227" s="322">
        <f t="shared" si="47"/>
        <v>0</v>
      </c>
    </row>
    <row r="228" spans="1:19">
      <c r="A228" s="155"/>
      <c r="B228" s="57"/>
      <c r="C228" s="24">
        <f t="shared" si="38"/>
        <v>1</v>
      </c>
      <c r="D228" s="676"/>
      <c r="E228" s="24">
        <f t="shared" si="39"/>
        <v>1</v>
      </c>
      <c r="F228" s="676"/>
      <c r="G228" s="24">
        <f t="shared" si="40"/>
        <v>1</v>
      </c>
      <c r="H228" s="676"/>
      <c r="I228" s="24">
        <f t="shared" si="41"/>
        <v>1</v>
      </c>
      <c r="J228" s="676"/>
      <c r="K228" s="24">
        <f t="shared" si="42"/>
        <v>1</v>
      </c>
      <c r="L228" s="676"/>
      <c r="M228" s="24">
        <f t="shared" si="43"/>
        <v>1</v>
      </c>
      <c r="N228" s="676"/>
      <c r="O228" s="24">
        <f t="shared" si="44"/>
        <v>1</v>
      </c>
      <c r="P228" s="676"/>
      <c r="Q228" s="24">
        <f t="shared" si="45"/>
        <v>1</v>
      </c>
      <c r="R228" s="672">
        <f t="shared" si="46"/>
        <v>0</v>
      </c>
      <c r="S228" s="322">
        <f t="shared" si="47"/>
        <v>0</v>
      </c>
    </row>
    <row r="229" spans="1:19">
      <c r="A229" s="155"/>
      <c r="B229" s="57"/>
      <c r="C229" s="24">
        <f t="shared" si="38"/>
        <v>1</v>
      </c>
      <c r="D229" s="676"/>
      <c r="E229" s="24">
        <f t="shared" si="39"/>
        <v>1</v>
      </c>
      <c r="F229" s="676"/>
      <c r="G229" s="24">
        <f t="shared" si="40"/>
        <v>1</v>
      </c>
      <c r="H229" s="676"/>
      <c r="I229" s="24">
        <f t="shared" si="41"/>
        <v>1</v>
      </c>
      <c r="J229" s="676"/>
      <c r="K229" s="24">
        <f t="shared" si="42"/>
        <v>1</v>
      </c>
      <c r="L229" s="676"/>
      <c r="M229" s="24">
        <f t="shared" si="43"/>
        <v>1</v>
      </c>
      <c r="N229" s="676"/>
      <c r="O229" s="24">
        <f t="shared" si="44"/>
        <v>1</v>
      </c>
      <c r="P229" s="676"/>
      <c r="Q229" s="24">
        <f t="shared" si="45"/>
        <v>1</v>
      </c>
      <c r="R229" s="672">
        <f t="shared" si="46"/>
        <v>0</v>
      </c>
      <c r="S229" s="322">
        <f t="shared" si="47"/>
        <v>0</v>
      </c>
    </row>
    <row r="230" spans="1:19">
      <c r="A230" s="155"/>
      <c r="B230" s="57"/>
      <c r="C230" s="24">
        <f t="shared" si="38"/>
        <v>1</v>
      </c>
      <c r="D230" s="676"/>
      <c r="E230" s="24">
        <f t="shared" si="39"/>
        <v>1</v>
      </c>
      <c r="F230" s="676"/>
      <c r="G230" s="24">
        <f t="shared" si="40"/>
        <v>1</v>
      </c>
      <c r="H230" s="676"/>
      <c r="I230" s="24">
        <f t="shared" si="41"/>
        <v>1</v>
      </c>
      <c r="J230" s="676"/>
      <c r="K230" s="24">
        <f t="shared" si="42"/>
        <v>1</v>
      </c>
      <c r="L230" s="676"/>
      <c r="M230" s="24">
        <f t="shared" si="43"/>
        <v>1</v>
      </c>
      <c r="N230" s="676"/>
      <c r="O230" s="24">
        <f t="shared" si="44"/>
        <v>1</v>
      </c>
      <c r="P230" s="676"/>
      <c r="Q230" s="24">
        <f t="shared" si="45"/>
        <v>1</v>
      </c>
      <c r="R230" s="672">
        <f t="shared" si="46"/>
        <v>0</v>
      </c>
      <c r="S230" s="322">
        <f t="shared" si="47"/>
        <v>0</v>
      </c>
    </row>
    <row r="231" spans="1:19">
      <c r="A231" s="155"/>
      <c r="B231" s="57"/>
      <c r="C231" s="24">
        <f t="shared" si="38"/>
        <v>1</v>
      </c>
      <c r="D231" s="676"/>
      <c r="E231" s="24">
        <f t="shared" si="39"/>
        <v>1</v>
      </c>
      <c r="F231" s="676"/>
      <c r="G231" s="24">
        <f t="shared" si="40"/>
        <v>1</v>
      </c>
      <c r="H231" s="676"/>
      <c r="I231" s="24">
        <f t="shared" si="41"/>
        <v>1</v>
      </c>
      <c r="J231" s="676"/>
      <c r="K231" s="24">
        <f t="shared" si="42"/>
        <v>1</v>
      </c>
      <c r="L231" s="676"/>
      <c r="M231" s="24">
        <f t="shared" si="43"/>
        <v>1</v>
      </c>
      <c r="N231" s="676"/>
      <c r="O231" s="24">
        <f t="shared" si="44"/>
        <v>1</v>
      </c>
      <c r="P231" s="676"/>
      <c r="Q231" s="24">
        <f t="shared" si="45"/>
        <v>1</v>
      </c>
      <c r="R231" s="672">
        <f t="shared" si="46"/>
        <v>0</v>
      </c>
      <c r="S231" s="322">
        <f t="shared" si="47"/>
        <v>0</v>
      </c>
    </row>
    <row r="232" spans="1:19">
      <c r="A232" s="155"/>
      <c r="B232" s="57"/>
      <c r="C232" s="24">
        <f t="shared" si="38"/>
        <v>1</v>
      </c>
      <c r="D232" s="676"/>
      <c r="E232" s="24">
        <f t="shared" si="39"/>
        <v>1</v>
      </c>
      <c r="F232" s="676"/>
      <c r="G232" s="24">
        <f t="shared" si="40"/>
        <v>1</v>
      </c>
      <c r="H232" s="676"/>
      <c r="I232" s="24">
        <f t="shared" si="41"/>
        <v>1</v>
      </c>
      <c r="J232" s="676"/>
      <c r="K232" s="24">
        <f t="shared" si="42"/>
        <v>1</v>
      </c>
      <c r="L232" s="676"/>
      <c r="M232" s="24">
        <f t="shared" si="43"/>
        <v>1</v>
      </c>
      <c r="N232" s="676"/>
      <c r="O232" s="24">
        <f t="shared" si="44"/>
        <v>1</v>
      </c>
      <c r="P232" s="676"/>
      <c r="Q232" s="24">
        <f t="shared" si="45"/>
        <v>1</v>
      </c>
      <c r="R232" s="672">
        <f t="shared" si="46"/>
        <v>0</v>
      </c>
      <c r="S232" s="322">
        <f t="shared" si="47"/>
        <v>0</v>
      </c>
    </row>
    <row r="233" spans="1:19">
      <c r="A233" s="155"/>
      <c r="B233" s="57"/>
      <c r="C233" s="24">
        <f t="shared" si="38"/>
        <v>1</v>
      </c>
      <c r="D233" s="676"/>
      <c r="E233" s="24">
        <f t="shared" si="39"/>
        <v>1</v>
      </c>
      <c r="F233" s="676"/>
      <c r="G233" s="24">
        <f t="shared" si="40"/>
        <v>1</v>
      </c>
      <c r="H233" s="676"/>
      <c r="I233" s="24">
        <f t="shared" si="41"/>
        <v>1</v>
      </c>
      <c r="J233" s="676"/>
      <c r="K233" s="24">
        <f t="shared" si="42"/>
        <v>1</v>
      </c>
      <c r="L233" s="676"/>
      <c r="M233" s="24">
        <f t="shared" si="43"/>
        <v>1</v>
      </c>
      <c r="N233" s="676"/>
      <c r="O233" s="24">
        <f t="shared" si="44"/>
        <v>1</v>
      </c>
      <c r="P233" s="676"/>
      <c r="Q233" s="24">
        <f t="shared" si="45"/>
        <v>1</v>
      </c>
      <c r="R233" s="672">
        <f t="shared" si="46"/>
        <v>0</v>
      </c>
      <c r="S233" s="322">
        <f t="shared" si="47"/>
        <v>0</v>
      </c>
    </row>
    <row r="234" spans="1:19">
      <c r="A234" s="155"/>
      <c r="B234" s="57"/>
      <c r="C234" s="24">
        <f t="shared" si="38"/>
        <v>1</v>
      </c>
      <c r="D234" s="676"/>
      <c r="E234" s="24">
        <f t="shared" si="39"/>
        <v>1</v>
      </c>
      <c r="F234" s="676"/>
      <c r="G234" s="24">
        <f t="shared" si="40"/>
        <v>1</v>
      </c>
      <c r="H234" s="676"/>
      <c r="I234" s="24">
        <f t="shared" si="41"/>
        <v>1</v>
      </c>
      <c r="J234" s="676"/>
      <c r="K234" s="24">
        <f t="shared" si="42"/>
        <v>1</v>
      </c>
      <c r="L234" s="676"/>
      <c r="M234" s="24">
        <f t="shared" si="43"/>
        <v>1</v>
      </c>
      <c r="N234" s="676"/>
      <c r="O234" s="24">
        <f t="shared" si="44"/>
        <v>1</v>
      </c>
      <c r="P234" s="676"/>
      <c r="Q234" s="24">
        <f t="shared" si="45"/>
        <v>1</v>
      </c>
      <c r="R234" s="672">
        <f t="shared" si="46"/>
        <v>0</v>
      </c>
      <c r="S234" s="322">
        <f t="shared" si="47"/>
        <v>0</v>
      </c>
    </row>
    <row r="235" spans="1:19">
      <c r="A235" s="155"/>
      <c r="B235" s="57"/>
      <c r="C235" s="24">
        <f t="shared" si="38"/>
        <v>1</v>
      </c>
      <c r="D235" s="676"/>
      <c r="E235" s="24">
        <f t="shared" si="39"/>
        <v>1</v>
      </c>
      <c r="F235" s="676"/>
      <c r="G235" s="24">
        <f t="shared" si="40"/>
        <v>1</v>
      </c>
      <c r="H235" s="676"/>
      <c r="I235" s="24">
        <f t="shared" si="41"/>
        <v>1</v>
      </c>
      <c r="J235" s="676"/>
      <c r="K235" s="24">
        <f t="shared" si="42"/>
        <v>1</v>
      </c>
      <c r="L235" s="676"/>
      <c r="M235" s="24">
        <f t="shared" si="43"/>
        <v>1</v>
      </c>
      <c r="N235" s="676"/>
      <c r="O235" s="24">
        <f t="shared" si="44"/>
        <v>1</v>
      </c>
      <c r="P235" s="676"/>
      <c r="Q235" s="24">
        <f t="shared" si="45"/>
        <v>1</v>
      </c>
      <c r="R235" s="672">
        <f t="shared" si="46"/>
        <v>0</v>
      </c>
      <c r="S235" s="322">
        <f t="shared" si="47"/>
        <v>0</v>
      </c>
    </row>
    <row r="236" spans="1:19">
      <c r="A236" s="155"/>
      <c r="B236" s="57"/>
      <c r="C236" s="24">
        <f t="shared" si="38"/>
        <v>1</v>
      </c>
      <c r="D236" s="676"/>
      <c r="E236" s="24">
        <f t="shared" si="39"/>
        <v>1</v>
      </c>
      <c r="F236" s="676"/>
      <c r="G236" s="24">
        <f t="shared" si="40"/>
        <v>1</v>
      </c>
      <c r="H236" s="676"/>
      <c r="I236" s="24">
        <f t="shared" si="41"/>
        <v>1</v>
      </c>
      <c r="J236" s="676"/>
      <c r="K236" s="24">
        <f t="shared" si="42"/>
        <v>1</v>
      </c>
      <c r="L236" s="676"/>
      <c r="M236" s="24">
        <f t="shared" si="43"/>
        <v>1</v>
      </c>
      <c r="N236" s="676"/>
      <c r="O236" s="24">
        <f t="shared" si="44"/>
        <v>1</v>
      </c>
      <c r="P236" s="676"/>
      <c r="Q236" s="24">
        <f t="shared" si="45"/>
        <v>1</v>
      </c>
      <c r="R236" s="672">
        <f t="shared" si="46"/>
        <v>0</v>
      </c>
      <c r="S236" s="322">
        <f t="shared" si="47"/>
        <v>0</v>
      </c>
    </row>
    <row r="237" spans="1:19">
      <c r="A237" s="155"/>
      <c r="B237" s="57"/>
      <c r="C237" s="24">
        <f t="shared" si="38"/>
        <v>1</v>
      </c>
      <c r="D237" s="676"/>
      <c r="E237" s="24">
        <f t="shared" si="39"/>
        <v>1</v>
      </c>
      <c r="F237" s="676"/>
      <c r="G237" s="24">
        <f t="shared" si="40"/>
        <v>1</v>
      </c>
      <c r="H237" s="676"/>
      <c r="I237" s="24">
        <f t="shared" si="41"/>
        <v>1</v>
      </c>
      <c r="J237" s="676"/>
      <c r="K237" s="24">
        <f t="shared" si="42"/>
        <v>1</v>
      </c>
      <c r="L237" s="676"/>
      <c r="M237" s="24">
        <f t="shared" si="43"/>
        <v>1</v>
      </c>
      <c r="N237" s="676"/>
      <c r="O237" s="24">
        <f t="shared" si="44"/>
        <v>1</v>
      </c>
      <c r="P237" s="676"/>
      <c r="Q237" s="24">
        <f t="shared" si="45"/>
        <v>1</v>
      </c>
      <c r="R237" s="672">
        <f t="shared" si="46"/>
        <v>0</v>
      </c>
      <c r="S237" s="322">
        <f t="shared" si="47"/>
        <v>0</v>
      </c>
    </row>
    <row r="238" spans="1:19">
      <c r="A238" s="155"/>
      <c r="B238" s="57"/>
      <c r="C238" s="24">
        <f t="shared" si="38"/>
        <v>1</v>
      </c>
      <c r="D238" s="676"/>
      <c r="E238" s="24">
        <f t="shared" si="39"/>
        <v>1</v>
      </c>
      <c r="F238" s="676"/>
      <c r="G238" s="24">
        <f t="shared" si="40"/>
        <v>1</v>
      </c>
      <c r="H238" s="676"/>
      <c r="I238" s="24">
        <f t="shared" si="41"/>
        <v>1</v>
      </c>
      <c r="J238" s="676"/>
      <c r="K238" s="24">
        <f t="shared" si="42"/>
        <v>1</v>
      </c>
      <c r="L238" s="676"/>
      <c r="M238" s="24">
        <f t="shared" si="43"/>
        <v>1</v>
      </c>
      <c r="N238" s="676"/>
      <c r="O238" s="24">
        <f t="shared" si="44"/>
        <v>1</v>
      </c>
      <c r="P238" s="676"/>
      <c r="Q238" s="24">
        <f t="shared" si="45"/>
        <v>1</v>
      </c>
      <c r="R238" s="672">
        <f t="shared" si="46"/>
        <v>0</v>
      </c>
      <c r="S238" s="322">
        <f t="shared" si="47"/>
        <v>0</v>
      </c>
    </row>
    <row r="239" spans="1:19">
      <c r="A239" s="155"/>
      <c r="B239" s="57"/>
      <c r="C239" s="24">
        <f t="shared" si="38"/>
        <v>1</v>
      </c>
      <c r="D239" s="676"/>
      <c r="E239" s="24">
        <f t="shared" si="39"/>
        <v>1</v>
      </c>
      <c r="F239" s="676"/>
      <c r="G239" s="24">
        <f t="shared" si="40"/>
        <v>1</v>
      </c>
      <c r="H239" s="676"/>
      <c r="I239" s="24">
        <f t="shared" si="41"/>
        <v>1</v>
      </c>
      <c r="J239" s="676"/>
      <c r="K239" s="24">
        <f t="shared" si="42"/>
        <v>1</v>
      </c>
      <c r="L239" s="676"/>
      <c r="M239" s="24">
        <f t="shared" si="43"/>
        <v>1</v>
      </c>
      <c r="N239" s="676"/>
      <c r="O239" s="24">
        <f t="shared" si="44"/>
        <v>1</v>
      </c>
      <c r="P239" s="676"/>
      <c r="Q239" s="24">
        <f t="shared" si="45"/>
        <v>1</v>
      </c>
      <c r="R239" s="672">
        <f t="shared" si="46"/>
        <v>0</v>
      </c>
      <c r="S239" s="322">
        <f t="shared" si="47"/>
        <v>0</v>
      </c>
    </row>
    <row r="240" spans="1:19">
      <c r="A240" s="155"/>
      <c r="B240" s="57"/>
      <c r="C240" s="24">
        <f t="shared" si="38"/>
        <v>1</v>
      </c>
      <c r="D240" s="676"/>
      <c r="E240" s="24">
        <f t="shared" si="39"/>
        <v>1</v>
      </c>
      <c r="F240" s="676"/>
      <c r="G240" s="24">
        <f t="shared" si="40"/>
        <v>1</v>
      </c>
      <c r="H240" s="676"/>
      <c r="I240" s="24">
        <f t="shared" si="41"/>
        <v>1</v>
      </c>
      <c r="J240" s="676"/>
      <c r="K240" s="24">
        <f t="shared" si="42"/>
        <v>1</v>
      </c>
      <c r="L240" s="676"/>
      <c r="M240" s="24">
        <f t="shared" si="43"/>
        <v>1</v>
      </c>
      <c r="N240" s="676"/>
      <c r="O240" s="24">
        <f t="shared" si="44"/>
        <v>1</v>
      </c>
      <c r="P240" s="676"/>
      <c r="Q240" s="24">
        <f t="shared" si="45"/>
        <v>1</v>
      </c>
      <c r="R240" s="672">
        <f t="shared" si="46"/>
        <v>0</v>
      </c>
      <c r="S240" s="322">
        <f t="shared" si="47"/>
        <v>0</v>
      </c>
    </row>
    <row r="241" spans="1:19">
      <c r="A241" s="155"/>
      <c r="B241" s="57"/>
      <c r="C241" s="24">
        <f t="shared" si="38"/>
        <v>1</v>
      </c>
      <c r="D241" s="676"/>
      <c r="E241" s="24">
        <f t="shared" si="39"/>
        <v>1</v>
      </c>
      <c r="F241" s="676"/>
      <c r="G241" s="24">
        <f t="shared" si="40"/>
        <v>1</v>
      </c>
      <c r="H241" s="676"/>
      <c r="I241" s="24">
        <f t="shared" si="41"/>
        <v>1</v>
      </c>
      <c r="J241" s="676"/>
      <c r="K241" s="24">
        <f t="shared" si="42"/>
        <v>1</v>
      </c>
      <c r="L241" s="676"/>
      <c r="M241" s="24">
        <f t="shared" si="43"/>
        <v>1</v>
      </c>
      <c r="N241" s="676"/>
      <c r="O241" s="24">
        <f t="shared" si="44"/>
        <v>1</v>
      </c>
      <c r="P241" s="676"/>
      <c r="Q241" s="24">
        <f t="shared" si="45"/>
        <v>1</v>
      </c>
      <c r="R241" s="672">
        <f t="shared" si="46"/>
        <v>0</v>
      </c>
      <c r="S241" s="322">
        <f t="shared" si="47"/>
        <v>0</v>
      </c>
    </row>
    <row r="242" spans="1:19">
      <c r="A242" s="155"/>
      <c r="B242" s="57"/>
      <c r="C242" s="24">
        <f t="shared" si="38"/>
        <v>1</v>
      </c>
      <c r="D242" s="676"/>
      <c r="E242" s="24">
        <f t="shared" si="39"/>
        <v>1</v>
      </c>
      <c r="F242" s="676"/>
      <c r="G242" s="24">
        <f t="shared" si="40"/>
        <v>1</v>
      </c>
      <c r="H242" s="676"/>
      <c r="I242" s="24">
        <f t="shared" si="41"/>
        <v>1</v>
      </c>
      <c r="J242" s="676"/>
      <c r="K242" s="24">
        <f t="shared" si="42"/>
        <v>1</v>
      </c>
      <c r="L242" s="676"/>
      <c r="M242" s="24">
        <f t="shared" si="43"/>
        <v>1</v>
      </c>
      <c r="N242" s="676"/>
      <c r="O242" s="24">
        <f t="shared" si="44"/>
        <v>1</v>
      </c>
      <c r="P242" s="676"/>
      <c r="Q242" s="24">
        <f t="shared" si="45"/>
        <v>1</v>
      </c>
      <c r="R242" s="672">
        <f t="shared" si="46"/>
        <v>0</v>
      </c>
      <c r="S242" s="322">
        <f t="shared" si="47"/>
        <v>0</v>
      </c>
    </row>
    <row r="243" spans="1:19">
      <c r="A243" s="155"/>
      <c r="B243" s="57"/>
      <c r="C243" s="24">
        <f t="shared" si="38"/>
        <v>1</v>
      </c>
      <c r="D243" s="676"/>
      <c r="E243" s="24">
        <f t="shared" si="39"/>
        <v>1</v>
      </c>
      <c r="F243" s="676"/>
      <c r="G243" s="24">
        <f t="shared" si="40"/>
        <v>1</v>
      </c>
      <c r="H243" s="676"/>
      <c r="I243" s="24">
        <f t="shared" si="41"/>
        <v>1</v>
      </c>
      <c r="J243" s="676"/>
      <c r="K243" s="24">
        <f t="shared" si="42"/>
        <v>1</v>
      </c>
      <c r="L243" s="676"/>
      <c r="M243" s="24">
        <f t="shared" si="43"/>
        <v>1</v>
      </c>
      <c r="N243" s="676"/>
      <c r="O243" s="24">
        <f t="shared" si="44"/>
        <v>1</v>
      </c>
      <c r="P243" s="676"/>
      <c r="Q243" s="24">
        <f t="shared" si="45"/>
        <v>1</v>
      </c>
      <c r="R243" s="672">
        <f t="shared" si="46"/>
        <v>0</v>
      </c>
      <c r="S243" s="322">
        <f t="shared" si="47"/>
        <v>0</v>
      </c>
    </row>
    <row r="244" spans="1:19">
      <c r="A244" s="155"/>
      <c r="B244" s="57"/>
      <c r="C244" s="24">
        <f t="shared" si="38"/>
        <v>1</v>
      </c>
      <c r="D244" s="676"/>
      <c r="E244" s="24">
        <f t="shared" si="39"/>
        <v>1</v>
      </c>
      <c r="F244" s="676"/>
      <c r="G244" s="24">
        <f t="shared" si="40"/>
        <v>1</v>
      </c>
      <c r="H244" s="676"/>
      <c r="I244" s="24">
        <f t="shared" si="41"/>
        <v>1</v>
      </c>
      <c r="J244" s="676"/>
      <c r="K244" s="24">
        <f t="shared" si="42"/>
        <v>1</v>
      </c>
      <c r="L244" s="676"/>
      <c r="M244" s="24">
        <f t="shared" si="43"/>
        <v>1</v>
      </c>
      <c r="N244" s="676"/>
      <c r="O244" s="24">
        <f t="shared" si="44"/>
        <v>1</v>
      </c>
      <c r="P244" s="676"/>
      <c r="Q244" s="24">
        <f t="shared" si="45"/>
        <v>1</v>
      </c>
      <c r="R244" s="672">
        <f t="shared" si="46"/>
        <v>0</v>
      </c>
      <c r="S244" s="322">
        <f t="shared" si="47"/>
        <v>0</v>
      </c>
    </row>
    <row r="245" spans="1:19">
      <c r="A245" s="155"/>
      <c r="B245" s="57"/>
      <c r="C245" s="24">
        <f t="shared" si="38"/>
        <v>1</v>
      </c>
      <c r="D245" s="676"/>
      <c r="E245" s="24">
        <f t="shared" si="39"/>
        <v>1</v>
      </c>
      <c r="F245" s="676"/>
      <c r="G245" s="24">
        <f t="shared" si="40"/>
        <v>1</v>
      </c>
      <c r="H245" s="676"/>
      <c r="I245" s="24">
        <f t="shared" si="41"/>
        <v>1</v>
      </c>
      <c r="J245" s="676"/>
      <c r="K245" s="24">
        <f t="shared" si="42"/>
        <v>1</v>
      </c>
      <c r="L245" s="676"/>
      <c r="M245" s="24">
        <f t="shared" si="43"/>
        <v>1</v>
      </c>
      <c r="N245" s="676"/>
      <c r="O245" s="24">
        <f t="shared" si="44"/>
        <v>1</v>
      </c>
      <c r="P245" s="676"/>
      <c r="Q245" s="24">
        <f t="shared" si="45"/>
        <v>1</v>
      </c>
      <c r="R245" s="672">
        <f t="shared" si="46"/>
        <v>0</v>
      </c>
      <c r="S245" s="322">
        <f t="shared" si="47"/>
        <v>0</v>
      </c>
    </row>
    <row r="246" spans="1:19">
      <c r="A246" s="155"/>
      <c r="B246" s="57"/>
      <c r="C246" s="24">
        <f t="shared" si="38"/>
        <v>1</v>
      </c>
      <c r="D246" s="676"/>
      <c r="E246" s="24">
        <f t="shared" si="39"/>
        <v>1</v>
      </c>
      <c r="F246" s="676"/>
      <c r="G246" s="24">
        <f t="shared" si="40"/>
        <v>1</v>
      </c>
      <c r="H246" s="676"/>
      <c r="I246" s="24">
        <f t="shared" si="41"/>
        <v>1</v>
      </c>
      <c r="J246" s="676"/>
      <c r="K246" s="24">
        <f t="shared" si="42"/>
        <v>1</v>
      </c>
      <c r="L246" s="676"/>
      <c r="M246" s="24">
        <f t="shared" si="43"/>
        <v>1</v>
      </c>
      <c r="N246" s="676"/>
      <c r="O246" s="24">
        <f t="shared" si="44"/>
        <v>1</v>
      </c>
      <c r="P246" s="676"/>
      <c r="Q246" s="24">
        <f t="shared" si="45"/>
        <v>1</v>
      </c>
      <c r="R246" s="672">
        <f t="shared" si="46"/>
        <v>0</v>
      </c>
      <c r="S246" s="322">
        <f t="shared" si="47"/>
        <v>0</v>
      </c>
    </row>
    <row r="247" spans="1:19">
      <c r="A247" s="155"/>
      <c r="B247" s="57"/>
      <c r="C247" s="24">
        <f t="shared" si="38"/>
        <v>1</v>
      </c>
      <c r="D247" s="676"/>
      <c r="E247" s="24">
        <f t="shared" si="39"/>
        <v>1</v>
      </c>
      <c r="F247" s="676"/>
      <c r="G247" s="24">
        <f t="shared" si="40"/>
        <v>1</v>
      </c>
      <c r="H247" s="676"/>
      <c r="I247" s="24">
        <f t="shared" si="41"/>
        <v>1</v>
      </c>
      <c r="J247" s="676"/>
      <c r="K247" s="24">
        <f t="shared" si="42"/>
        <v>1</v>
      </c>
      <c r="L247" s="676"/>
      <c r="M247" s="24">
        <f t="shared" si="43"/>
        <v>1</v>
      </c>
      <c r="N247" s="676"/>
      <c r="O247" s="24">
        <f t="shared" si="44"/>
        <v>1</v>
      </c>
      <c r="P247" s="676"/>
      <c r="Q247" s="24">
        <f t="shared" si="45"/>
        <v>1</v>
      </c>
      <c r="R247" s="672">
        <f t="shared" si="46"/>
        <v>0</v>
      </c>
      <c r="S247" s="322">
        <f t="shared" si="47"/>
        <v>0</v>
      </c>
    </row>
    <row r="248" spans="1:19">
      <c r="A248" s="155"/>
      <c r="B248" s="57"/>
      <c r="C248" s="24">
        <f t="shared" si="38"/>
        <v>1</v>
      </c>
      <c r="D248" s="676"/>
      <c r="E248" s="24">
        <f t="shared" si="39"/>
        <v>1</v>
      </c>
      <c r="F248" s="676"/>
      <c r="G248" s="24">
        <f t="shared" si="40"/>
        <v>1</v>
      </c>
      <c r="H248" s="676"/>
      <c r="I248" s="24">
        <f t="shared" si="41"/>
        <v>1</v>
      </c>
      <c r="J248" s="676"/>
      <c r="K248" s="24">
        <f t="shared" si="42"/>
        <v>1</v>
      </c>
      <c r="L248" s="676"/>
      <c r="M248" s="24">
        <f t="shared" si="43"/>
        <v>1</v>
      </c>
      <c r="N248" s="676"/>
      <c r="O248" s="24">
        <f t="shared" si="44"/>
        <v>1</v>
      </c>
      <c r="P248" s="676"/>
      <c r="Q248" s="24">
        <f t="shared" si="45"/>
        <v>1</v>
      </c>
      <c r="R248" s="672">
        <f t="shared" si="46"/>
        <v>0</v>
      </c>
      <c r="S248" s="322">
        <f t="shared" si="47"/>
        <v>0</v>
      </c>
    </row>
    <row r="249" spans="1:19">
      <c r="A249" s="155"/>
      <c r="B249" s="57"/>
      <c r="C249" s="24">
        <f t="shared" si="38"/>
        <v>1</v>
      </c>
      <c r="D249" s="676"/>
      <c r="E249" s="24">
        <f t="shared" si="39"/>
        <v>1</v>
      </c>
      <c r="F249" s="676"/>
      <c r="G249" s="24">
        <f t="shared" si="40"/>
        <v>1</v>
      </c>
      <c r="H249" s="676"/>
      <c r="I249" s="24">
        <f t="shared" si="41"/>
        <v>1</v>
      </c>
      <c r="J249" s="676"/>
      <c r="K249" s="24">
        <f t="shared" si="42"/>
        <v>1</v>
      </c>
      <c r="L249" s="676"/>
      <c r="M249" s="24">
        <f t="shared" si="43"/>
        <v>1</v>
      </c>
      <c r="N249" s="676"/>
      <c r="O249" s="24">
        <f t="shared" si="44"/>
        <v>1</v>
      </c>
      <c r="P249" s="676"/>
      <c r="Q249" s="24">
        <f t="shared" si="45"/>
        <v>1</v>
      </c>
      <c r="R249" s="672">
        <f t="shared" si="46"/>
        <v>0</v>
      </c>
      <c r="S249" s="322">
        <f t="shared" si="47"/>
        <v>0</v>
      </c>
    </row>
    <row r="250" spans="1:19">
      <c r="A250" s="155"/>
      <c r="B250" s="57"/>
      <c r="C250" s="24">
        <f t="shared" si="38"/>
        <v>1</v>
      </c>
      <c r="D250" s="676"/>
      <c r="E250" s="24">
        <f t="shared" si="39"/>
        <v>1</v>
      </c>
      <c r="F250" s="676"/>
      <c r="G250" s="24">
        <f t="shared" si="40"/>
        <v>1</v>
      </c>
      <c r="H250" s="676"/>
      <c r="I250" s="24">
        <f t="shared" si="41"/>
        <v>1</v>
      </c>
      <c r="J250" s="676"/>
      <c r="K250" s="24">
        <f t="shared" si="42"/>
        <v>1</v>
      </c>
      <c r="L250" s="676"/>
      <c r="M250" s="24">
        <f t="shared" si="43"/>
        <v>1</v>
      </c>
      <c r="N250" s="676"/>
      <c r="O250" s="24">
        <f t="shared" si="44"/>
        <v>1</v>
      </c>
      <c r="P250" s="676"/>
      <c r="Q250" s="24">
        <f t="shared" si="45"/>
        <v>1</v>
      </c>
      <c r="R250" s="672">
        <f t="shared" si="46"/>
        <v>0</v>
      </c>
      <c r="S250" s="322">
        <f t="shared" si="47"/>
        <v>0</v>
      </c>
    </row>
    <row r="251" spans="1:19">
      <c r="A251" s="155"/>
      <c r="B251" s="57"/>
      <c r="C251" s="24">
        <f t="shared" si="38"/>
        <v>1</v>
      </c>
      <c r="D251" s="676"/>
      <c r="E251" s="24">
        <f t="shared" si="39"/>
        <v>1</v>
      </c>
      <c r="F251" s="676"/>
      <c r="G251" s="24">
        <f t="shared" si="40"/>
        <v>1</v>
      </c>
      <c r="H251" s="676"/>
      <c r="I251" s="24">
        <f t="shared" si="41"/>
        <v>1</v>
      </c>
      <c r="J251" s="676"/>
      <c r="K251" s="24">
        <f t="shared" si="42"/>
        <v>1</v>
      </c>
      <c r="L251" s="676"/>
      <c r="M251" s="24">
        <f t="shared" si="43"/>
        <v>1</v>
      </c>
      <c r="N251" s="676"/>
      <c r="O251" s="24">
        <f t="shared" si="44"/>
        <v>1</v>
      </c>
      <c r="P251" s="676"/>
      <c r="Q251" s="24">
        <f t="shared" si="45"/>
        <v>1</v>
      </c>
      <c r="R251" s="672">
        <f t="shared" si="46"/>
        <v>0</v>
      </c>
      <c r="S251" s="322">
        <f t="shared" si="47"/>
        <v>0</v>
      </c>
    </row>
    <row r="252" spans="1:19">
      <c r="A252" s="155"/>
      <c r="B252" s="57"/>
      <c r="C252" s="24">
        <f t="shared" si="38"/>
        <v>1</v>
      </c>
      <c r="D252" s="676"/>
      <c r="E252" s="24">
        <f t="shared" si="39"/>
        <v>1</v>
      </c>
      <c r="F252" s="676"/>
      <c r="G252" s="24">
        <f t="shared" si="40"/>
        <v>1</v>
      </c>
      <c r="H252" s="676"/>
      <c r="I252" s="24">
        <f t="shared" si="41"/>
        <v>1</v>
      </c>
      <c r="J252" s="676"/>
      <c r="K252" s="24">
        <f t="shared" si="42"/>
        <v>1</v>
      </c>
      <c r="L252" s="676"/>
      <c r="M252" s="24">
        <f t="shared" si="43"/>
        <v>1</v>
      </c>
      <c r="N252" s="676"/>
      <c r="O252" s="24">
        <f t="shared" si="44"/>
        <v>1</v>
      </c>
      <c r="P252" s="676"/>
      <c r="Q252" s="24">
        <f t="shared" si="45"/>
        <v>1</v>
      </c>
      <c r="R252" s="672">
        <f t="shared" si="46"/>
        <v>0</v>
      </c>
      <c r="S252" s="322">
        <f t="shared" si="47"/>
        <v>0</v>
      </c>
    </row>
    <row r="253" spans="1:19">
      <c r="A253" s="155"/>
      <c r="B253" s="57"/>
      <c r="C253" s="24">
        <f t="shared" si="38"/>
        <v>1</v>
      </c>
      <c r="D253" s="676"/>
      <c r="E253" s="24">
        <f t="shared" si="39"/>
        <v>1</v>
      </c>
      <c r="F253" s="676"/>
      <c r="G253" s="24">
        <f t="shared" si="40"/>
        <v>1</v>
      </c>
      <c r="H253" s="676"/>
      <c r="I253" s="24">
        <f t="shared" si="41"/>
        <v>1</v>
      </c>
      <c r="J253" s="676"/>
      <c r="K253" s="24">
        <f t="shared" si="42"/>
        <v>1</v>
      </c>
      <c r="L253" s="676"/>
      <c r="M253" s="24">
        <f t="shared" si="43"/>
        <v>1</v>
      </c>
      <c r="N253" s="676"/>
      <c r="O253" s="24">
        <f t="shared" si="44"/>
        <v>1</v>
      </c>
      <c r="P253" s="676"/>
      <c r="Q253" s="24">
        <f t="shared" si="45"/>
        <v>1</v>
      </c>
      <c r="R253" s="672">
        <f t="shared" si="46"/>
        <v>0</v>
      </c>
      <c r="S253" s="322">
        <f t="shared" si="47"/>
        <v>0</v>
      </c>
    </row>
    <row r="254" spans="1:19">
      <c r="A254" s="155"/>
      <c r="B254" s="57"/>
      <c r="C254" s="24">
        <f t="shared" si="38"/>
        <v>1</v>
      </c>
      <c r="D254" s="676"/>
      <c r="E254" s="24">
        <f t="shared" si="39"/>
        <v>1</v>
      </c>
      <c r="F254" s="676"/>
      <c r="G254" s="24">
        <f t="shared" si="40"/>
        <v>1</v>
      </c>
      <c r="H254" s="676"/>
      <c r="I254" s="24">
        <f t="shared" si="41"/>
        <v>1</v>
      </c>
      <c r="J254" s="676"/>
      <c r="K254" s="24">
        <f t="shared" si="42"/>
        <v>1</v>
      </c>
      <c r="L254" s="676"/>
      <c r="M254" s="24">
        <f t="shared" si="43"/>
        <v>1</v>
      </c>
      <c r="N254" s="676"/>
      <c r="O254" s="24">
        <f t="shared" si="44"/>
        <v>1</v>
      </c>
      <c r="P254" s="676"/>
      <c r="Q254" s="24">
        <f t="shared" si="45"/>
        <v>1</v>
      </c>
      <c r="R254" s="672">
        <f t="shared" si="46"/>
        <v>0</v>
      </c>
      <c r="S254" s="322">
        <f t="shared" si="47"/>
        <v>0</v>
      </c>
    </row>
    <row r="255" spans="1:19">
      <c r="A255" s="155"/>
      <c r="B255" s="57"/>
      <c r="C255" s="24">
        <f t="shared" si="38"/>
        <v>1</v>
      </c>
      <c r="D255" s="676"/>
      <c r="E255" s="24">
        <f t="shared" si="39"/>
        <v>1</v>
      </c>
      <c r="F255" s="676"/>
      <c r="G255" s="24">
        <f t="shared" si="40"/>
        <v>1</v>
      </c>
      <c r="H255" s="676"/>
      <c r="I255" s="24">
        <f t="shared" si="41"/>
        <v>1</v>
      </c>
      <c r="J255" s="676"/>
      <c r="K255" s="24">
        <f t="shared" si="42"/>
        <v>1</v>
      </c>
      <c r="L255" s="676"/>
      <c r="M255" s="24">
        <f t="shared" si="43"/>
        <v>1</v>
      </c>
      <c r="N255" s="676"/>
      <c r="O255" s="24">
        <f t="shared" si="44"/>
        <v>1</v>
      </c>
      <c r="P255" s="676"/>
      <c r="Q255" s="24">
        <f t="shared" si="45"/>
        <v>1</v>
      </c>
      <c r="R255" s="672">
        <f t="shared" si="46"/>
        <v>0</v>
      </c>
      <c r="S255" s="322">
        <f t="shared" si="47"/>
        <v>0</v>
      </c>
    </row>
    <row r="256" spans="1:19">
      <c r="A256" s="155"/>
      <c r="B256" s="57"/>
      <c r="C256" s="24">
        <f t="shared" si="38"/>
        <v>1</v>
      </c>
      <c r="D256" s="676"/>
      <c r="E256" s="24">
        <f t="shared" si="39"/>
        <v>1</v>
      </c>
      <c r="F256" s="676"/>
      <c r="G256" s="24">
        <f t="shared" si="40"/>
        <v>1</v>
      </c>
      <c r="H256" s="676"/>
      <c r="I256" s="24">
        <f t="shared" si="41"/>
        <v>1</v>
      </c>
      <c r="J256" s="676"/>
      <c r="K256" s="24">
        <f t="shared" si="42"/>
        <v>1</v>
      </c>
      <c r="L256" s="676"/>
      <c r="M256" s="24">
        <f t="shared" si="43"/>
        <v>1</v>
      </c>
      <c r="N256" s="676"/>
      <c r="O256" s="24">
        <f t="shared" si="44"/>
        <v>1</v>
      </c>
      <c r="P256" s="676"/>
      <c r="Q256" s="24">
        <f t="shared" si="45"/>
        <v>1</v>
      </c>
      <c r="R256" s="672">
        <f t="shared" si="46"/>
        <v>0</v>
      </c>
      <c r="S256" s="322">
        <f t="shared" si="47"/>
        <v>0</v>
      </c>
    </row>
    <row r="257" spans="1:19">
      <c r="A257" s="155"/>
      <c r="B257" s="57"/>
      <c r="C257" s="24">
        <f t="shared" si="38"/>
        <v>1</v>
      </c>
      <c r="D257" s="676"/>
      <c r="E257" s="24">
        <f t="shared" si="39"/>
        <v>1</v>
      </c>
      <c r="F257" s="676"/>
      <c r="G257" s="24">
        <f t="shared" si="40"/>
        <v>1</v>
      </c>
      <c r="H257" s="676"/>
      <c r="I257" s="24">
        <f t="shared" si="41"/>
        <v>1</v>
      </c>
      <c r="J257" s="676"/>
      <c r="K257" s="24">
        <f t="shared" si="42"/>
        <v>1</v>
      </c>
      <c r="L257" s="676"/>
      <c r="M257" s="24">
        <f t="shared" si="43"/>
        <v>1</v>
      </c>
      <c r="N257" s="676"/>
      <c r="O257" s="24">
        <f t="shared" si="44"/>
        <v>1</v>
      </c>
      <c r="P257" s="676"/>
      <c r="Q257" s="24">
        <f t="shared" si="45"/>
        <v>1</v>
      </c>
      <c r="R257" s="672">
        <f t="shared" si="46"/>
        <v>0</v>
      </c>
      <c r="S257" s="322">
        <f t="shared" si="47"/>
        <v>0</v>
      </c>
    </row>
    <row r="258" spans="1:19">
      <c r="A258" s="155"/>
      <c r="B258" s="57"/>
      <c r="C258" s="24">
        <f t="shared" si="38"/>
        <v>1</v>
      </c>
      <c r="D258" s="676"/>
      <c r="E258" s="24">
        <f t="shared" si="39"/>
        <v>1</v>
      </c>
      <c r="F258" s="676"/>
      <c r="G258" s="24">
        <f t="shared" si="40"/>
        <v>1</v>
      </c>
      <c r="H258" s="676"/>
      <c r="I258" s="24">
        <f t="shared" si="41"/>
        <v>1</v>
      </c>
      <c r="J258" s="676"/>
      <c r="K258" s="24">
        <f t="shared" si="42"/>
        <v>1</v>
      </c>
      <c r="L258" s="676"/>
      <c r="M258" s="24">
        <f t="shared" si="43"/>
        <v>1</v>
      </c>
      <c r="N258" s="676"/>
      <c r="O258" s="24">
        <f t="shared" si="44"/>
        <v>1</v>
      </c>
      <c r="P258" s="676"/>
      <c r="Q258" s="24">
        <f t="shared" si="45"/>
        <v>1</v>
      </c>
      <c r="R258" s="672">
        <f t="shared" si="46"/>
        <v>0</v>
      </c>
      <c r="S258" s="322">
        <f t="shared" si="47"/>
        <v>0</v>
      </c>
    </row>
    <row r="259" spans="1:19">
      <c r="A259" s="155"/>
      <c r="B259" s="57"/>
      <c r="C259" s="24">
        <f t="shared" si="38"/>
        <v>1</v>
      </c>
      <c r="D259" s="676"/>
      <c r="E259" s="24">
        <f t="shared" si="39"/>
        <v>1</v>
      </c>
      <c r="F259" s="676"/>
      <c r="G259" s="24">
        <f t="shared" si="40"/>
        <v>1</v>
      </c>
      <c r="H259" s="676"/>
      <c r="I259" s="24">
        <f t="shared" si="41"/>
        <v>1</v>
      </c>
      <c r="J259" s="676"/>
      <c r="K259" s="24">
        <f t="shared" si="42"/>
        <v>1</v>
      </c>
      <c r="L259" s="676"/>
      <c r="M259" s="24">
        <f t="shared" si="43"/>
        <v>1</v>
      </c>
      <c r="N259" s="676"/>
      <c r="O259" s="24">
        <f t="shared" si="44"/>
        <v>1</v>
      </c>
      <c r="P259" s="676"/>
      <c r="Q259" s="24">
        <f t="shared" si="45"/>
        <v>1</v>
      </c>
      <c r="R259" s="672">
        <f t="shared" si="46"/>
        <v>0</v>
      </c>
      <c r="S259" s="322">
        <f t="shared" si="47"/>
        <v>0</v>
      </c>
    </row>
    <row r="260" spans="1:19">
      <c r="A260" s="155"/>
      <c r="B260" s="57"/>
      <c r="C260" s="24">
        <f t="shared" si="38"/>
        <v>1</v>
      </c>
      <c r="D260" s="676"/>
      <c r="E260" s="24">
        <f t="shared" si="39"/>
        <v>1</v>
      </c>
      <c r="F260" s="676"/>
      <c r="G260" s="24">
        <f t="shared" si="40"/>
        <v>1</v>
      </c>
      <c r="H260" s="676"/>
      <c r="I260" s="24">
        <f t="shared" si="41"/>
        <v>1</v>
      </c>
      <c r="J260" s="676"/>
      <c r="K260" s="24">
        <f t="shared" si="42"/>
        <v>1</v>
      </c>
      <c r="L260" s="676"/>
      <c r="M260" s="24">
        <f t="shared" si="43"/>
        <v>1</v>
      </c>
      <c r="N260" s="676"/>
      <c r="O260" s="24">
        <f t="shared" si="44"/>
        <v>1</v>
      </c>
      <c r="P260" s="676"/>
      <c r="Q260" s="24">
        <f t="shared" si="45"/>
        <v>1</v>
      </c>
      <c r="R260" s="672">
        <f t="shared" si="46"/>
        <v>0</v>
      </c>
      <c r="S260" s="322">
        <f t="shared" si="47"/>
        <v>0</v>
      </c>
    </row>
    <row r="261" spans="1:19">
      <c r="A261" s="155"/>
      <c r="B261" s="57"/>
      <c r="C261" s="24">
        <f t="shared" si="38"/>
        <v>1</v>
      </c>
      <c r="D261" s="676"/>
      <c r="E261" s="24">
        <f t="shared" si="39"/>
        <v>1</v>
      </c>
      <c r="F261" s="676"/>
      <c r="G261" s="24">
        <f t="shared" si="40"/>
        <v>1</v>
      </c>
      <c r="H261" s="676"/>
      <c r="I261" s="24">
        <f t="shared" si="41"/>
        <v>1</v>
      </c>
      <c r="J261" s="676"/>
      <c r="K261" s="24">
        <f t="shared" si="42"/>
        <v>1</v>
      </c>
      <c r="L261" s="676"/>
      <c r="M261" s="24">
        <f t="shared" si="43"/>
        <v>1</v>
      </c>
      <c r="N261" s="676"/>
      <c r="O261" s="24">
        <f t="shared" si="44"/>
        <v>1</v>
      </c>
      <c r="P261" s="676"/>
      <c r="Q261" s="24">
        <f t="shared" si="45"/>
        <v>1</v>
      </c>
      <c r="R261" s="672">
        <f t="shared" si="46"/>
        <v>0</v>
      </c>
      <c r="S261" s="322">
        <f t="shared" si="47"/>
        <v>0</v>
      </c>
    </row>
    <row r="262" spans="1:19">
      <c r="A262" s="155"/>
      <c r="B262" s="57"/>
      <c r="C262" s="24">
        <f t="shared" si="38"/>
        <v>1</v>
      </c>
      <c r="D262" s="676"/>
      <c r="E262" s="24">
        <f t="shared" si="39"/>
        <v>1</v>
      </c>
      <c r="F262" s="676"/>
      <c r="G262" s="24">
        <f t="shared" si="40"/>
        <v>1</v>
      </c>
      <c r="H262" s="676"/>
      <c r="I262" s="24">
        <f t="shared" si="41"/>
        <v>1</v>
      </c>
      <c r="J262" s="676"/>
      <c r="K262" s="24">
        <f t="shared" si="42"/>
        <v>1</v>
      </c>
      <c r="L262" s="676"/>
      <c r="M262" s="24">
        <f t="shared" si="43"/>
        <v>1</v>
      </c>
      <c r="N262" s="676"/>
      <c r="O262" s="24">
        <f t="shared" si="44"/>
        <v>1</v>
      </c>
      <c r="P262" s="676"/>
      <c r="Q262" s="24">
        <f t="shared" si="45"/>
        <v>1</v>
      </c>
      <c r="R262" s="672">
        <f t="shared" si="46"/>
        <v>0</v>
      </c>
      <c r="S262" s="322">
        <f t="shared" si="47"/>
        <v>0</v>
      </c>
    </row>
    <row r="263" spans="1:19">
      <c r="A263" s="155"/>
      <c r="B263" s="57"/>
      <c r="C263" s="24">
        <f t="shared" si="38"/>
        <v>1</v>
      </c>
      <c r="D263" s="676"/>
      <c r="E263" s="24">
        <f t="shared" si="39"/>
        <v>1</v>
      </c>
      <c r="F263" s="676"/>
      <c r="G263" s="24">
        <f t="shared" si="40"/>
        <v>1</v>
      </c>
      <c r="H263" s="676"/>
      <c r="I263" s="24">
        <f t="shared" si="41"/>
        <v>1</v>
      </c>
      <c r="J263" s="676"/>
      <c r="K263" s="24">
        <f t="shared" si="42"/>
        <v>1</v>
      </c>
      <c r="L263" s="676"/>
      <c r="M263" s="24">
        <f t="shared" si="43"/>
        <v>1</v>
      </c>
      <c r="N263" s="676"/>
      <c r="O263" s="24">
        <f t="shared" si="44"/>
        <v>1</v>
      </c>
      <c r="P263" s="676"/>
      <c r="Q263" s="24">
        <f t="shared" si="45"/>
        <v>1</v>
      </c>
      <c r="R263" s="672">
        <f t="shared" si="46"/>
        <v>0</v>
      </c>
      <c r="S263" s="322">
        <f t="shared" si="47"/>
        <v>0</v>
      </c>
    </row>
    <row r="264" spans="1:19">
      <c r="A264" s="155"/>
      <c r="B264" s="57"/>
      <c r="C264" s="24">
        <f t="shared" si="38"/>
        <v>1</v>
      </c>
      <c r="D264" s="676"/>
      <c r="E264" s="24">
        <f t="shared" si="39"/>
        <v>1</v>
      </c>
      <c r="F264" s="676"/>
      <c r="G264" s="24">
        <f t="shared" si="40"/>
        <v>1</v>
      </c>
      <c r="H264" s="676"/>
      <c r="I264" s="24">
        <f t="shared" si="41"/>
        <v>1</v>
      </c>
      <c r="J264" s="676"/>
      <c r="K264" s="24">
        <f t="shared" si="42"/>
        <v>1</v>
      </c>
      <c r="L264" s="676"/>
      <c r="M264" s="24">
        <f t="shared" si="43"/>
        <v>1</v>
      </c>
      <c r="N264" s="676"/>
      <c r="O264" s="24">
        <f t="shared" si="44"/>
        <v>1</v>
      </c>
      <c r="P264" s="676"/>
      <c r="Q264" s="24">
        <f t="shared" si="45"/>
        <v>1</v>
      </c>
      <c r="R264" s="672">
        <f t="shared" si="46"/>
        <v>0</v>
      </c>
      <c r="S264" s="322">
        <f t="shared" si="47"/>
        <v>0</v>
      </c>
    </row>
    <row r="265" spans="1:19">
      <c r="A265" s="155"/>
      <c r="B265" s="57"/>
      <c r="C265" s="24">
        <f t="shared" si="38"/>
        <v>1</v>
      </c>
      <c r="D265" s="676"/>
      <c r="E265" s="24">
        <f t="shared" si="39"/>
        <v>1</v>
      </c>
      <c r="F265" s="676"/>
      <c r="G265" s="24">
        <f t="shared" si="40"/>
        <v>1</v>
      </c>
      <c r="H265" s="676"/>
      <c r="I265" s="24">
        <f t="shared" si="41"/>
        <v>1</v>
      </c>
      <c r="J265" s="676"/>
      <c r="K265" s="24">
        <f t="shared" si="42"/>
        <v>1</v>
      </c>
      <c r="L265" s="676"/>
      <c r="M265" s="24">
        <f t="shared" si="43"/>
        <v>1</v>
      </c>
      <c r="N265" s="676"/>
      <c r="O265" s="24">
        <f t="shared" si="44"/>
        <v>1</v>
      </c>
      <c r="P265" s="676"/>
      <c r="Q265" s="24">
        <f t="shared" si="45"/>
        <v>1</v>
      </c>
      <c r="R265" s="672">
        <f t="shared" si="46"/>
        <v>0</v>
      </c>
      <c r="S265" s="322">
        <f t="shared" si="47"/>
        <v>0</v>
      </c>
    </row>
    <row r="266" spans="1:19">
      <c r="A266" s="155"/>
      <c r="B266" s="57"/>
      <c r="C266" s="24">
        <f t="shared" si="38"/>
        <v>1</v>
      </c>
      <c r="D266" s="676"/>
      <c r="E266" s="24">
        <f t="shared" si="39"/>
        <v>1</v>
      </c>
      <c r="F266" s="676"/>
      <c r="G266" s="24">
        <f t="shared" si="40"/>
        <v>1</v>
      </c>
      <c r="H266" s="676"/>
      <c r="I266" s="24">
        <f t="shared" si="41"/>
        <v>1</v>
      </c>
      <c r="J266" s="676"/>
      <c r="K266" s="24">
        <f t="shared" si="42"/>
        <v>1</v>
      </c>
      <c r="L266" s="676"/>
      <c r="M266" s="24">
        <f t="shared" si="43"/>
        <v>1</v>
      </c>
      <c r="N266" s="676"/>
      <c r="O266" s="24">
        <f t="shared" si="44"/>
        <v>1</v>
      </c>
      <c r="P266" s="676"/>
      <c r="Q266" s="24">
        <f t="shared" si="45"/>
        <v>1</v>
      </c>
      <c r="R266" s="672">
        <f t="shared" si="46"/>
        <v>0</v>
      </c>
      <c r="S266" s="322">
        <f t="shared" si="47"/>
        <v>0</v>
      </c>
    </row>
    <row r="267" spans="1:19">
      <c r="A267" s="155"/>
      <c r="B267" s="57"/>
      <c r="C267" s="24">
        <f t="shared" si="38"/>
        <v>1</v>
      </c>
      <c r="D267" s="676"/>
      <c r="E267" s="24">
        <f t="shared" si="39"/>
        <v>1</v>
      </c>
      <c r="F267" s="676"/>
      <c r="G267" s="24">
        <f t="shared" si="40"/>
        <v>1</v>
      </c>
      <c r="H267" s="676"/>
      <c r="I267" s="24">
        <f t="shared" si="41"/>
        <v>1</v>
      </c>
      <c r="J267" s="676"/>
      <c r="K267" s="24">
        <f t="shared" si="42"/>
        <v>1</v>
      </c>
      <c r="L267" s="676"/>
      <c r="M267" s="24">
        <f t="shared" si="43"/>
        <v>1</v>
      </c>
      <c r="N267" s="676"/>
      <c r="O267" s="24">
        <f t="shared" si="44"/>
        <v>1</v>
      </c>
      <c r="P267" s="676"/>
      <c r="Q267" s="24">
        <f t="shared" si="45"/>
        <v>1</v>
      </c>
      <c r="R267" s="672">
        <f t="shared" si="46"/>
        <v>0</v>
      </c>
      <c r="S267" s="322">
        <f t="shared" si="47"/>
        <v>0</v>
      </c>
    </row>
    <row r="268" spans="1:19">
      <c r="A268" s="155"/>
      <c r="B268" s="57"/>
      <c r="C268" s="24">
        <f t="shared" si="38"/>
        <v>1</v>
      </c>
      <c r="D268" s="676"/>
      <c r="E268" s="24">
        <f t="shared" si="39"/>
        <v>1</v>
      </c>
      <c r="F268" s="676"/>
      <c r="G268" s="24">
        <f t="shared" si="40"/>
        <v>1</v>
      </c>
      <c r="H268" s="676"/>
      <c r="I268" s="24">
        <f t="shared" si="41"/>
        <v>1</v>
      </c>
      <c r="J268" s="676"/>
      <c r="K268" s="24">
        <f t="shared" si="42"/>
        <v>1</v>
      </c>
      <c r="L268" s="676"/>
      <c r="M268" s="24">
        <f t="shared" si="43"/>
        <v>1</v>
      </c>
      <c r="N268" s="676"/>
      <c r="O268" s="24">
        <f t="shared" si="44"/>
        <v>1</v>
      </c>
      <c r="P268" s="676"/>
      <c r="Q268" s="24">
        <f t="shared" si="45"/>
        <v>1</v>
      </c>
      <c r="R268" s="672">
        <f t="shared" si="46"/>
        <v>0</v>
      </c>
      <c r="S268" s="322">
        <f t="shared" si="47"/>
        <v>0</v>
      </c>
    </row>
    <row r="269" spans="1:19">
      <c r="A269" s="155"/>
      <c r="B269" s="57"/>
      <c r="C269" s="24">
        <f t="shared" si="38"/>
        <v>1</v>
      </c>
      <c r="D269" s="676"/>
      <c r="E269" s="24">
        <f t="shared" si="39"/>
        <v>1</v>
      </c>
      <c r="F269" s="676"/>
      <c r="G269" s="24">
        <f t="shared" si="40"/>
        <v>1</v>
      </c>
      <c r="H269" s="676"/>
      <c r="I269" s="24">
        <f t="shared" si="41"/>
        <v>1</v>
      </c>
      <c r="J269" s="676"/>
      <c r="K269" s="24">
        <f t="shared" si="42"/>
        <v>1</v>
      </c>
      <c r="L269" s="676"/>
      <c r="M269" s="24">
        <f t="shared" si="43"/>
        <v>1</v>
      </c>
      <c r="N269" s="676"/>
      <c r="O269" s="24">
        <f t="shared" si="44"/>
        <v>1</v>
      </c>
      <c r="P269" s="676"/>
      <c r="Q269" s="24">
        <f t="shared" si="45"/>
        <v>1</v>
      </c>
      <c r="R269" s="672">
        <f t="shared" si="46"/>
        <v>0</v>
      </c>
      <c r="S269" s="322">
        <f t="shared" si="47"/>
        <v>0</v>
      </c>
    </row>
    <row r="270" spans="1:19">
      <c r="A270" s="155"/>
      <c r="B270" s="57"/>
      <c r="C270" s="24">
        <f t="shared" si="38"/>
        <v>1</v>
      </c>
      <c r="D270" s="676"/>
      <c r="E270" s="24">
        <f t="shared" si="39"/>
        <v>1</v>
      </c>
      <c r="F270" s="676"/>
      <c r="G270" s="24">
        <f t="shared" si="40"/>
        <v>1</v>
      </c>
      <c r="H270" s="676"/>
      <c r="I270" s="24">
        <f t="shared" si="41"/>
        <v>1</v>
      </c>
      <c r="J270" s="676"/>
      <c r="K270" s="24">
        <f t="shared" si="42"/>
        <v>1</v>
      </c>
      <c r="L270" s="676"/>
      <c r="M270" s="24">
        <f t="shared" si="43"/>
        <v>1</v>
      </c>
      <c r="N270" s="676"/>
      <c r="O270" s="24">
        <f t="shared" si="44"/>
        <v>1</v>
      </c>
      <c r="P270" s="676"/>
      <c r="Q270" s="24">
        <f t="shared" si="45"/>
        <v>1</v>
      </c>
      <c r="R270" s="672">
        <f t="shared" si="46"/>
        <v>0</v>
      </c>
      <c r="S270" s="322">
        <f t="shared" si="47"/>
        <v>0</v>
      </c>
    </row>
    <row r="271" spans="1:19">
      <c r="A271" s="155"/>
      <c r="B271" s="57"/>
      <c r="C271" s="24">
        <f t="shared" si="38"/>
        <v>1</v>
      </c>
      <c r="D271" s="676"/>
      <c r="E271" s="24">
        <f t="shared" si="39"/>
        <v>1</v>
      </c>
      <c r="F271" s="676"/>
      <c r="G271" s="24">
        <f t="shared" si="40"/>
        <v>1</v>
      </c>
      <c r="H271" s="676"/>
      <c r="I271" s="24">
        <f t="shared" si="41"/>
        <v>1</v>
      </c>
      <c r="J271" s="676"/>
      <c r="K271" s="24">
        <f t="shared" si="42"/>
        <v>1</v>
      </c>
      <c r="L271" s="676"/>
      <c r="M271" s="24">
        <f t="shared" si="43"/>
        <v>1</v>
      </c>
      <c r="N271" s="676"/>
      <c r="O271" s="24">
        <f t="shared" si="44"/>
        <v>1</v>
      </c>
      <c r="P271" s="676"/>
      <c r="Q271" s="24">
        <f t="shared" si="45"/>
        <v>1</v>
      </c>
      <c r="R271" s="672">
        <f t="shared" si="46"/>
        <v>0</v>
      </c>
      <c r="S271" s="322">
        <f t="shared" si="47"/>
        <v>0</v>
      </c>
    </row>
    <row r="272" spans="1:19">
      <c r="A272" s="155"/>
      <c r="B272" s="57"/>
      <c r="C272" s="24">
        <f t="shared" si="38"/>
        <v>1</v>
      </c>
      <c r="D272" s="676"/>
      <c r="E272" s="24">
        <f t="shared" si="39"/>
        <v>1</v>
      </c>
      <c r="F272" s="676"/>
      <c r="G272" s="24">
        <f t="shared" si="40"/>
        <v>1</v>
      </c>
      <c r="H272" s="676"/>
      <c r="I272" s="24">
        <f t="shared" si="41"/>
        <v>1</v>
      </c>
      <c r="J272" s="676"/>
      <c r="K272" s="24">
        <f t="shared" si="42"/>
        <v>1</v>
      </c>
      <c r="L272" s="676"/>
      <c r="M272" s="24">
        <f t="shared" si="43"/>
        <v>1</v>
      </c>
      <c r="N272" s="676"/>
      <c r="O272" s="24">
        <f t="shared" si="44"/>
        <v>1</v>
      </c>
      <c r="P272" s="676"/>
      <c r="Q272" s="24">
        <f t="shared" si="45"/>
        <v>1</v>
      </c>
      <c r="R272" s="672">
        <f t="shared" si="46"/>
        <v>0</v>
      </c>
      <c r="S272" s="322">
        <f t="shared" si="47"/>
        <v>0</v>
      </c>
    </row>
    <row r="273" spans="1:19">
      <c r="A273" s="155"/>
      <c r="B273" s="57"/>
      <c r="C273" s="24">
        <f t="shared" si="38"/>
        <v>1</v>
      </c>
      <c r="D273" s="676"/>
      <c r="E273" s="24">
        <f t="shared" si="39"/>
        <v>1</v>
      </c>
      <c r="F273" s="676"/>
      <c r="G273" s="24">
        <f t="shared" si="40"/>
        <v>1</v>
      </c>
      <c r="H273" s="676"/>
      <c r="I273" s="24">
        <f t="shared" si="41"/>
        <v>1</v>
      </c>
      <c r="J273" s="676"/>
      <c r="K273" s="24">
        <f t="shared" si="42"/>
        <v>1</v>
      </c>
      <c r="L273" s="676"/>
      <c r="M273" s="24">
        <f t="shared" si="43"/>
        <v>1</v>
      </c>
      <c r="N273" s="676"/>
      <c r="O273" s="24">
        <f t="shared" si="44"/>
        <v>1</v>
      </c>
      <c r="P273" s="676"/>
      <c r="Q273" s="24">
        <f t="shared" si="45"/>
        <v>1</v>
      </c>
      <c r="R273" s="672">
        <f t="shared" si="46"/>
        <v>0</v>
      </c>
      <c r="S273" s="322">
        <f t="shared" si="47"/>
        <v>0</v>
      </c>
    </row>
    <row r="274" spans="1:19">
      <c r="A274" s="155"/>
      <c r="B274" s="57"/>
      <c r="C274" s="24">
        <f t="shared" si="38"/>
        <v>1</v>
      </c>
      <c r="D274" s="676"/>
      <c r="E274" s="24">
        <f t="shared" si="39"/>
        <v>1</v>
      </c>
      <c r="F274" s="676"/>
      <c r="G274" s="24">
        <f t="shared" si="40"/>
        <v>1</v>
      </c>
      <c r="H274" s="676"/>
      <c r="I274" s="24">
        <f t="shared" si="41"/>
        <v>1</v>
      </c>
      <c r="J274" s="676"/>
      <c r="K274" s="24">
        <f t="shared" si="42"/>
        <v>1</v>
      </c>
      <c r="L274" s="676"/>
      <c r="M274" s="24">
        <f t="shared" si="43"/>
        <v>1</v>
      </c>
      <c r="N274" s="676"/>
      <c r="O274" s="24">
        <f t="shared" si="44"/>
        <v>1</v>
      </c>
      <c r="P274" s="676"/>
      <c r="Q274" s="24">
        <f t="shared" si="45"/>
        <v>1</v>
      </c>
      <c r="R274" s="672">
        <f t="shared" si="46"/>
        <v>0</v>
      </c>
      <c r="S274" s="322">
        <f t="shared" si="47"/>
        <v>0</v>
      </c>
    </row>
    <row r="275" spans="1:19">
      <c r="A275" s="155"/>
      <c r="B275" s="57"/>
      <c r="C275" s="24">
        <f t="shared" si="38"/>
        <v>1</v>
      </c>
      <c r="D275" s="676"/>
      <c r="E275" s="24">
        <f t="shared" si="39"/>
        <v>1</v>
      </c>
      <c r="F275" s="676"/>
      <c r="G275" s="24">
        <f t="shared" si="40"/>
        <v>1</v>
      </c>
      <c r="H275" s="676"/>
      <c r="I275" s="24">
        <f t="shared" si="41"/>
        <v>1</v>
      </c>
      <c r="J275" s="676"/>
      <c r="K275" s="24">
        <f t="shared" si="42"/>
        <v>1</v>
      </c>
      <c r="L275" s="676"/>
      <c r="M275" s="24">
        <f t="shared" si="43"/>
        <v>1</v>
      </c>
      <c r="N275" s="676"/>
      <c r="O275" s="24">
        <f t="shared" si="44"/>
        <v>1</v>
      </c>
      <c r="P275" s="676"/>
      <c r="Q275" s="24">
        <f t="shared" si="45"/>
        <v>1</v>
      </c>
      <c r="R275" s="672">
        <f t="shared" si="46"/>
        <v>0</v>
      </c>
      <c r="S275" s="322">
        <f t="shared" si="47"/>
        <v>0</v>
      </c>
    </row>
    <row r="276" spans="1:19">
      <c r="A276" s="155"/>
      <c r="B276" s="57"/>
      <c r="C276" s="24">
        <f t="shared" si="38"/>
        <v>1</v>
      </c>
      <c r="D276" s="676"/>
      <c r="E276" s="24">
        <f t="shared" si="39"/>
        <v>1</v>
      </c>
      <c r="F276" s="676"/>
      <c r="G276" s="24">
        <f t="shared" si="40"/>
        <v>1</v>
      </c>
      <c r="H276" s="676"/>
      <c r="I276" s="24">
        <f t="shared" si="41"/>
        <v>1</v>
      </c>
      <c r="J276" s="676"/>
      <c r="K276" s="24">
        <f t="shared" si="42"/>
        <v>1</v>
      </c>
      <c r="L276" s="676"/>
      <c r="M276" s="24">
        <f t="shared" si="43"/>
        <v>1</v>
      </c>
      <c r="N276" s="676"/>
      <c r="O276" s="24">
        <f t="shared" si="44"/>
        <v>1</v>
      </c>
      <c r="P276" s="676"/>
      <c r="Q276" s="24">
        <f t="shared" si="45"/>
        <v>1</v>
      </c>
      <c r="R276" s="672">
        <f t="shared" si="46"/>
        <v>0</v>
      </c>
      <c r="S276" s="322">
        <f t="shared" si="47"/>
        <v>0</v>
      </c>
    </row>
    <row r="277" spans="1:19">
      <c r="A277" s="155"/>
      <c r="B277" s="57"/>
      <c r="C277" s="24">
        <f t="shared" si="38"/>
        <v>1</v>
      </c>
      <c r="D277" s="676"/>
      <c r="E277" s="24">
        <f t="shared" si="39"/>
        <v>1</v>
      </c>
      <c r="F277" s="676"/>
      <c r="G277" s="24">
        <f t="shared" si="40"/>
        <v>1</v>
      </c>
      <c r="H277" s="676"/>
      <c r="I277" s="24">
        <f t="shared" si="41"/>
        <v>1</v>
      </c>
      <c r="J277" s="676"/>
      <c r="K277" s="24">
        <f t="shared" si="42"/>
        <v>1</v>
      </c>
      <c r="L277" s="676"/>
      <c r="M277" s="24">
        <f t="shared" si="43"/>
        <v>1</v>
      </c>
      <c r="N277" s="676"/>
      <c r="O277" s="24">
        <f t="shared" si="44"/>
        <v>1</v>
      </c>
      <c r="P277" s="676"/>
      <c r="Q277" s="24">
        <f t="shared" si="45"/>
        <v>1</v>
      </c>
      <c r="R277" s="672">
        <f t="shared" si="46"/>
        <v>0</v>
      </c>
      <c r="S277" s="322">
        <f t="shared" si="47"/>
        <v>0</v>
      </c>
    </row>
    <row r="278" spans="1:19">
      <c r="A278" s="155"/>
      <c r="B278" s="57"/>
      <c r="C278" s="24">
        <f t="shared" si="38"/>
        <v>1</v>
      </c>
      <c r="D278" s="676"/>
      <c r="E278" s="24">
        <f t="shared" si="39"/>
        <v>1</v>
      </c>
      <c r="F278" s="676"/>
      <c r="G278" s="24">
        <f t="shared" si="40"/>
        <v>1</v>
      </c>
      <c r="H278" s="676"/>
      <c r="I278" s="24">
        <f t="shared" si="41"/>
        <v>1</v>
      </c>
      <c r="J278" s="676"/>
      <c r="K278" s="24">
        <f t="shared" si="42"/>
        <v>1</v>
      </c>
      <c r="L278" s="676"/>
      <c r="M278" s="24">
        <f t="shared" si="43"/>
        <v>1</v>
      </c>
      <c r="N278" s="676"/>
      <c r="O278" s="24">
        <f t="shared" si="44"/>
        <v>1</v>
      </c>
      <c r="P278" s="676"/>
      <c r="Q278" s="24">
        <f t="shared" si="45"/>
        <v>1</v>
      </c>
      <c r="R278" s="672">
        <f t="shared" si="46"/>
        <v>0</v>
      </c>
      <c r="S278" s="322">
        <f t="shared" si="47"/>
        <v>0</v>
      </c>
    </row>
    <row r="279" spans="1:19">
      <c r="A279" s="155"/>
      <c r="B279" s="57"/>
      <c r="C279" s="24">
        <f t="shared" si="38"/>
        <v>1</v>
      </c>
      <c r="D279" s="676"/>
      <c r="E279" s="24">
        <f t="shared" si="39"/>
        <v>1</v>
      </c>
      <c r="F279" s="676"/>
      <c r="G279" s="24">
        <f t="shared" si="40"/>
        <v>1</v>
      </c>
      <c r="H279" s="676"/>
      <c r="I279" s="24">
        <f t="shared" si="41"/>
        <v>1</v>
      </c>
      <c r="J279" s="676"/>
      <c r="K279" s="24">
        <f t="shared" si="42"/>
        <v>1</v>
      </c>
      <c r="L279" s="676"/>
      <c r="M279" s="24">
        <f t="shared" si="43"/>
        <v>1</v>
      </c>
      <c r="N279" s="676"/>
      <c r="O279" s="24">
        <f t="shared" si="44"/>
        <v>1</v>
      </c>
      <c r="P279" s="676"/>
      <c r="Q279" s="24">
        <f t="shared" si="45"/>
        <v>1</v>
      </c>
      <c r="R279" s="672">
        <f t="shared" si="46"/>
        <v>0</v>
      </c>
      <c r="S279" s="322">
        <f t="shared" si="47"/>
        <v>0</v>
      </c>
    </row>
    <row r="280" spans="1:19">
      <c r="A280" s="155"/>
      <c r="B280" s="57"/>
      <c r="C280" s="24">
        <f t="shared" si="38"/>
        <v>1</v>
      </c>
      <c r="D280" s="676"/>
      <c r="E280" s="24">
        <f t="shared" si="39"/>
        <v>1</v>
      </c>
      <c r="F280" s="676"/>
      <c r="G280" s="24">
        <f t="shared" si="40"/>
        <v>1</v>
      </c>
      <c r="H280" s="676"/>
      <c r="I280" s="24">
        <f t="shared" si="41"/>
        <v>1</v>
      </c>
      <c r="J280" s="676"/>
      <c r="K280" s="24">
        <f t="shared" si="42"/>
        <v>1</v>
      </c>
      <c r="L280" s="676"/>
      <c r="M280" s="24">
        <f t="shared" si="43"/>
        <v>1</v>
      </c>
      <c r="N280" s="676"/>
      <c r="O280" s="24">
        <f t="shared" si="44"/>
        <v>1</v>
      </c>
      <c r="P280" s="676"/>
      <c r="Q280" s="24">
        <f t="shared" si="45"/>
        <v>1</v>
      </c>
      <c r="R280" s="672">
        <f t="shared" si="46"/>
        <v>0</v>
      </c>
      <c r="S280" s="322">
        <f t="shared" si="47"/>
        <v>0</v>
      </c>
    </row>
    <row r="281" spans="1:19">
      <c r="A281" s="155"/>
      <c r="B281" s="57"/>
      <c r="C281" s="24">
        <f t="shared" si="38"/>
        <v>1</v>
      </c>
      <c r="D281" s="676"/>
      <c r="E281" s="24">
        <f t="shared" si="39"/>
        <v>1</v>
      </c>
      <c r="F281" s="676"/>
      <c r="G281" s="24">
        <f t="shared" si="40"/>
        <v>1</v>
      </c>
      <c r="H281" s="676"/>
      <c r="I281" s="24">
        <f t="shared" si="41"/>
        <v>1</v>
      </c>
      <c r="J281" s="676"/>
      <c r="K281" s="24">
        <f t="shared" si="42"/>
        <v>1</v>
      </c>
      <c r="L281" s="676"/>
      <c r="M281" s="24">
        <f t="shared" si="43"/>
        <v>1</v>
      </c>
      <c r="N281" s="676"/>
      <c r="O281" s="24">
        <f t="shared" si="44"/>
        <v>1</v>
      </c>
      <c r="P281" s="676"/>
      <c r="Q281" s="24">
        <f t="shared" si="45"/>
        <v>1</v>
      </c>
      <c r="R281" s="672">
        <f t="shared" si="46"/>
        <v>0</v>
      </c>
      <c r="S281" s="322">
        <f t="shared" si="47"/>
        <v>0</v>
      </c>
    </row>
    <row r="282" spans="1:19">
      <c r="A282" s="155"/>
      <c r="B282" s="57"/>
      <c r="C282" s="24">
        <f t="shared" ref="C282:C345" si="48">IF(B282="",1,(LOOKUP(B282,$3:$3,$4:$4)-LOOKUP($B$24,$3:$3,$4:$4)+100)/100)</f>
        <v>1</v>
      </c>
      <c r="D282" s="676"/>
      <c r="E282" s="24">
        <f t="shared" ref="E282:E345" si="49">(SUMIF($5:$5,D282,$6:$6)-SUMIF($5:$5,$D$24,$6:$6)+100)/100</f>
        <v>1</v>
      </c>
      <c r="F282" s="676"/>
      <c r="G282" s="24">
        <f t="shared" ref="G282:G345" si="50">(SUMIF($7:$7,F282,$8:$8)-SUMIF($7:$7,$F$24,$8:$8)+100)/100</f>
        <v>1</v>
      </c>
      <c r="H282" s="676"/>
      <c r="I282" s="24">
        <f t="shared" ref="I282:I345" si="51">(SUMIF($9:$9,H282,$10:$10)-SUMIF($9:$9,$H$24,$10:$10)+100)/100</f>
        <v>1</v>
      </c>
      <c r="J282" s="676"/>
      <c r="K282" s="24">
        <f t="shared" ref="K282:K345" si="52">(SUMIF($11:$11,J282,$12:$12)-SUMIF($11:$11,$J$24,$12:$12)+100)/100</f>
        <v>1</v>
      </c>
      <c r="L282" s="676"/>
      <c r="M282" s="24">
        <f t="shared" ref="M282:M345" si="53">(SUMIF($13:$13,L282,$14:$14)-SUMIF($13:$13,$L$24,$14:$14)+100)/100</f>
        <v>1</v>
      </c>
      <c r="N282" s="676"/>
      <c r="O282" s="24">
        <f t="shared" ref="O282:O345" si="54">(SUMIF($15:$15,N282,$16:$16)-SUMIF($15:$15,$N$24,$16:$16)+100)/100</f>
        <v>1</v>
      </c>
      <c r="P282" s="676"/>
      <c r="Q282" s="24">
        <f t="shared" ref="Q282:Q345" si="55">(SUMIF($17:$17,P282,$18:$18)-SUMIF($17:$17,$P$24,$18:$18)+100)/100</f>
        <v>1</v>
      </c>
      <c r="R282" s="672">
        <f t="shared" ref="R282:R345" si="56">IF(B282="",0,ROUND($R$24*C282*E282*G282*I282*K282*M282*O282*Q282,0))</f>
        <v>0</v>
      </c>
      <c r="S282" s="322">
        <f t="shared" si="47"/>
        <v>0</v>
      </c>
    </row>
    <row r="283" spans="1:19">
      <c r="A283" s="155"/>
      <c r="B283" s="57"/>
      <c r="C283" s="24">
        <f t="shared" si="48"/>
        <v>1</v>
      </c>
      <c r="D283" s="676"/>
      <c r="E283" s="24">
        <f t="shared" si="49"/>
        <v>1</v>
      </c>
      <c r="F283" s="676"/>
      <c r="G283" s="24">
        <f t="shared" si="50"/>
        <v>1</v>
      </c>
      <c r="H283" s="676"/>
      <c r="I283" s="24">
        <f t="shared" si="51"/>
        <v>1</v>
      </c>
      <c r="J283" s="676"/>
      <c r="K283" s="24">
        <f t="shared" si="52"/>
        <v>1</v>
      </c>
      <c r="L283" s="676"/>
      <c r="M283" s="24">
        <f t="shared" si="53"/>
        <v>1</v>
      </c>
      <c r="N283" s="676"/>
      <c r="O283" s="24">
        <f t="shared" si="54"/>
        <v>1</v>
      </c>
      <c r="P283" s="676"/>
      <c r="Q283" s="24">
        <f t="shared" si="55"/>
        <v>1</v>
      </c>
      <c r="R283" s="672">
        <f t="shared" si="56"/>
        <v>0</v>
      </c>
      <c r="S283" s="322">
        <f t="shared" si="47"/>
        <v>0</v>
      </c>
    </row>
    <row r="284" spans="1:19">
      <c r="A284" s="155"/>
      <c r="B284" s="57"/>
      <c r="C284" s="24">
        <f t="shared" si="48"/>
        <v>1</v>
      </c>
      <c r="D284" s="676"/>
      <c r="E284" s="24">
        <f t="shared" si="49"/>
        <v>1</v>
      </c>
      <c r="F284" s="676"/>
      <c r="G284" s="24">
        <f t="shared" si="50"/>
        <v>1</v>
      </c>
      <c r="H284" s="676"/>
      <c r="I284" s="24">
        <f t="shared" si="51"/>
        <v>1</v>
      </c>
      <c r="J284" s="676"/>
      <c r="K284" s="24">
        <f t="shared" si="52"/>
        <v>1</v>
      </c>
      <c r="L284" s="676"/>
      <c r="M284" s="24">
        <f t="shared" si="53"/>
        <v>1</v>
      </c>
      <c r="N284" s="676"/>
      <c r="O284" s="24">
        <f t="shared" si="54"/>
        <v>1</v>
      </c>
      <c r="P284" s="676"/>
      <c r="Q284" s="24">
        <f t="shared" si="55"/>
        <v>1</v>
      </c>
      <c r="R284" s="672">
        <f t="shared" si="56"/>
        <v>0</v>
      </c>
      <c r="S284" s="322">
        <f t="shared" si="47"/>
        <v>0</v>
      </c>
    </row>
    <row r="285" spans="1:19">
      <c r="A285" s="155"/>
      <c r="B285" s="57"/>
      <c r="C285" s="24">
        <f t="shared" si="48"/>
        <v>1</v>
      </c>
      <c r="D285" s="676"/>
      <c r="E285" s="24">
        <f t="shared" si="49"/>
        <v>1</v>
      </c>
      <c r="F285" s="676"/>
      <c r="G285" s="24">
        <f t="shared" si="50"/>
        <v>1</v>
      </c>
      <c r="H285" s="676"/>
      <c r="I285" s="24">
        <f t="shared" si="51"/>
        <v>1</v>
      </c>
      <c r="J285" s="676"/>
      <c r="K285" s="24">
        <f t="shared" si="52"/>
        <v>1</v>
      </c>
      <c r="L285" s="676"/>
      <c r="M285" s="24">
        <f t="shared" si="53"/>
        <v>1</v>
      </c>
      <c r="N285" s="676"/>
      <c r="O285" s="24">
        <f t="shared" si="54"/>
        <v>1</v>
      </c>
      <c r="P285" s="676"/>
      <c r="Q285" s="24">
        <f t="shared" si="55"/>
        <v>1</v>
      </c>
      <c r="R285" s="672">
        <f t="shared" si="56"/>
        <v>0</v>
      </c>
      <c r="S285" s="322">
        <f t="shared" si="47"/>
        <v>0</v>
      </c>
    </row>
    <row r="286" spans="1:19">
      <c r="A286" s="155"/>
      <c r="B286" s="57"/>
      <c r="C286" s="24">
        <f t="shared" si="48"/>
        <v>1</v>
      </c>
      <c r="D286" s="676"/>
      <c r="E286" s="24">
        <f t="shared" si="49"/>
        <v>1</v>
      </c>
      <c r="F286" s="676"/>
      <c r="G286" s="24">
        <f t="shared" si="50"/>
        <v>1</v>
      </c>
      <c r="H286" s="676"/>
      <c r="I286" s="24">
        <f t="shared" si="51"/>
        <v>1</v>
      </c>
      <c r="J286" s="676"/>
      <c r="K286" s="24">
        <f t="shared" si="52"/>
        <v>1</v>
      </c>
      <c r="L286" s="676"/>
      <c r="M286" s="24">
        <f t="shared" si="53"/>
        <v>1</v>
      </c>
      <c r="N286" s="676"/>
      <c r="O286" s="24">
        <f t="shared" si="54"/>
        <v>1</v>
      </c>
      <c r="P286" s="676"/>
      <c r="Q286" s="24">
        <f t="shared" si="55"/>
        <v>1</v>
      </c>
      <c r="R286" s="672">
        <f t="shared" si="56"/>
        <v>0</v>
      </c>
      <c r="S286" s="322">
        <f t="shared" si="47"/>
        <v>0</v>
      </c>
    </row>
    <row r="287" spans="1:19">
      <c r="A287" s="155"/>
      <c r="B287" s="57"/>
      <c r="C287" s="24">
        <f t="shared" si="48"/>
        <v>1</v>
      </c>
      <c r="D287" s="676"/>
      <c r="E287" s="24">
        <f t="shared" si="49"/>
        <v>1</v>
      </c>
      <c r="F287" s="676"/>
      <c r="G287" s="24">
        <f t="shared" si="50"/>
        <v>1</v>
      </c>
      <c r="H287" s="676"/>
      <c r="I287" s="24">
        <f t="shared" si="51"/>
        <v>1</v>
      </c>
      <c r="J287" s="676"/>
      <c r="K287" s="24">
        <f t="shared" si="52"/>
        <v>1</v>
      </c>
      <c r="L287" s="676"/>
      <c r="M287" s="24">
        <f t="shared" si="53"/>
        <v>1</v>
      </c>
      <c r="N287" s="676"/>
      <c r="O287" s="24">
        <f t="shared" si="54"/>
        <v>1</v>
      </c>
      <c r="P287" s="676"/>
      <c r="Q287" s="24">
        <f t="shared" si="55"/>
        <v>1</v>
      </c>
      <c r="R287" s="672">
        <f t="shared" si="56"/>
        <v>0</v>
      </c>
      <c r="S287" s="322">
        <f t="shared" ref="S287:S320" si="57">ROUND(R287*B287/10000,0)</f>
        <v>0</v>
      </c>
    </row>
    <row r="288" spans="1:19">
      <c r="A288" s="155"/>
      <c r="B288" s="57"/>
      <c r="C288" s="24">
        <f t="shared" si="48"/>
        <v>1</v>
      </c>
      <c r="D288" s="676"/>
      <c r="E288" s="24">
        <f t="shared" si="49"/>
        <v>1</v>
      </c>
      <c r="F288" s="676"/>
      <c r="G288" s="24">
        <f t="shared" si="50"/>
        <v>1</v>
      </c>
      <c r="H288" s="676"/>
      <c r="I288" s="24">
        <f t="shared" si="51"/>
        <v>1</v>
      </c>
      <c r="J288" s="676"/>
      <c r="K288" s="24">
        <f t="shared" si="52"/>
        <v>1</v>
      </c>
      <c r="L288" s="676"/>
      <c r="M288" s="24">
        <f t="shared" si="53"/>
        <v>1</v>
      </c>
      <c r="N288" s="676"/>
      <c r="O288" s="24">
        <f t="shared" si="54"/>
        <v>1</v>
      </c>
      <c r="P288" s="676"/>
      <c r="Q288" s="24">
        <f t="shared" si="55"/>
        <v>1</v>
      </c>
      <c r="R288" s="672">
        <f t="shared" si="56"/>
        <v>0</v>
      </c>
      <c r="S288" s="322">
        <f t="shared" si="57"/>
        <v>0</v>
      </c>
    </row>
    <row r="289" spans="1:19">
      <c r="A289" s="155"/>
      <c r="B289" s="57"/>
      <c r="C289" s="24">
        <f t="shared" si="48"/>
        <v>1</v>
      </c>
      <c r="D289" s="676"/>
      <c r="E289" s="24">
        <f t="shared" si="49"/>
        <v>1</v>
      </c>
      <c r="F289" s="676"/>
      <c r="G289" s="24">
        <f t="shared" si="50"/>
        <v>1</v>
      </c>
      <c r="H289" s="676"/>
      <c r="I289" s="24">
        <f t="shared" si="51"/>
        <v>1</v>
      </c>
      <c r="J289" s="676"/>
      <c r="K289" s="24">
        <f t="shared" si="52"/>
        <v>1</v>
      </c>
      <c r="L289" s="676"/>
      <c r="M289" s="24">
        <f t="shared" si="53"/>
        <v>1</v>
      </c>
      <c r="N289" s="676"/>
      <c r="O289" s="24">
        <f t="shared" si="54"/>
        <v>1</v>
      </c>
      <c r="P289" s="676"/>
      <c r="Q289" s="24">
        <f t="shared" si="55"/>
        <v>1</v>
      </c>
      <c r="R289" s="672">
        <f t="shared" si="56"/>
        <v>0</v>
      </c>
      <c r="S289" s="322">
        <f t="shared" si="57"/>
        <v>0</v>
      </c>
    </row>
    <row r="290" spans="1:19">
      <c r="A290" s="155"/>
      <c r="B290" s="57"/>
      <c r="C290" s="24">
        <f t="shared" si="48"/>
        <v>1</v>
      </c>
      <c r="D290" s="676"/>
      <c r="E290" s="24">
        <f t="shared" si="49"/>
        <v>1</v>
      </c>
      <c r="F290" s="676"/>
      <c r="G290" s="24">
        <f t="shared" si="50"/>
        <v>1</v>
      </c>
      <c r="H290" s="676"/>
      <c r="I290" s="24">
        <f t="shared" si="51"/>
        <v>1</v>
      </c>
      <c r="J290" s="676"/>
      <c r="K290" s="24">
        <f t="shared" si="52"/>
        <v>1</v>
      </c>
      <c r="L290" s="676"/>
      <c r="M290" s="24">
        <f t="shared" si="53"/>
        <v>1</v>
      </c>
      <c r="N290" s="676"/>
      <c r="O290" s="24">
        <f t="shared" si="54"/>
        <v>1</v>
      </c>
      <c r="P290" s="676"/>
      <c r="Q290" s="24">
        <f t="shared" si="55"/>
        <v>1</v>
      </c>
      <c r="R290" s="672">
        <f t="shared" si="56"/>
        <v>0</v>
      </c>
      <c r="S290" s="322">
        <f t="shared" si="57"/>
        <v>0</v>
      </c>
    </row>
    <row r="291" spans="1:19">
      <c r="A291" s="155"/>
      <c r="B291" s="57"/>
      <c r="C291" s="24">
        <f t="shared" si="48"/>
        <v>1</v>
      </c>
      <c r="D291" s="676"/>
      <c r="E291" s="24">
        <f t="shared" si="49"/>
        <v>1</v>
      </c>
      <c r="F291" s="676"/>
      <c r="G291" s="24">
        <f t="shared" si="50"/>
        <v>1</v>
      </c>
      <c r="H291" s="676"/>
      <c r="I291" s="24">
        <f t="shared" si="51"/>
        <v>1</v>
      </c>
      <c r="J291" s="676"/>
      <c r="K291" s="24">
        <f t="shared" si="52"/>
        <v>1</v>
      </c>
      <c r="L291" s="676"/>
      <c r="M291" s="24">
        <f t="shared" si="53"/>
        <v>1</v>
      </c>
      <c r="N291" s="676"/>
      <c r="O291" s="24">
        <f t="shared" si="54"/>
        <v>1</v>
      </c>
      <c r="P291" s="676"/>
      <c r="Q291" s="24">
        <f t="shared" si="55"/>
        <v>1</v>
      </c>
      <c r="R291" s="672">
        <f t="shared" si="56"/>
        <v>0</v>
      </c>
      <c r="S291" s="322">
        <f t="shared" si="57"/>
        <v>0</v>
      </c>
    </row>
    <row r="292" spans="1:19">
      <c r="A292" s="155"/>
      <c r="B292" s="57"/>
      <c r="C292" s="24">
        <f t="shared" si="48"/>
        <v>1</v>
      </c>
      <c r="D292" s="676"/>
      <c r="E292" s="24">
        <f t="shared" si="49"/>
        <v>1</v>
      </c>
      <c r="F292" s="676"/>
      <c r="G292" s="24">
        <f t="shared" si="50"/>
        <v>1</v>
      </c>
      <c r="H292" s="676"/>
      <c r="I292" s="24">
        <f t="shared" si="51"/>
        <v>1</v>
      </c>
      <c r="J292" s="676"/>
      <c r="K292" s="24">
        <f t="shared" si="52"/>
        <v>1</v>
      </c>
      <c r="L292" s="676"/>
      <c r="M292" s="24">
        <f t="shared" si="53"/>
        <v>1</v>
      </c>
      <c r="N292" s="676"/>
      <c r="O292" s="24">
        <f t="shared" si="54"/>
        <v>1</v>
      </c>
      <c r="P292" s="676"/>
      <c r="Q292" s="24">
        <f t="shared" si="55"/>
        <v>1</v>
      </c>
      <c r="R292" s="672">
        <f t="shared" si="56"/>
        <v>0</v>
      </c>
      <c r="S292" s="322">
        <f t="shared" si="57"/>
        <v>0</v>
      </c>
    </row>
    <row r="293" spans="1:19">
      <c r="A293" s="155"/>
      <c r="B293" s="57"/>
      <c r="C293" s="24">
        <f t="shared" si="48"/>
        <v>1</v>
      </c>
      <c r="D293" s="676"/>
      <c r="E293" s="24">
        <f t="shared" si="49"/>
        <v>1</v>
      </c>
      <c r="F293" s="676"/>
      <c r="G293" s="24">
        <f t="shared" si="50"/>
        <v>1</v>
      </c>
      <c r="H293" s="676"/>
      <c r="I293" s="24">
        <f t="shared" si="51"/>
        <v>1</v>
      </c>
      <c r="J293" s="676"/>
      <c r="K293" s="24">
        <f t="shared" si="52"/>
        <v>1</v>
      </c>
      <c r="L293" s="676"/>
      <c r="M293" s="24">
        <f t="shared" si="53"/>
        <v>1</v>
      </c>
      <c r="N293" s="676"/>
      <c r="O293" s="24">
        <f t="shared" si="54"/>
        <v>1</v>
      </c>
      <c r="P293" s="676"/>
      <c r="Q293" s="24">
        <f t="shared" si="55"/>
        <v>1</v>
      </c>
      <c r="R293" s="672">
        <f t="shared" si="56"/>
        <v>0</v>
      </c>
      <c r="S293" s="322">
        <f t="shared" si="57"/>
        <v>0</v>
      </c>
    </row>
    <row r="294" spans="1:19">
      <c r="A294" s="155"/>
      <c r="B294" s="57"/>
      <c r="C294" s="24">
        <f t="shared" si="48"/>
        <v>1</v>
      </c>
      <c r="D294" s="676"/>
      <c r="E294" s="24">
        <f t="shared" si="49"/>
        <v>1</v>
      </c>
      <c r="F294" s="676"/>
      <c r="G294" s="24">
        <f t="shared" si="50"/>
        <v>1</v>
      </c>
      <c r="H294" s="676"/>
      <c r="I294" s="24">
        <f t="shared" si="51"/>
        <v>1</v>
      </c>
      <c r="J294" s="676"/>
      <c r="K294" s="24">
        <f t="shared" si="52"/>
        <v>1</v>
      </c>
      <c r="L294" s="676"/>
      <c r="M294" s="24">
        <f t="shared" si="53"/>
        <v>1</v>
      </c>
      <c r="N294" s="676"/>
      <c r="O294" s="24">
        <f t="shared" si="54"/>
        <v>1</v>
      </c>
      <c r="P294" s="676"/>
      <c r="Q294" s="24">
        <f t="shared" si="55"/>
        <v>1</v>
      </c>
      <c r="R294" s="672">
        <f t="shared" si="56"/>
        <v>0</v>
      </c>
      <c r="S294" s="322">
        <f t="shared" si="57"/>
        <v>0</v>
      </c>
    </row>
    <row r="295" spans="1:19">
      <c r="A295" s="155"/>
      <c r="B295" s="57"/>
      <c r="C295" s="24">
        <f t="shared" si="48"/>
        <v>1</v>
      </c>
      <c r="D295" s="676"/>
      <c r="E295" s="24">
        <f t="shared" si="49"/>
        <v>1</v>
      </c>
      <c r="F295" s="676"/>
      <c r="G295" s="24">
        <f t="shared" si="50"/>
        <v>1</v>
      </c>
      <c r="H295" s="676"/>
      <c r="I295" s="24">
        <f t="shared" si="51"/>
        <v>1</v>
      </c>
      <c r="J295" s="676"/>
      <c r="K295" s="24">
        <f t="shared" si="52"/>
        <v>1</v>
      </c>
      <c r="L295" s="676"/>
      <c r="M295" s="24">
        <f t="shared" si="53"/>
        <v>1</v>
      </c>
      <c r="N295" s="676"/>
      <c r="O295" s="24">
        <f t="shared" si="54"/>
        <v>1</v>
      </c>
      <c r="P295" s="676"/>
      <c r="Q295" s="24">
        <f t="shared" si="55"/>
        <v>1</v>
      </c>
      <c r="R295" s="672">
        <f t="shared" si="56"/>
        <v>0</v>
      </c>
      <c r="S295" s="322">
        <f t="shared" si="57"/>
        <v>0</v>
      </c>
    </row>
    <row r="296" spans="1:19">
      <c r="A296" s="155"/>
      <c r="B296" s="57"/>
      <c r="C296" s="24">
        <f t="shared" si="48"/>
        <v>1</v>
      </c>
      <c r="D296" s="676"/>
      <c r="E296" s="24">
        <f t="shared" si="49"/>
        <v>1</v>
      </c>
      <c r="F296" s="676"/>
      <c r="G296" s="24">
        <f t="shared" si="50"/>
        <v>1</v>
      </c>
      <c r="H296" s="676"/>
      <c r="I296" s="24">
        <f t="shared" si="51"/>
        <v>1</v>
      </c>
      <c r="J296" s="676"/>
      <c r="K296" s="24">
        <f t="shared" si="52"/>
        <v>1</v>
      </c>
      <c r="L296" s="676"/>
      <c r="M296" s="24">
        <f t="shared" si="53"/>
        <v>1</v>
      </c>
      <c r="N296" s="676"/>
      <c r="O296" s="24">
        <f t="shared" si="54"/>
        <v>1</v>
      </c>
      <c r="P296" s="676"/>
      <c r="Q296" s="24">
        <f t="shared" si="55"/>
        <v>1</v>
      </c>
      <c r="R296" s="672">
        <f t="shared" si="56"/>
        <v>0</v>
      </c>
      <c r="S296" s="322">
        <f t="shared" si="57"/>
        <v>0</v>
      </c>
    </row>
    <row r="297" spans="1:19">
      <c r="A297" s="155"/>
      <c r="B297" s="57"/>
      <c r="C297" s="24">
        <f t="shared" si="48"/>
        <v>1</v>
      </c>
      <c r="D297" s="676"/>
      <c r="E297" s="24">
        <f t="shared" si="49"/>
        <v>1</v>
      </c>
      <c r="F297" s="676"/>
      <c r="G297" s="24">
        <f t="shared" si="50"/>
        <v>1</v>
      </c>
      <c r="H297" s="676"/>
      <c r="I297" s="24">
        <f t="shared" si="51"/>
        <v>1</v>
      </c>
      <c r="J297" s="676"/>
      <c r="K297" s="24">
        <f t="shared" si="52"/>
        <v>1</v>
      </c>
      <c r="L297" s="676"/>
      <c r="M297" s="24">
        <f t="shared" si="53"/>
        <v>1</v>
      </c>
      <c r="N297" s="676"/>
      <c r="O297" s="24">
        <f t="shared" si="54"/>
        <v>1</v>
      </c>
      <c r="P297" s="676"/>
      <c r="Q297" s="24">
        <f t="shared" si="55"/>
        <v>1</v>
      </c>
      <c r="R297" s="672">
        <f t="shared" si="56"/>
        <v>0</v>
      </c>
      <c r="S297" s="322">
        <f t="shared" si="57"/>
        <v>0</v>
      </c>
    </row>
    <row r="298" spans="1:19">
      <c r="A298" s="155"/>
      <c r="B298" s="57"/>
      <c r="C298" s="24">
        <f t="shared" si="48"/>
        <v>1</v>
      </c>
      <c r="D298" s="676"/>
      <c r="E298" s="24">
        <f t="shared" si="49"/>
        <v>1</v>
      </c>
      <c r="F298" s="676"/>
      <c r="G298" s="24">
        <f t="shared" si="50"/>
        <v>1</v>
      </c>
      <c r="H298" s="676"/>
      <c r="I298" s="24">
        <f t="shared" si="51"/>
        <v>1</v>
      </c>
      <c r="J298" s="676"/>
      <c r="K298" s="24">
        <f t="shared" si="52"/>
        <v>1</v>
      </c>
      <c r="L298" s="676"/>
      <c r="M298" s="24">
        <f t="shared" si="53"/>
        <v>1</v>
      </c>
      <c r="N298" s="676"/>
      <c r="O298" s="24">
        <f t="shared" si="54"/>
        <v>1</v>
      </c>
      <c r="P298" s="676"/>
      <c r="Q298" s="24">
        <f t="shared" si="55"/>
        <v>1</v>
      </c>
      <c r="R298" s="672">
        <f t="shared" si="56"/>
        <v>0</v>
      </c>
      <c r="S298" s="322">
        <f t="shared" si="57"/>
        <v>0</v>
      </c>
    </row>
    <row r="299" spans="1:19">
      <c r="A299" s="155"/>
      <c r="B299" s="57"/>
      <c r="C299" s="24">
        <f t="shared" si="48"/>
        <v>1</v>
      </c>
      <c r="D299" s="676"/>
      <c r="E299" s="24">
        <f t="shared" si="49"/>
        <v>1</v>
      </c>
      <c r="F299" s="676"/>
      <c r="G299" s="24">
        <f t="shared" si="50"/>
        <v>1</v>
      </c>
      <c r="H299" s="676"/>
      <c r="I299" s="24">
        <f t="shared" si="51"/>
        <v>1</v>
      </c>
      <c r="J299" s="676"/>
      <c r="K299" s="24">
        <f t="shared" si="52"/>
        <v>1</v>
      </c>
      <c r="L299" s="676"/>
      <c r="M299" s="24">
        <f t="shared" si="53"/>
        <v>1</v>
      </c>
      <c r="N299" s="676"/>
      <c r="O299" s="24">
        <f t="shared" si="54"/>
        <v>1</v>
      </c>
      <c r="P299" s="676"/>
      <c r="Q299" s="24">
        <f t="shared" si="55"/>
        <v>1</v>
      </c>
      <c r="R299" s="672">
        <f t="shared" si="56"/>
        <v>0</v>
      </c>
      <c r="S299" s="322">
        <f t="shared" si="57"/>
        <v>0</v>
      </c>
    </row>
    <row r="300" spans="1:19">
      <c r="A300" s="155"/>
      <c r="B300" s="57"/>
      <c r="C300" s="24">
        <f t="shared" si="48"/>
        <v>1</v>
      </c>
      <c r="D300" s="676"/>
      <c r="E300" s="24">
        <f t="shared" si="49"/>
        <v>1</v>
      </c>
      <c r="F300" s="676"/>
      <c r="G300" s="24">
        <f t="shared" si="50"/>
        <v>1</v>
      </c>
      <c r="H300" s="676"/>
      <c r="I300" s="24">
        <f t="shared" si="51"/>
        <v>1</v>
      </c>
      <c r="J300" s="676"/>
      <c r="K300" s="24">
        <f t="shared" si="52"/>
        <v>1</v>
      </c>
      <c r="L300" s="676"/>
      <c r="M300" s="24">
        <f t="shared" si="53"/>
        <v>1</v>
      </c>
      <c r="N300" s="676"/>
      <c r="O300" s="24">
        <f t="shared" si="54"/>
        <v>1</v>
      </c>
      <c r="P300" s="676"/>
      <c r="Q300" s="24">
        <f t="shared" si="55"/>
        <v>1</v>
      </c>
      <c r="R300" s="672">
        <f t="shared" si="56"/>
        <v>0</v>
      </c>
      <c r="S300" s="322">
        <f t="shared" si="57"/>
        <v>0</v>
      </c>
    </row>
    <row r="301" spans="1:19">
      <c r="A301" s="155"/>
      <c r="B301" s="57"/>
      <c r="C301" s="24">
        <f t="shared" si="48"/>
        <v>1</v>
      </c>
      <c r="D301" s="676"/>
      <c r="E301" s="24">
        <f t="shared" si="49"/>
        <v>1</v>
      </c>
      <c r="F301" s="676"/>
      <c r="G301" s="24">
        <f t="shared" si="50"/>
        <v>1</v>
      </c>
      <c r="H301" s="676"/>
      <c r="I301" s="24">
        <f t="shared" si="51"/>
        <v>1</v>
      </c>
      <c r="J301" s="676"/>
      <c r="K301" s="24">
        <f t="shared" si="52"/>
        <v>1</v>
      </c>
      <c r="L301" s="676"/>
      <c r="M301" s="24">
        <f t="shared" si="53"/>
        <v>1</v>
      </c>
      <c r="N301" s="676"/>
      <c r="O301" s="24">
        <f t="shared" si="54"/>
        <v>1</v>
      </c>
      <c r="P301" s="676"/>
      <c r="Q301" s="24">
        <f t="shared" si="55"/>
        <v>1</v>
      </c>
      <c r="R301" s="672">
        <f t="shared" si="56"/>
        <v>0</v>
      </c>
      <c r="S301" s="322">
        <f t="shared" si="57"/>
        <v>0</v>
      </c>
    </row>
    <row r="302" spans="1:19">
      <c r="A302" s="155"/>
      <c r="B302" s="57"/>
      <c r="C302" s="24">
        <f t="shared" si="48"/>
        <v>1</v>
      </c>
      <c r="D302" s="676"/>
      <c r="E302" s="24">
        <f t="shared" si="49"/>
        <v>1</v>
      </c>
      <c r="F302" s="676"/>
      <c r="G302" s="24">
        <f t="shared" si="50"/>
        <v>1</v>
      </c>
      <c r="H302" s="676"/>
      <c r="I302" s="24">
        <f t="shared" si="51"/>
        <v>1</v>
      </c>
      <c r="J302" s="676"/>
      <c r="K302" s="24">
        <f t="shared" si="52"/>
        <v>1</v>
      </c>
      <c r="L302" s="676"/>
      <c r="M302" s="24">
        <f t="shared" si="53"/>
        <v>1</v>
      </c>
      <c r="N302" s="676"/>
      <c r="O302" s="24">
        <f t="shared" si="54"/>
        <v>1</v>
      </c>
      <c r="P302" s="676"/>
      <c r="Q302" s="24">
        <f t="shared" si="55"/>
        <v>1</v>
      </c>
      <c r="R302" s="672">
        <f t="shared" si="56"/>
        <v>0</v>
      </c>
      <c r="S302" s="322">
        <f t="shared" si="57"/>
        <v>0</v>
      </c>
    </row>
    <row r="303" spans="1:19">
      <c r="A303" s="155"/>
      <c r="B303" s="57"/>
      <c r="C303" s="24">
        <f t="shared" si="48"/>
        <v>1</v>
      </c>
      <c r="D303" s="676"/>
      <c r="E303" s="24">
        <f t="shared" si="49"/>
        <v>1</v>
      </c>
      <c r="F303" s="676"/>
      <c r="G303" s="24">
        <f t="shared" si="50"/>
        <v>1</v>
      </c>
      <c r="H303" s="676"/>
      <c r="I303" s="24">
        <f t="shared" si="51"/>
        <v>1</v>
      </c>
      <c r="J303" s="676"/>
      <c r="K303" s="24">
        <f t="shared" si="52"/>
        <v>1</v>
      </c>
      <c r="L303" s="676"/>
      <c r="M303" s="24">
        <f t="shared" si="53"/>
        <v>1</v>
      </c>
      <c r="N303" s="676"/>
      <c r="O303" s="24">
        <f t="shared" si="54"/>
        <v>1</v>
      </c>
      <c r="P303" s="676"/>
      <c r="Q303" s="24">
        <f t="shared" si="55"/>
        <v>1</v>
      </c>
      <c r="R303" s="672">
        <f t="shared" si="56"/>
        <v>0</v>
      </c>
      <c r="S303" s="322">
        <f t="shared" si="57"/>
        <v>0</v>
      </c>
    </row>
    <row r="304" spans="1:19">
      <c r="A304" s="155"/>
      <c r="B304" s="57"/>
      <c r="C304" s="24">
        <f t="shared" si="48"/>
        <v>1</v>
      </c>
      <c r="D304" s="676"/>
      <c r="E304" s="24">
        <f t="shared" si="49"/>
        <v>1</v>
      </c>
      <c r="F304" s="676"/>
      <c r="G304" s="24">
        <f t="shared" si="50"/>
        <v>1</v>
      </c>
      <c r="H304" s="676"/>
      <c r="I304" s="24">
        <f t="shared" si="51"/>
        <v>1</v>
      </c>
      <c r="J304" s="676"/>
      <c r="K304" s="24">
        <f t="shared" si="52"/>
        <v>1</v>
      </c>
      <c r="L304" s="676"/>
      <c r="M304" s="24">
        <f t="shared" si="53"/>
        <v>1</v>
      </c>
      <c r="N304" s="676"/>
      <c r="O304" s="24">
        <f t="shared" si="54"/>
        <v>1</v>
      </c>
      <c r="P304" s="676"/>
      <c r="Q304" s="24">
        <f t="shared" si="55"/>
        <v>1</v>
      </c>
      <c r="R304" s="672">
        <f t="shared" si="56"/>
        <v>0</v>
      </c>
      <c r="S304" s="322">
        <f t="shared" si="57"/>
        <v>0</v>
      </c>
    </row>
    <row r="305" spans="1:19">
      <c r="A305" s="155"/>
      <c r="B305" s="57"/>
      <c r="C305" s="24">
        <f t="shared" si="48"/>
        <v>1</v>
      </c>
      <c r="D305" s="676"/>
      <c r="E305" s="24">
        <f t="shared" si="49"/>
        <v>1</v>
      </c>
      <c r="F305" s="676"/>
      <c r="G305" s="24">
        <f t="shared" si="50"/>
        <v>1</v>
      </c>
      <c r="H305" s="676"/>
      <c r="I305" s="24">
        <f t="shared" si="51"/>
        <v>1</v>
      </c>
      <c r="J305" s="676"/>
      <c r="K305" s="24">
        <f t="shared" si="52"/>
        <v>1</v>
      </c>
      <c r="L305" s="676"/>
      <c r="M305" s="24">
        <f t="shared" si="53"/>
        <v>1</v>
      </c>
      <c r="N305" s="676"/>
      <c r="O305" s="24">
        <f t="shared" si="54"/>
        <v>1</v>
      </c>
      <c r="P305" s="676"/>
      <c r="Q305" s="24">
        <f t="shared" si="55"/>
        <v>1</v>
      </c>
      <c r="R305" s="672">
        <f t="shared" si="56"/>
        <v>0</v>
      </c>
      <c r="S305" s="322">
        <f t="shared" si="57"/>
        <v>0</v>
      </c>
    </row>
    <row r="306" spans="1:19">
      <c r="A306" s="155"/>
      <c r="B306" s="57"/>
      <c r="C306" s="24">
        <f t="shared" si="48"/>
        <v>1</v>
      </c>
      <c r="D306" s="676"/>
      <c r="E306" s="24">
        <f t="shared" si="49"/>
        <v>1</v>
      </c>
      <c r="F306" s="676"/>
      <c r="G306" s="24">
        <f t="shared" si="50"/>
        <v>1</v>
      </c>
      <c r="H306" s="676"/>
      <c r="I306" s="24">
        <f t="shared" si="51"/>
        <v>1</v>
      </c>
      <c r="J306" s="676"/>
      <c r="K306" s="24">
        <f t="shared" si="52"/>
        <v>1</v>
      </c>
      <c r="L306" s="676"/>
      <c r="M306" s="24">
        <f t="shared" si="53"/>
        <v>1</v>
      </c>
      <c r="N306" s="676"/>
      <c r="O306" s="24">
        <f t="shared" si="54"/>
        <v>1</v>
      </c>
      <c r="P306" s="676"/>
      <c r="Q306" s="24">
        <f t="shared" si="55"/>
        <v>1</v>
      </c>
      <c r="R306" s="672">
        <f t="shared" si="56"/>
        <v>0</v>
      </c>
      <c r="S306" s="322">
        <f t="shared" si="57"/>
        <v>0</v>
      </c>
    </row>
    <row r="307" spans="1:19">
      <c r="A307" s="155"/>
      <c r="B307" s="57"/>
      <c r="C307" s="24">
        <f t="shared" si="48"/>
        <v>1</v>
      </c>
      <c r="D307" s="676"/>
      <c r="E307" s="24">
        <f t="shared" si="49"/>
        <v>1</v>
      </c>
      <c r="F307" s="676"/>
      <c r="G307" s="24">
        <f t="shared" si="50"/>
        <v>1</v>
      </c>
      <c r="H307" s="676"/>
      <c r="I307" s="24">
        <f t="shared" si="51"/>
        <v>1</v>
      </c>
      <c r="J307" s="676"/>
      <c r="K307" s="24">
        <f t="shared" si="52"/>
        <v>1</v>
      </c>
      <c r="L307" s="676"/>
      <c r="M307" s="24">
        <f t="shared" si="53"/>
        <v>1</v>
      </c>
      <c r="N307" s="676"/>
      <c r="O307" s="24">
        <f t="shared" si="54"/>
        <v>1</v>
      </c>
      <c r="P307" s="676"/>
      <c r="Q307" s="24">
        <f t="shared" si="55"/>
        <v>1</v>
      </c>
      <c r="R307" s="672">
        <f t="shared" si="56"/>
        <v>0</v>
      </c>
      <c r="S307" s="322">
        <f t="shared" si="57"/>
        <v>0</v>
      </c>
    </row>
    <row r="308" spans="1:19">
      <c r="A308" s="155"/>
      <c r="B308" s="57"/>
      <c r="C308" s="24">
        <f t="shared" si="48"/>
        <v>1</v>
      </c>
      <c r="D308" s="676"/>
      <c r="E308" s="24">
        <f t="shared" si="49"/>
        <v>1</v>
      </c>
      <c r="F308" s="676"/>
      <c r="G308" s="24">
        <f t="shared" si="50"/>
        <v>1</v>
      </c>
      <c r="H308" s="676"/>
      <c r="I308" s="24">
        <f t="shared" si="51"/>
        <v>1</v>
      </c>
      <c r="J308" s="676"/>
      <c r="K308" s="24">
        <f t="shared" si="52"/>
        <v>1</v>
      </c>
      <c r="L308" s="676"/>
      <c r="M308" s="24">
        <f t="shared" si="53"/>
        <v>1</v>
      </c>
      <c r="N308" s="676"/>
      <c r="O308" s="24">
        <f t="shared" si="54"/>
        <v>1</v>
      </c>
      <c r="P308" s="676"/>
      <c r="Q308" s="24">
        <f t="shared" si="55"/>
        <v>1</v>
      </c>
      <c r="R308" s="672">
        <f t="shared" si="56"/>
        <v>0</v>
      </c>
      <c r="S308" s="322">
        <f t="shared" si="57"/>
        <v>0</v>
      </c>
    </row>
    <row r="309" spans="1:19">
      <c r="A309" s="155"/>
      <c r="B309" s="57"/>
      <c r="C309" s="24">
        <f t="shared" si="48"/>
        <v>1</v>
      </c>
      <c r="D309" s="676"/>
      <c r="E309" s="24">
        <f t="shared" si="49"/>
        <v>1</v>
      </c>
      <c r="F309" s="676"/>
      <c r="G309" s="24">
        <f t="shared" si="50"/>
        <v>1</v>
      </c>
      <c r="H309" s="676"/>
      <c r="I309" s="24">
        <f t="shared" si="51"/>
        <v>1</v>
      </c>
      <c r="J309" s="676"/>
      <c r="K309" s="24">
        <f t="shared" si="52"/>
        <v>1</v>
      </c>
      <c r="L309" s="676"/>
      <c r="M309" s="24">
        <f t="shared" si="53"/>
        <v>1</v>
      </c>
      <c r="N309" s="676"/>
      <c r="O309" s="24">
        <f t="shared" si="54"/>
        <v>1</v>
      </c>
      <c r="P309" s="676"/>
      <c r="Q309" s="24">
        <f t="shared" si="55"/>
        <v>1</v>
      </c>
      <c r="R309" s="672">
        <f t="shared" si="56"/>
        <v>0</v>
      </c>
      <c r="S309" s="322">
        <f t="shared" si="57"/>
        <v>0</v>
      </c>
    </row>
    <row r="310" spans="1:19">
      <c r="A310" s="155"/>
      <c r="B310" s="57"/>
      <c r="C310" s="24">
        <f t="shared" si="48"/>
        <v>1</v>
      </c>
      <c r="D310" s="676"/>
      <c r="E310" s="24">
        <f t="shared" si="49"/>
        <v>1</v>
      </c>
      <c r="F310" s="676"/>
      <c r="G310" s="24">
        <f t="shared" si="50"/>
        <v>1</v>
      </c>
      <c r="H310" s="676"/>
      <c r="I310" s="24">
        <f t="shared" si="51"/>
        <v>1</v>
      </c>
      <c r="J310" s="676"/>
      <c r="K310" s="24">
        <f t="shared" si="52"/>
        <v>1</v>
      </c>
      <c r="L310" s="676"/>
      <c r="M310" s="24">
        <f t="shared" si="53"/>
        <v>1</v>
      </c>
      <c r="N310" s="676"/>
      <c r="O310" s="24">
        <f t="shared" si="54"/>
        <v>1</v>
      </c>
      <c r="P310" s="676"/>
      <c r="Q310" s="24">
        <f t="shared" si="55"/>
        <v>1</v>
      </c>
      <c r="R310" s="672">
        <f t="shared" si="56"/>
        <v>0</v>
      </c>
      <c r="S310" s="322">
        <f t="shared" si="57"/>
        <v>0</v>
      </c>
    </row>
    <row r="311" spans="1:19">
      <c r="A311" s="155"/>
      <c r="B311" s="57"/>
      <c r="C311" s="24">
        <f t="shared" si="48"/>
        <v>1</v>
      </c>
      <c r="D311" s="676"/>
      <c r="E311" s="24">
        <f t="shared" si="49"/>
        <v>1</v>
      </c>
      <c r="F311" s="676"/>
      <c r="G311" s="24">
        <f t="shared" si="50"/>
        <v>1</v>
      </c>
      <c r="H311" s="676"/>
      <c r="I311" s="24">
        <f t="shared" si="51"/>
        <v>1</v>
      </c>
      <c r="J311" s="676"/>
      <c r="K311" s="24">
        <f t="shared" si="52"/>
        <v>1</v>
      </c>
      <c r="L311" s="676"/>
      <c r="M311" s="24">
        <f t="shared" si="53"/>
        <v>1</v>
      </c>
      <c r="N311" s="676"/>
      <c r="O311" s="24">
        <f t="shared" si="54"/>
        <v>1</v>
      </c>
      <c r="P311" s="676"/>
      <c r="Q311" s="24">
        <f t="shared" si="55"/>
        <v>1</v>
      </c>
      <c r="R311" s="672">
        <f t="shared" si="56"/>
        <v>0</v>
      </c>
      <c r="S311" s="322">
        <f t="shared" si="57"/>
        <v>0</v>
      </c>
    </row>
    <row r="312" spans="1:19">
      <c r="A312" s="155"/>
      <c r="B312" s="57"/>
      <c r="C312" s="24">
        <f t="shared" si="48"/>
        <v>1</v>
      </c>
      <c r="D312" s="676"/>
      <c r="E312" s="24">
        <f t="shared" si="49"/>
        <v>1</v>
      </c>
      <c r="F312" s="676"/>
      <c r="G312" s="24">
        <f t="shared" si="50"/>
        <v>1</v>
      </c>
      <c r="H312" s="676"/>
      <c r="I312" s="24">
        <f t="shared" si="51"/>
        <v>1</v>
      </c>
      <c r="J312" s="676"/>
      <c r="K312" s="24">
        <f t="shared" si="52"/>
        <v>1</v>
      </c>
      <c r="L312" s="676"/>
      <c r="M312" s="24">
        <f t="shared" si="53"/>
        <v>1</v>
      </c>
      <c r="N312" s="676"/>
      <c r="O312" s="24">
        <f t="shared" si="54"/>
        <v>1</v>
      </c>
      <c r="P312" s="676"/>
      <c r="Q312" s="24">
        <f t="shared" si="55"/>
        <v>1</v>
      </c>
      <c r="R312" s="672">
        <f t="shared" si="56"/>
        <v>0</v>
      </c>
      <c r="S312" s="322">
        <f t="shared" si="57"/>
        <v>0</v>
      </c>
    </row>
    <row r="313" spans="1:19">
      <c r="A313" s="155"/>
      <c r="B313" s="57"/>
      <c r="C313" s="24">
        <f t="shared" si="48"/>
        <v>1</v>
      </c>
      <c r="D313" s="676"/>
      <c r="E313" s="24">
        <f t="shared" si="49"/>
        <v>1</v>
      </c>
      <c r="F313" s="676"/>
      <c r="G313" s="24">
        <f t="shared" si="50"/>
        <v>1</v>
      </c>
      <c r="H313" s="676"/>
      <c r="I313" s="24">
        <f t="shared" si="51"/>
        <v>1</v>
      </c>
      <c r="J313" s="676"/>
      <c r="K313" s="24">
        <f t="shared" si="52"/>
        <v>1</v>
      </c>
      <c r="L313" s="676"/>
      <c r="M313" s="24">
        <f t="shared" si="53"/>
        <v>1</v>
      </c>
      <c r="N313" s="676"/>
      <c r="O313" s="24">
        <f t="shared" si="54"/>
        <v>1</v>
      </c>
      <c r="P313" s="676"/>
      <c r="Q313" s="24">
        <f t="shared" si="55"/>
        <v>1</v>
      </c>
      <c r="R313" s="672">
        <f t="shared" si="56"/>
        <v>0</v>
      </c>
      <c r="S313" s="322">
        <f t="shared" si="57"/>
        <v>0</v>
      </c>
    </row>
    <row r="314" spans="1:19">
      <c r="A314" s="155"/>
      <c r="B314" s="57"/>
      <c r="C314" s="24">
        <f t="shared" si="48"/>
        <v>1</v>
      </c>
      <c r="D314" s="676"/>
      <c r="E314" s="24">
        <f t="shared" si="49"/>
        <v>1</v>
      </c>
      <c r="F314" s="676"/>
      <c r="G314" s="24">
        <f t="shared" si="50"/>
        <v>1</v>
      </c>
      <c r="H314" s="676"/>
      <c r="I314" s="24">
        <f t="shared" si="51"/>
        <v>1</v>
      </c>
      <c r="J314" s="676"/>
      <c r="K314" s="24">
        <f t="shared" si="52"/>
        <v>1</v>
      </c>
      <c r="L314" s="676"/>
      <c r="M314" s="24">
        <f t="shared" si="53"/>
        <v>1</v>
      </c>
      <c r="N314" s="676"/>
      <c r="O314" s="24">
        <f t="shared" si="54"/>
        <v>1</v>
      </c>
      <c r="P314" s="676"/>
      <c r="Q314" s="24">
        <f t="shared" si="55"/>
        <v>1</v>
      </c>
      <c r="R314" s="672">
        <f t="shared" si="56"/>
        <v>0</v>
      </c>
      <c r="S314" s="322">
        <f t="shared" si="57"/>
        <v>0</v>
      </c>
    </row>
    <row r="315" spans="1:19">
      <c r="A315" s="155"/>
      <c r="B315" s="57"/>
      <c r="C315" s="24">
        <f t="shared" si="48"/>
        <v>1</v>
      </c>
      <c r="D315" s="676"/>
      <c r="E315" s="24">
        <f t="shared" si="49"/>
        <v>1</v>
      </c>
      <c r="F315" s="676"/>
      <c r="G315" s="24">
        <f t="shared" si="50"/>
        <v>1</v>
      </c>
      <c r="H315" s="676"/>
      <c r="I315" s="24">
        <f t="shared" si="51"/>
        <v>1</v>
      </c>
      <c r="J315" s="676"/>
      <c r="K315" s="24">
        <f t="shared" si="52"/>
        <v>1</v>
      </c>
      <c r="L315" s="676"/>
      <c r="M315" s="24">
        <f t="shared" si="53"/>
        <v>1</v>
      </c>
      <c r="N315" s="676"/>
      <c r="O315" s="24">
        <f t="shared" si="54"/>
        <v>1</v>
      </c>
      <c r="P315" s="676"/>
      <c r="Q315" s="24">
        <f t="shared" si="55"/>
        <v>1</v>
      </c>
      <c r="R315" s="672">
        <f t="shared" si="56"/>
        <v>0</v>
      </c>
      <c r="S315" s="322">
        <f t="shared" si="57"/>
        <v>0</v>
      </c>
    </row>
    <row r="316" spans="1:19">
      <c r="A316" s="155"/>
      <c r="B316" s="57"/>
      <c r="C316" s="24">
        <f t="shared" si="48"/>
        <v>1</v>
      </c>
      <c r="D316" s="676"/>
      <c r="E316" s="24">
        <f t="shared" si="49"/>
        <v>1</v>
      </c>
      <c r="F316" s="676"/>
      <c r="G316" s="24">
        <f t="shared" si="50"/>
        <v>1</v>
      </c>
      <c r="H316" s="676"/>
      <c r="I316" s="24">
        <f t="shared" si="51"/>
        <v>1</v>
      </c>
      <c r="J316" s="676"/>
      <c r="K316" s="24">
        <f t="shared" si="52"/>
        <v>1</v>
      </c>
      <c r="L316" s="676"/>
      <c r="M316" s="24">
        <f t="shared" si="53"/>
        <v>1</v>
      </c>
      <c r="N316" s="676"/>
      <c r="O316" s="24">
        <f t="shared" si="54"/>
        <v>1</v>
      </c>
      <c r="P316" s="676"/>
      <c r="Q316" s="24">
        <f t="shared" si="55"/>
        <v>1</v>
      </c>
      <c r="R316" s="672">
        <f t="shared" si="56"/>
        <v>0</v>
      </c>
      <c r="S316" s="322">
        <f t="shared" si="57"/>
        <v>0</v>
      </c>
    </row>
    <row r="317" spans="1:19">
      <c r="A317" s="155"/>
      <c r="B317" s="57"/>
      <c r="C317" s="24">
        <f t="shared" si="48"/>
        <v>1</v>
      </c>
      <c r="D317" s="676"/>
      <c r="E317" s="24">
        <f t="shared" si="49"/>
        <v>1</v>
      </c>
      <c r="F317" s="676"/>
      <c r="G317" s="24">
        <f t="shared" si="50"/>
        <v>1</v>
      </c>
      <c r="H317" s="676"/>
      <c r="I317" s="24">
        <f t="shared" si="51"/>
        <v>1</v>
      </c>
      <c r="J317" s="676"/>
      <c r="K317" s="24">
        <f t="shared" si="52"/>
        <v>1</v>
      </c>
      <c r="L317" s="676"/>
      <c r="M317" s="24">
        <f t="shared" si="53"/>
        <v>1</v>
      </c>
      <c r="N317" s="676"/>
      <c r="O317" s="24">
        <f t="shared" si="54"/>
        <v>1</v>
      </c>
      <c r="P317" s="676"/>
      <c r="Q317" s="24">
        <f t="shared" si="55"/>
        <v>1</v>
      </c>
      <c r="R317" s="672">
        <f t="shared" si="56"/>
        <v>0</v>
      </c>
      <c r="S317" s="322">
        <f t="shared" si="57"/>
        <v>0</v>
      </c>
    </row>
    <row r="318" spans="1:19">
      <c r="A318" s="155"/>
      <c r="B318" s="57"/>
      <c r="C318" s="24">
        <f t="shared" si="48"/>
        <v>1</v>
      </c>
      <c r="D318" s="676"/>
      <c r="E318" s="24">
        <f t="shared" si="49"/>
        <v>1</v>
      </c>
      <c r="F318" s="676"/>
      <c r="G318" s="24">
        <f t="shared" si="50"/>
        <v>1</v>
      </c>
      <c r="H318" s="676"/>
      <c r="I318" s="24">
        <f t="shared" si="51"/>
        <v>1</v>
      </c>
      <c r="J318" s="676"/>
      <c r="K318" s="24">
        <f t="shared" si="52"/>
        <v>1</v>
      </c>
      <c r="L318" s="676"/>
      <c r="M318" s="24">
        <f t="shared" si="53"/>
        <v>1</v>
      </c>
      <c r="N318" s="676"/>
      <c r="O318" s="24">
        <f t="shared" si="54"/>
        <v>1</v>
      </c>
      <c r="P318" s="676"/>
      <c r="Q318" s="24">
        <f t="shared" si="55"/>
        <v>1</v>
      </c>
      <c r="R318" s="672">
        <f t="shared" si="56"/>
        <v>0</v>
      </c>
      <c r="S318" s="322">
        <f t="shared" si="57"/>
        <v>0</v>
      </c>
    </row>
    <row r="319" spans="1:19">
      <c r="A319" s="155"/>
      <c r="B319" s="57"/>
      <c r="C319" s="24">
        <f t="shared" si="48"/>
        <v>1</v>
      </c>
      <c r="D319" s="676"/>
      <c r="E319" s="24">
        <f t="shared" si="49"/>
        <v>1</v>
      </c>
      <c r="F319" s="676"/>
      <c r="G319" s="24">
        <f t="shared" si="50"/>
        <v>1</v>
      </c>
      <c r="H319" s="676"/>
      <c r="I319" s="24">
        <f t="shared" si="51"/>
        <v>1</v>
      </c>
      <c r="J319" s="676"/>
      <c r="K319" s="24">
        <f t="shared" si="52"/>
        <v>1</v>
      </c>
      <c r="L319" s="676"/>
      <c r="M319" s="24">
        <f t="shared" si="53"/>
        <v>1</v>
      </c>
      <c r="N319" s="676"/>
      <c r="O319" s="24">
        <f t="shared" si="54"/>
        <v>1</v>
      </c>
      <c r="P319" s="676"/>
      <c r="Q319" s="24">
        <f t="shared" si="55"/>
        <v>1</v>
      </c>
      <c r="R319" s="672">
        <f t="shared" si="56"/>
        <v>0</v>
      </c>
      <c r="S319" s="322">
        <f t="shared" si="57"/>
        <v>0</v>
      </c>
    </row>
    <row r="320" spans="1:19">
      <c r="A320" s="155"/>
      <c r="B320" s="57"/>
      <c r="C320" s="24">
        <f t="shared" si="48"/>
        <v>1</v>
      </c>
      <c r="D320" s="676"/>
      <c r="E320" s="24">
        <f t="shared" si="49"/>
        <v>1</v>
      </c>
      <c r="F320" s="676"/>
      <c r="G320" s="24">
        <f t="shared" si="50"/>
        <v>1</v>
      </c>
      <c r="H320" s="676"/>
      <c r="I320" s="24">
        <f t="shared" si="51"/>
        <v>1</v>
      </c>
      <c r="J320" s="676"/>
      <c r="K320" s="24">
        <f t="shared" si="52"/>
        <v>1</v>
      </c>
      <c r="L320" s="676"/>
      <c r="M320" s="24">
        <f t="shared" si="53"/>
        <v>1</v>
      </c>
      <c r="N320" s="676"/>
      <c r="O320" s="24">
        <f t="shared" si="54"/>
        <v>1</v>
      </c>
      <c r="P320" s="676"/>
      <c r="Q320" s="24">
        <f t="shared" si="55"/>
        <v>1</v>
      </c>
      <c r="R320" s="672">
        <f t="shared" si="56"/>
        <v>0</v>
      </c>
      <c r="S320" s="322">
        <f t="shared" si="57"/>
        <v>0</v>
      </c>
    </row>
    <row r="321" spans="1:19">
      <c r="A321" s="155"/>
      <c r="B321" s="57"/>
      <c r="C321" s="24">
        <f t="shared" si="48"/>
        <v>1</v>
      </c>
      <c r="D321" s="676"/>
      <c r="E321" s="24">
        <f t="shared" si="49"/>
        <v>1</v>
      </c>
      <c r="F321" s="676"/>
      <c r="G321" s="24">
        <f t="shared" si="50"/>
        <v>1</v>
      </c>
      <c r="H321" s="676"/>
      <c r="I321" s="24">
        <f t="shared" si="51"/>
        <v>1</v>
      </c>
      <c r="J321" s="676"/>
      <c r="K321" s="24">
        <f t="shared" si="52"/>
        <v>1</v>
      </c>
      <c r="L321" s="676"/>
      <c r="M321" s="24">
        <f t="shared" si="53"/>
        <v>1</v>
      </c>
      <c r="N321" s="676"/>
      <c r="O321" s="24">
        <f t="shared" si="54"/>
        <v>1</v>
      </c>
      <c r="P321" s="676"/>
      <c r="Q321" s="24">
        <f t="shared" si="55"/>
        <v>1</v>
      </c>
      <c r="R321" s="672">
        <f t="shared" si="56"/>
        <v>0</v>
      </c>
      <c r="S321" s="322">
        <f t="shared" ref="S321:S384" si="58">ROUND(R321*B321/10000,0)</f>
        <v>0</v>
      </c>
    </row>
    <row r="322" spans="1:19">
      <c r="A322" s="155"/>
      <c r="B322" s="57"/>
      <c r="C322" s="24">
        <f t="shared" si="48"/>
        <v>1</v>
      </c>
      <c r="D322" s="676"/>
      <c r="E322" s="24">
        <f t="shared" si="49"/>
        <v>1</v>
      </c>
      <c r="F322" s="676"/>
      <c r="G322" s="24">
        <f t="shared" si="50"/>
        <v>1</v>
      </c>
      <c r="H322" s="676"/>
      <c r="I322" s="24">
        <f t="shared" si="51"/>
        <v>1</v>
      </c>
      <c r="J322" s="676"/>
      <c r="K322" s="24">
        <f t="shared" si="52"/>
        <v>1</v>
      </c>
      <c r="L322" s="676"/>
      <c r="M322" s="24">
        <f t="shared" si="53"/>
        <v>1</v>
      </c>
      <c r="N322" s="676"/>
      <c r="O322" s="24">
        <f t="shared" si="54"/>
        <v>1</v>
      </c>
      <c r="P322" s="676"/>
      <c r="Q322" s="24">
        <f t="shared" si="55"/>
        <v>1</v>
      </c>
      <c r="R322" s="672">
        <f t="shared" si="56"/>
        <v>0</v>
      </c>
      <c r="S322" s="322">
        <f t="shared" si="58"/>
        <v>0</v>
      </c>
    </row>
    <row r="323" spans="1:19">
      <c r="A323" s="155"/>
      <c r="B323" s="57"/>
      <c r="C323" s="24">
        <f t="shared" si="48"/>
        <v>1</v>
      </c>
      <c r="D323" s="676"/>
      <c r="E323" s="24">
        <f t="shared" si="49"/>
        <v>1</v>
      </c>
      <c r="F323" s="676"/>
      <c r="G323" s="24">
        <f t="shared" si="50"/>
        <v>1</v>
      </c>
      <c r="H323" s="676"/>
      <c r="I323" s="24">
        <f t="shared" si="51"/>
        <v>1</v>
      </c>
      <c r="J323" s="676"/>
      <c r="K323" s="24">
        <f t="shared" si="52"/>
        <v>1</v>
      </c>
      <c r="L323" s="676"/>
      <c r="M323" s="24">
        <f t="shared" si="53"/>
        <v>1</v>
      </c>
      <c r="N323" s="676"/>
      <c r="O323" s="24">
        <f t="shared" si="54"/>
        <v>1</v>
      </c>
      <c r="P323" s="676"/>
      <c r="Q323" s="24">
        <f t="shared" si="55"/>
        <v>1</v>
      </c>
      <c r="R323" s="672">
        <f t="shared" si="56"/>
        <v>0</v>
      </c>
      <c r="S323" s="322">
        <f t="shared" si="58"/>
        <v>0</v>
      </c>
    </row>
    <row r="324" spans="1:19">
      <c r="A324" s="155"/>
      <c r="B324" s="57"/>
      <c r="C324" s="24">
        <f t="shared" si="48"/>
        <v>1</v>
      </c>
      <c r="D324" s="676"/>
      <c r="E324" s="24">
        <f t="shared" si="49"/>
        <v>1</v>
      </c>
      <c r="F324" s="676"/>
      <c r="G324" s="24">
        <f t="shared" si="50"/>
        <v>1</v>
      </c>
      <c r="H324" s="676"/>
      <c r="I324" s="24">
        <f t="shared" si="51"/>
        <v>1</v>
      </c>
      <c r="J324" s="676"/>
      <c r="K324" s="24">
        <f t="shared" si="52"/>
        <v>1</v>
      </c>
      <c r="L324" s="676"/>
      <c r="M324" s="24">
        <f t="shared" si="53"/>
        <v>1</v>
      </c>
      <c r="N324" s="676"/>
      <c r="O324" s="24">
        <f t="shared" si="54"/>
        <v>1</v>
      </c>
      <c r="P324" s="676"/>
      <c r="Q324" s="24">
        <f t="shared" si="55"/>
        <v>1</v>
      </c>
      <c r="R324" s="672">
        <f t="shared" si="56"/>
        <v>0</v>
      </c>
      <c r="S324" s="322">
        <f t="shared" si="58"/>
        <v>0</v>
      </c>
    </row>
    <row r="325" spans="1:19">
      <c r="A325" s="155"/>
      <c r="B325" s="57"/>
      <c r="C325" s="24">
        <f t="shared" si="48"/>
        <v>1</v>
      </c>
      <c r="D325" s="676"/>
      <c r="E325" s="24">
        <f t="shared" si="49"/>
        <v>1</v>
      </c>
      <c r="F325" s="676"/>
      <c r="G325" s="24">
        <f t="shared" si="50"/>
        <v>1</v>
      </c>
      <c r="H325" s="676"/>
      <c r="I325" s="24">
        <f t="shared" si="51"/>
        <v>1</v>
      </c>
      <c r="J325" s="676"/>
      <c r="K325" s="24">
        <f t="shared" si="52"/>
        <v>1</v>
      </c>
      <c r="L325" s="676"/>
      <c r="M325" s="24">
        <f t="shared" si="53"/>
        <v>1</v>
      </c>
      <c r="N325" s="676"/>
      <c r="O325" s="24">
        <f t="shared" si="54"/>
        <v>1</v>
      </c>
      <c r="P325" s="676"/>
      <c r="Q325" s="24">
        <f t="shared" si="55"/>
        <v>1</v>
      </c>
      <c r="R325" s="672">
        <f t="shared" si="56"/>
        <v>0</v>
      </c>
      <c r="S325" s="322">
        <f t="shared" si="58"/>
        <v>0</v>
      </c>
    </row>
    <row r="326" spans="1:19">
      <c r="A326" s="155"/>
      <c r="B326" s="57"/>
      <c r="C326" s="24">
        <f t="shared" si="48"/>
        <v>1</v>
      </c>
      <c r="D326" s="676"/>
      <c r="E326" s="24">
        <f t="shared" si="49"/>
        <v>1</v>
      </c>
      <c r="F326" s="676"/>
      <c r="G326" s="24">
        <f t="shared" si="50"/>
        <v>1</v>
      </c>
      <c r="H326" s="676"/>
      <c r="I326" s="24">
        <f t="shared" si="51"/>
        <v>1</v>
      </c>
      <c r="J326" s="676"/>
      <c r="K326" s="24">
        <f t="shared" si="52"/>
        <v>1</v>
      </c>
      <c r="L326" s="676"/>
      <c r="M326" s="24">
        <f t="shared" si="53"/>
        <v>1</v>
      </c>
      <c r="N326" s="676"/>
      <c r="O326" s="24">
        <f t="shared" si="54"/>
        <v>1</v>
      </c>
      <c r="P326" s="676"/>
      <c r="Q326" s="24">
        <f t="shared" si="55"/>
        <v>1</v>
      </c>
      <c r="R326" s="672">
        <f t="shared" si="56"/>
        <v>0</v>
      </c>
      <c r="S326" s="322">
        <f t="shared" si="58"/>
        <v>0</v>
      </c>
    </row>
    <row r="327" spans="1:19">
      <c r="A327" s="155"/>
      <c r="B327" s="57"/>
      <c r="C327" s="24">
        <f t="shared" si="48"/>
        <v>1</v>
      </c>
      <c r="D327" s="676"/>
      <c r="E327" s="24">
        <f t="shared" si="49"/>
        <v>1</v>
      </c>
      <c r="F327" s="676"/>
      <c r="G327" s="24">
        <f t="shared" si="50"/>
        <v>1</v>
      </c>
      <c r="H327" s="676"/>
      <c r="I327" s="24">
        <f t="shared" si="51"/>
        <v>1</v>
      </c>
      <c r="J327" s="676"/>
      <c r="K327" s="24">
        <f t="shared" si="52"/>
        <v>1</v>
      </c>
      <c r="L327" s="676"/>
      <c r="M327" s="24">
        <f t="shared" si="53"/>
        <v>1</v>
      </c>
      <c r="N327" s="676"/>
      <c r="O327" s="24">
        <f t="shared" si="54"/>
        <v>1</v>
      </c>
      <c r="P327" s="676"/>
      <c r="Q327" s="24">
        <f t="shared" si="55"/>
        <v>1</v>
      </c>
      <c r="R327" s="672">
        <f t="shared" si="56"/>
        <v>0</v>
      </c>
      <c r="S327" s="322">
        <f t="shared" si="58"/>
        <v>0</v>
      </c>
    </row>
    <row r="328" spans="1:19">
      <c r="A328" s="155"/>
      <c r="B328" s="57"/>
      <c r="C328" s="24">
        <f t="shared" si="48"/>
        <v>1</v>
      </c>
      <c r="D328" s="676"/>
      <c r="E328" s="24">
        <f t="shared" si="49"/>
        <v>1</v>
      </c>
      <c r="F328" s="676"/>
      <c r="G328" s="24">
        <f t="shared" si="50"/>
        <v>1</v>
      </c>
      <c r="H328" s="676"/>
      <c r="I328" s="24">
        <f t="shared" si="51"/>
        <v>1</v>
      </c>
      <c r="J328" s="676"/>
      <c r="K328" s="24">
        <f t="shared" si="52"/>
        <v>1</v>
      </c>
      <c r="L328" s="676"/>
      <c r="M328" s="24">
        <f t="shared" si="53"/>
        <v>1</v>
      </c>
      <c r="N328" s="676"/>
      <c r="O328" s="24">
        <f t="shared" si="54"/>
        <v>1</v>
      </c>
      <c r="P328" s="676"/>
      <c r="Q328" s="24">
        <f t="shared" si="55"/>
        <v>1</v>
      </c>
      <c r="R328" s="672">
        <f t="shared" si="56"/>
        <v>0</v>
      </c>
      <c r="S328" s="322">
        <f t="shared" si="58"/>
        <v>0</v>
      </c>
    </row>
    <row r="329" spans="1:19">
      <c r="A329" s="155"/>
      <c r="B329" s="57"/>
      <c r="C329" s="24">
        <f t="shared" si="48"/>
        <v>1</v>
      </c>
      <c r="D329" s="676"/>
      <c r="E329" s="24">
        <f t="shared" si="49"/>
        <v>1</v>
      </c>
      <c r="F329" s="676"/>
      <c r="G329" s="24">
        <f t="shared" si="50"/>
        <v>1</v>
      </c>
      <c r="H329" s="676"/>
      <c r="I329" s="24">
        <f t="shared" si="51"/>
        <v>1</v>
      </c>
      <c r="J329" s="676"/>
      <c r="K329" s="24">
        <f t="shared" si="52"/>
        <v>1</v>
      </c>
      <c r="L329" s="676"/>
      <c r="M329" s="24">
        <f t="shared" si="53"/>
        <v>1</v>
      </c>
      <c r="N329" s="676"/>
      <c r="O329" s="24">
        <f t="shared" si="54"/>
        <v>1</v>
      </c>
      <c r="P329" s="676"/>
      <c r="Q329" s="24">
        <f t="shared" si="55"/>
        <v>1</v>
      </c>
      <c r="R329" s="672">
        <f t="shared" si="56"/>
        <v>0</v>
      </c>
      <c r="S329" s="322">
        <f t="shared" si="58"/>
        <v>0</v>
      </c>
    </row>
    <row r="330" spans="1:19">
      <c r="A330" s="155"/>
      <c r="B330" s="57"/>
      <c r="C330" s="24">
        <f t="shared" si="48"/>
        <v>1</v>
      </c>
      <c r="D330" s="676"/>
      <c r="E330" s="24">
        <f t="shared" si="49"/>
        <v>1</v>
      </c>
      <c r="F330" s="676"/>
      <c r="G330" s="24">
        <f t="shared" si="50"/>
        <v>1</v>
      </c>
      <c r="H330" s="676"/>
      <c r="I330" s="24">
        <f t="shared" si="51"/>
        <v>1</v>
      </c>
      <c r="J330" s="676"/>
      <c r="K330" s="24">
        <f t="shared" si="52"/>
        <v>1</v>
      </c>
      <c r="L330" s="676"/>
      <c r="M330" s="24">
        <f t="shared" si="53"/>
        <v>1</v>
      </c>
      <c r="N330" s="676"/>
      <c r="O330" s="24">
        <f t="shared" si="54"/>
        <v>1</v>
      </c>
      <c r="P330" s="676"/>
      <c r="Q330" s="24">
        <f t="shared" si="55"/>
        <v>1</v>
      </c>
      <c r="R330" s="672">
        <f t="shared" si="56"/>
        <v>0</v>
      </c>
      <c r="S330" s="322">
        <f t="shared" si="58"/>
        <v>0</v>
      </c>
    </row>
    <row r="331" spans="1:19">
      <c r="A331" s="155"/>
      <c r="B331" s="57"/>
      <c r="C331" s="24">
        <f t="shared" si="48"/>
        <v>1</v>
      </c>
      <c r="D331" s="676"/>
      <c r="E331" s="24">
        <f t="shared" si="49"/>
        <v>1</v>
      </c>
      <c r="F331" s="676"/>
      <c r="G331" s="24">
        <f t="shared" si="50"/>
        <v>1</v>
      </c>
      <c r="H331" s="676"/>
      <c r="I331" s="24">
        <f t="shared" si="51"/>
        <v>1</v>
      </c>
      <c r="J331" s="676"/>
      <c r="K331" s="24">
        <f t="shared" si="52"/>
        <v>1</v>
      </c>
      <c r="L331" s="676"/>
      <c r="M331" s="24">
        <f t="shared" si="53"/>
        <v>1</v>
      </c>
      <c r="N331" s="676"/>
      <c r="O331" s="24">
        <f t="shared" si="54"/>
        <v>1</v>
      </c>
      <c r="P331" s="676"/>
      <c r="Q331" s="24">
        <f t="shared" si="55"/>
        <v>1</v>
      </c>
      <c r="R331" s="672">
        <f t="shared" si="56"/>
        <v>0</v>
      </c>
      <c r="S331" s="322">
        <f t="shared" si="58"/>
        <v>0</v>
      </c>
    </row>
    <row r="332" spans="1:19">
      <c r="A332" s="155"/>
      <c r="B332" s="57"/>
      <c r="C332" s="24">
        <f t="shared" si="48"/>
        <v>1</v>
      </c>
      <c r="D332" s="676"/>
      <c r="E332" s="24">
        <f t="shared" si="49"/>
        <v>1</v>
      </c>
      <c r="F332" s="676"/>
      <c r="G332" s="24">
        <f t="shared" si="50"/>
        <v>1</v>
      </c>
      <c r="H332" s="676"/>
      <c r="I332" s="24">
        <f t="shared" si="51"/>
        <v>1</v>
      </c>
      <c r="J332" s="676"/>
      <c r="K332" s="24">
        <f t="shared" si="52"/>
        <v>1</v>
      </c>
      <c r="L332" s="676"/>
      <c r="M332" s="24">
        <f t="shared" si="53"/>
        <v>1</v>
      </c>
      <c r="N332" s="676"/>
      <c r="O332" s="24">
        <f t="shared" si="54"/>
        <v>1</v>
      </c>
      <c r="P332" s="676"/>
      <c r="Q332" s="24">
        <f t="shared" si="55"/>
        <v>1</v>
      </c>
      <c r="R332" s="672">
        <f t="shared" si="56"/>
        <v>0</v>
      </c>
      <c r="S332" s="322">
        <f t="shared" si="58"/>
        <v>0</v>
      </c>
    </row>
    <row r="333" spans="1:19">
      <c r="A333" s="155"/>
      <c r="B333" s="57"/>
      <c r="C333" s="24">
        <f t="shared" si="48"/>
        <v>1</v>
      </c>
      <c r="D333" s="676"/>
      <c r="E333" s="24">
        <f t="shared" si="49"/>
        <v>1</v>
      </c>
      <c r="F333" s="676"/>
      <c r="G333" s="24">
        <f t="shared" si="50"/>
        <v>1</v>
      </c>
      <c r="H333" s="676"/>
      <c r="I333" s="24">
        <f t="shared" si="51"/>
        <v>1</v>
      </c>
      <c r="J333" s="676"/>
      <c r="K333" s="24">
        <f t="shared" si="52"/>
        <v>1</v>
      </c>
      <c r="L333" s="676"/>
      <c r="M333" s="24">
        <f t="shared" si="53"/>
        <v>1</v>
      </c>
      <c r="N333" s="676"/>
      <c r="O333" s="24">
        <f t="shared" si="54"/>
        <v>1</v>
      </c>
      <c r="P333" s="676"/>
      <c r="Q333" s="24">
        <f t="shared" si="55"/>
        <v>1</v>
      </c>
      <c r="R333" s="672">
        <f t="shared" si="56"/>
        <v>0</v>
      </c>
      <c r="S333" s="322">
        <f t="shared" si="58"/>
        <v>0</v>
      </c>
    </row>
    <row r="334" spans="1:19">
      <c r="A334" s="155"/>
      <c r="B334" s="57"/>
      <c r="C334" s="24">
        <f t="shared" si="48"/>
        <v>1</v>
      </c>
      <c r="D334" s="676"/>
      <c r="E334" s="24">
        <f t="shared" si="49"/>
        <v>1</v>
      </c>
      <c r="F334" s="676"/>
      <c r="G334" s="24">
        <f t="shared" si="50"/>
        <v>1</v>
      </c>
      <c r="H334" s="676"/>
      <c r="I334" s="24">
        <f t="shared" si="51"/>
        <v>1</v>
      </c>
      <c r="J334" s="676"/>
      <c r="K334" s="24">
        <f t="shared" si="52"/>
        <v>1</v>
      </c>
      <c r="L334" s="676"/>
      <c r="M334" s="24">
        <f t="shared" si="53"/>
        <v>1</v>
      </c>
      <c r="N334" s="676"/>
      <c r="O334" s="24">
        <f t="shared" si="54"/>
        <v>1</v>
      </c>
      <c r="P334" s="676"/>
      <c r="Q334" s="24">
        <f t="shared" si="55"/>
        <v>1</v>
      </c>
      <c r="R334" s="672">
        <f t="shared" si="56"/>
        <v>0</v>
      </c>
      <c r="S334" s="322">
        <f t="shared" si="58"/>
        <v>0</v>
      </c>
    </row>
    <row r="335" spans="1:19">
      <c r="A335" s="155"/>
      <c r="B335" s="57"/>
      <c r="C335" s="24">
        <f t="shared" si="48"/>
        <v>1</v>
      </c>
      <c r="D335" s="676"/>
      <c r="E335" s="24">
        <f t="shared" si="49"/>
        <v>1</v>
      </c>
      <c r="F335" s="676"/>
      <c r="G335" s="24">
        <f t="shared" si="50"/>
        <v>1</v>
      </c>
      <c r="H335" s="676"/>
      <c r="I335" s="24">
        <f t="shared" si="51"/>
        <v>1</v>
      </c>
      <c r="J335" s="676"/>
      <c r="K335" s="24">
        <f t="shared" si="52"/>
        <v>1</v>
      </c>
      <c r="L335" s="676"/>
      <c r="M335" s="24">
        <f t="shared" si="53"/>
        <v>1</v>
      </c>
      <c r="N335" s="676"/>
      <c r="O335" s="24">
        <f t="shared" si="54"/>
        <v>1</v>
      </c>
      <c r="P335" s="676"/>
      <c r="Q335" s="24">
        <f t="shared" si="55"/>
        <v>1</v>
      </c>
      <c r="R335" s="672">
        <f t="shared" si="56"/>
        <v>0</v>
      </c>
      <c r="S335" s="322">
        <f t="shared" si="58"/>
        <v>0</v>
      </c>
    </row>
    <row r="336" spans="1:19">
      <c r="A336" s="155"/>
      <c r="B336" s="57"/>
      <c r="C336" s="24">
        <f t="shared" si="48"/>
        <v>1</v>
      </c>
      <c r="D336" s="676"/>
      <c r="E336" s="24">
        <f t="shared" si="49"/>
        <v>1</v>
      </c>
      <c r="F336" s="676"/>
      <c r="G336" s="24">
        <f t="shared" si="50"/>
        <v>1</v>
      </c>
      <c r="H336" s="676"/>
      <c r="I336" s="24">
        <f t="shared" si="51"/>
        <v>1</v>
      </c>
      <c r="J336" s="676"/>
      <c r="K336" s="24">
        <f t="shared" si="52"/>
        <v>1</v>
      </c>
      <c r="L336" s="676"/>
      <c r="M336" s="24">
        <f t="shared" si="53"/>
        <v>1</v>
      </c>
      <c r="N336" s="676"/>
      <c r="O336" s="24">
        <f t="shared" si="54"/>
        <v>1</v>
      </c>
      <c r="P336" s="676"/>
      <c r="Q336" s="24">
        <f t="shared" si="55"/>
        <v>1</v>
      </c>
      <c r="R336" s="672">
        <f t="shared" si="56"/>
        <v>0</v>
      </c>
      <c r="S336" s="322">
        <f t="shared" si="58"/>
        <v>0</v>
      </c>
    </row>
    <row r="337" spans="1:19">
      <c r="A337" s="155"/>
      <c r="B337" s="57"/>
      <c r="C337" s="24">
        <f t="shared" si="48"/>
        <v>1</v>
      </c>
      <c r="D337" s="676"/>
      <c r="E337" s="24">
        <f t="shared" si="49"/>
        <v>1</v>
      </c>
      <c r="F337" s="676"/>
      <c r="G337" s="24">
        <f t="shared" si="50"/>
        <v>1</v>
      </c>
      <c r="H337" s="676"/>
      <c r="I337" s="24">
        <f t="shared" si="51"/>
        <v>1</v>
      </c>
      <c r="J337" s="676"/>
      <c r="K337" s="24">
        <f t="shared" si="52"/>
        <v>1</v>
      </c>
      <c r="L337" s="676"/>
      <c r="M337" s="24">
        <f t="shared" si="53"/>
        <v>1</v>
      </c>
      <c r="N337" s="676"/>
      <c r="O337" s="24">
        <f t="shared" si="54"/>
        <v>1</v>
      </c>
      <c r="P337" s="676"/>
      <c r="Q337" s="24">
        <f t="shared" si="55"/>
        <v>1</v>
      </c>
      <c r="R337" s="672">
        <f t="shared" si="56"/>
        <v>0</v>
      </c>
      <c r="S337" s="322">
        <f t="shared" si="58"/>
        <v>0</v>
      </c>
    </row>
    <row r="338" spans="1:19">
      <c r="A338" s="155"/>
      <c r="B338" s="57"/>
      <c r="C338" s="24">
        <f t="shared" si="48"/>
        <v>1</v>
      </c>
      <c r="D338" s="676"/>
      <c r="E338" s="24">
        <f t="shared" si="49"/>
        <v>1</v>
      </c>
      <c r="F338" s="676"/>
      <c r="G338" s="24">
        <f t="shared" si="50"/>
        <v>1</v>
      </c>
      <c r="H338" s="676"/>
      <c r="I338" s="24">
        <f t="shared" si="51"/>
        <v>1</v>
      </c>
      <c r="J338" s="676"/>
      <c r="K338" s="24">
        <f t="shared" si="52"/>
        <v>1</v>
      </c>
      <c r="L338" s="676"/>
      <c r="M338" s="24">
        <f t="shared" si="53"/>
        <v>1</v>
      </c>
      <c r="N338" s="676"/>
      <c r="O338" s="24">
        <f t="shared" si="54"/>
        <v>1</v>
      </c>
      <c r="P338" s="676"/>
      <c r="Q338" s="24">
        <f t="shared" si="55"/>
        <v>1</v>
      </c>
      <c r="R338" s="672">
        <f t="shared" si="56"/>
        <v>0</v>
      </c>
      <c r="S338" s="322">
        <f t="shared" si="58"/>
        <v>0</v>
      </c>
    </row>
    <row r="339" spans="1:19">
      <c r="A339" s="155"/>
      <c r="B339" s="57"/>
      <c r="C339" s="24">
        <f t="shared" si="48"/>
        <v>1</v>
      </c>
      <c r="D339" s="676"/>
      <c r="E339" s="24">
        <f t="shared" si="49"/>
        <v>1</v>
      </c>
      <c r="F339" s="676"/>
      <c r="G339" s="24">
        <f t="shared" si="50"/>
        <v>1</v>
      </c>
      <c r="H339" s="676"/>
      <c r="I339" s="24">
        <f t="shared" si="51"/>
        <v>1</v>
      </c>
      <c r="J339" s="676"/>
      <c r="K339" s="24">
        <f t="shared" si="52"/>
        <v>1</v>
      </c>
      <c r="L339" s="676"/>
      <c r="M339" s="24">
        <f t="shared" si="53"/>
        <v>1</v>
      </c>
      <c r="N339" s="676"/>
      <c r="O339" s="24">
        <f t="shared" si="54"/>
        <v>1</v>
      </c>
      <c r="P339" s="676"/>
      <c r="Q339" s="24">
        <f t="shared" si="55"/>
        <v>1</v>
      </c>
      <c r="R339" s="672">
        <f t="shared" si="56"/>
        <v>0</v>
      </c>
      <c r="S339" s="322">
        <f t="shared" si="58"/>
        <v>0</v>
      </c>
    </row>
    <row r="340" spans="1:19">
      <c r="A340" s="155"/>
      <c r="B340" s="57"/>
      <c r="C340" s="24">
        <f t="shared" si="48"/>
        <v>1</v>
      </c>
      <c r="D340" s="676"/>
      <c r="E340" s="24">
        <f t="shared" si="49"/>
        <v>1</v>
      </c>
      <c r="F340" s="676"/>
      <c r="G340" s="24">
        <f t="shared" si="50"/>
        <v>1</v>
      </c>
      <c r="H340" s="676"/>
      <c r="I340" s="24">
        <f t="shared" si="51"/>
        <v>1</v>
      </c>
      <c r="J340" s="676"/>
      <c r="K340" s="24">
        <f t="shared" si="52"/>
        <v>1</v>
      </c>
      <c r="L340" s="676"/>
      <c r="M340" s="24">
        <f t="shared" si="53"/>
        <v>1</v>
      </c>
      <c r="N340" s="676"/>
      <c r="O340" s="24">
        <f t="shared" si="54"/>
        <v>1</v>
      </c>
      <c r="P340" s="676"/>
      <c r="Q340" s="24">
        <f t="shared" si="55"/>
        <v>1</v>
      </c>
      <c r="R340" s="672">
        <f t="shared" si="56"/>
        <v>0</v>
      </c>
      <c r="S340" s="322">
        <f t="shared" si="58"/>
        <v>0</v>
      </c>
    </row>
    <row r="341" spans="1:19">
      <c r="A341" s="155"/>
      <c r="B341" s="57"/>
      <c r="C341" s="24">
        <f t="shared" si="48"/>
        <v>1</v>
      </c>
      <c r="D341" s="676"/>
      <c r="E341" s="24">
        <f t="shared" si="49"/>
        <v>1</v>
      </c>
      <c r="F341" s="676"/>
      <c r="G341" s="24">
        <f t="shared" si="50"/>
        <v>1</v>
      </c>
      <c r="H341" s="676"/>
      <c r="I341" s="24">
        <f t="shared" si="51"/>
        <v>1</v>
      </c>
      <c r="J341" s="676"/>
      <c r="K341" s="24">
        <f t="shared" si="52"/>
        <v>1</v>
      </c>
      <c r="L341" s="676"/>
      <c r="M341" s="24">
        <f t="shared" si="53"/>
        <v>1</v>
      </c>
      <c r="N341" s="676"/>
      <c r="O341" s="24">
        <f t="shared" si="54"/>
        <v>1</v>
      </c>
      <c r="P341" s="676"/>
      <c r="Q341" s="24">
        <f t="shared" si="55"/>
        <v>1</v>
      </c>
      <c r="R341" s="672">
        <f t="shared" si="56"/>
        <v>0</v>
      </c>
      <c r="S341" s="322">
        <f t="shared" si="58"/>
        <v>0</v>
      </c>
    </row>
    <row r="342" spans="1:19">
      <c r="A342" s="155"/>
      <c r="B342" s="57"/>
      <c r="C342" s="24">
        <f t="shared" si="48"/>
        <v>1</v>
      </c>
      <c r="D342" s="676"/>
      <c r="E342" s="24">
        <f t="shared" si="49"/>
        <v>1</v>
      </c>
      <c r="F342" s="676"/>
      <c r="G342" s="24">
        <f t="shared" si="50"/>
        <v>1</v>
      </c>
      <c r="H342" s="676"/>
      <c r="I342" s="24">
        <f t="shared" si="51"/>
        <v>1</v>
      </c>
      <c r="J342" s="676"/>
      <c r="K342" s="24">
        <f t="shared" si="52"/>
        <v>1</v>
      </c>
      <c r="L342" s="676"/>
      <c r="M342" s="24">
        <f t="shared" si="53"/>
        <v>1</v>
      </c>
      <c r="N342" s="676"/>
      <c r="O342" s="24">
        <f t="shared" si="54"/>
        <v>1</v>
      </c>
      <c r="P342" s="676"/>
      <c r="Q342" s="24">
        <f t="shared" si="55"/>
        <v>1</v>
      </c>
      <c r="R342" s="672">
        <f t="shared" si="56"/>
        <v>0</v>
      </c>
      <c r="S342" s="322">
        <f t="shared" si="58"/>
        <v>0</v>
      </c>
    </row>
    <row r="343" spans="1:19">
      <c r="A343" s="155"/>
      <c r="B343" s="57"/>
      <c r="C343" s="24">
        <f t="shared" si="48"/>
        <v>1</v>
      </c>
      <c r="D343" s="676"/>
      <c r="E343" s="24">
        <f t="shared" si="49"/>
        <v>1</v>
      </c>
      <c r="F343" s="676"/>
      <c r="G343" s="24">
        <f t="shared" si="50"/>
        <v>1</v>
      </c>
      <c r="H343" s="676"/>
      <c r="I343" s="24">
        <f t="shared" si="51"/>
        <v>1</v>
      </c>
      <c r="J343" s="676"/>
      <c r="K343" s="24">
        <f t="shared" si="52"/>
        <v>1</v>
      </c>
      <c r="L343" s="676"/>
      <c r="M343" s="24">
        <f t="shared" si="53"/>
        <v>1</v>
      </c>
      <c r="N343" s="676"/>
      <c r="O343" s="24">
        <f t="shared" si="54"/>
        <v>1</v>
      </c>
      <c r="P343" s="676"/>
      <c r="Q343" s="24">
        <f t="shared" si="55"/>
        <v>1</v>
      </c>
      <c r="R343" s="672">
        <f t="shared" si="56"/>
        <v>0</v>
      </c>
      <c r="S343" s="322">
        <f t="shared" si="58"/>
        <v>0</v>
      </c>
    </row>
    <row r="344" spans="1:19">
      <c r="A344" s="155"/>
      <c r="B344" s="57"/>
      <c r="C344" s="24">
        <f t="shared" si="48"/>
        <v>1</v>
      </c>
      <c r="D344" s="676"/>
      <c r="E344" s="24">
        <f t="shared" si="49"/>
        <v>1</v>
      </c>
      <c r="F344" s="676"/>
      <c r="G344" s="24">
        <f t="shared" si="50"/>
        <v>1</v>
      </c>
      <c r="H344" s="676"/>
      <c r="I344" s="24">
        <f t="shared" si="51"/>
        <v>1</v>
      </c>
      <c r="J344" s="676"/>
      <c r="K344" s="24">
        <f t="shared" si="52"/>
        <v>1</v>
      </c>
      <c r="L344" s="676"/>
      <c r="M344" s="24">
        <f t="shared" si="53"/>
        <v>1</v>
      </c>
      <c r="N344" s="676"/>
      <c r="O344" s="24">
        <f t="shared" si="54"/>
        <v>1</v>
      </c>
      <c r="P344" s="676"/>
      <c r="Q344" s="24">
        <f t="shared" si="55"/>
        <v>1</v>
      </c>
      <c r="R344" s="672">
        <f t="shared" si="56"/>
        <v>0</v>
      </c>
      <c r="S344" s="322">
        <f t="shared" si="58"/>
        <v>0</v>
      </c>
    </row>
    <row r="345" spans="1:19">
      <c r="A345" s="155"/>
      <c r="B345" s="57"/>
      <c r="C345" s="24">
        <f t="shared" si="48"/>
        <v>1</v>
      </c>
      <c r="D345" s="676"/>
      <c r="E345" s="24">
        <f t="shared" si="49"/>
        <v>1</v>
      </c>
      <c r="F345" s="676"/>
      <c r="G345" s="24">
        <f t="shared" si="50"/>
        <v>1</v>
      </c>
      <c r="H345" s="676"/>
      <c r="I345" s="24">
        <f t="shared" si="51"/>
        <v>1</v>
      </c>
      <c r="J345" s="676"/>
      <c r="K345" s="24">
        <f t="shared" si="52"/>
        <v>1</v>
      </c>
      <c r="L345" s="676"/>
      <c r="M345" s="24">
        <f t="shared" si="53"/>
        <v>1</v>
      </c>
      <c r="N345" s="676"/>
      <c r="O345" s="24">
        <f t="shared" si="54"/>
        <v>1</v>
      </c>
      <c r="P345" s="676"/>
      <c r="Q345" s="24">
        <f t="shared" si="55"/>
        <v>1</v>
      </c>
      <c r="R345" s="672">
        <f t="shared" si="56"/>
        <v>0</v>
      </c>
      <c r="S345" s="322">
        <f t="shared" si="58"/>
        <v>0</v>
      </c>
    </row>
    <row r="346" spans="1:19">
      <c r="A346" s="155"/>
      <c r="B346" s="57"/>
      <c r="C346" s="24">
        <f t="shared" ref="C346:C409" si="59">IF(B346="",1,(LOOKUP(B346,$3:$3,$4:$4)-LOOKUP($B$24,$3:$3,$4:$4)+100)/100)</f>
        <v>1</v>
      </c>
      <c r="D346" s="676"/>
      <c r="E346" s="24">
        <f t="shared" ref="E346:E409" si="60">(SUMIF($5:$5,D346,$6:$6)-SUMIF($5:$5,$D$24,$6:$6)+100)/100</f>
        <v>1</v>
      </c>
      <c r="F346" s="676"/>
      <c r="G346" s="24">
        <f t="shared" ref="G346:G409" si="61">(SUMIF($7:$7,F346,$8:$8)-SUMIF($7:$7,$F$24,$8:$8)+100)/100</f>
        <v>1</v>
      </c>
      <c r="H346" s="676"/>
      <c r="I346" s="24">
        <f t="shared" ref="I346:I409" si="62">(SUMIF($9:$9,H346,$10:$10)-SUMIF($9:$9,$H$24,$10:$10)+100)/100</f>
        <v>1</v>
      </c>
      <c r="J346" s="676"/>
      <c r="K346" s="24">
        <f t="shared" ref="K346:K409" si="63">(SUMIF($11:$11,J346,$12:$12)-SUMIF($11:$11,$J$24,$12:$12)+100)/100</f>
        <v>1</v>
      </c>
      <c r="L346" s="676"/>
      <c r="M346" s="24">
        <f t="shared" ref="M346:M409" si="64">(SUMIF($13:$13,L346,$14:$14)-SUMIF($13:$13,$L$24,$14:$14)+100)/100</f>
        <v>1</v>
      </c>
      <c r="N346" s="676"/>
      <c r="O346" s="24">
        <f t="shared" ref="O346:O409" si="65">(SUMIF($15:$15,N346,$16:$16)-SUMIF($15:$15,$N$24,$16:$16)+100)/100</f>
        <v>1</v>
      </c>
      <c r="P346" s="676"/>
      <c r="Q346" s="24">
        <f t="shared" ref="Q346:Q409" si="66">(SUMIF($17:$17,P346,$18:$18)-SUMIF($17:$17,$P$24,$18:$18)+100)/100</f>
        <v>1</v>
      </c>
      <c r="R346" s="672">
        <f t="shared" ref="R346:R409" si="67">IF(B346="",0,ROUND($R$24*C346*E346*G346*I346*K346*M346*O346*Q346,0))</f>
        <v>0</v>
      </c>
      <c r="S346" s="322">
        <f t="shared" si="58"/>
        <v>0</v>
      </c>
    </row>
    <row r="347" spans="1:19">
      <c r="A347" s="155"/>
      <c r="B347" s="57"/>
      <c r="C347" s="24">
        <f t="shared" si="59"/>
        <v>1</v>
      </c>
      <c r="D347" s="676"/>
      <c r="E347" s="24">
        <f t="shared" si="60"/>
        <v>1</v>
      </c>
      <c r="F347" s="676"/>
      <c r="G347" s="24">
        <f t="shared" si="61"/>
        <v>1</v>
      </c>
      <c r="H347" s="676"/>
      <c r="I347" s="24">
        <f t="shared" si="62"/>
        <v>1</v>
      </c>
      <c r="J347" s="676"/>
      <c r="K347" s="24">
        <f t="shared" si="63"/>
        <v>1</v>
      </c>
      <c r="L347" s="676"/>
      <c r="M347" s="24">
        <f t="shared" si="64"/>
        <v>1</v>
      </c>
      <c r="N347" s="676"/>
      <c r="O347" s="24">
        <f t="shared" si="65"/>
        <v>1</v>
      </c>
      <c r="P347" s="676"/>
      <c r="Q347" s="24">
        <f t="shared" si="66"/>
        <v>1</v>
      </c>
      <c r="R347" s="672">
        <f t="shared" si="67"/>
        <v>0</v>
      </c>
      <c r="S347" s="322">
        <f t="shared" si="58"/>
        <v>0</v>
      </c>
    </row>
    <row r="348" spans="1:19">
      <c r="A348" s="155"/>
      <c r="B348" s="57"/>
      <c r="C348" s="24">
        <f t="shared" si="59"/>
        <v>1</v>
      </c>
      <c r="D348" s="676"/>
      <c r="E348" s="24">
        <f t="shared" si="60"/>
        <v>1</v>
      </c>
      <c r="F348" s="676"/>
      <c r="G348" s="24">
        <f t="shared" si="61"/>
        <v>1</v>
      </c>
      <c r="H348" s="676"/>
      <c r="I348" s="24">
        <f t="shared" si="62"/>
        <v>1</v>
      </c>
      <c r="J348" s="676"/>
      <c r="K348" s="24">
        <f t="shared" si="63"/>
        <v>1</v>
      </c>
      <c r="L348" s="676"/>
      <c r="M348" s="24">
        <f t="shared" si="64"/>
        <v>1</v>
      </c>
      <c r="N348" s="676"/>
      <c r="O348" s="24">
        <f t="shared" si="65"/>
        <v>1</v>
      </c>
      <c r="P348" s="676"/>
      <c r="Q348" s="24">
        <f t="shared" si="66"/>
        <v>1</v>
      </c>
      <c r="R348" s="672">
        <f t="shared" si="67"/>
        <v>0</v>
      </c>
      <c r="S348" s="322">
        <f t="shared" si="58"/>
        <v>0</v>
      </c>
    </row>
    <row r="349" spans="1:19">
      <c r="A349" s="155"/>
      <c r="B349" s="57"/>
      <c r="C349" s="24">
        <f t="shared" si="59"/>
        <v>1</v>
      </c>
      <c r="D349" s="676"/>
      <c r="E349" s="24">
        <f t="shared" si="60"/>
        <v>1</v>
      </c>
      <c r="F349" s="676"/>
      <c r="G349" s="24">
        <f t="shared" si="61"/>
        <v>1</v>
      </c>
      <c r="H349" s="676"/>
      <c r="I349" s="24">
        <f t="shared" si="62"/>
        <v>1</v>
      </c>
      <c r="J349" s="676"/>
      <c r="K349" s="24">
        <f t="shared" si="63"/>
        <v>1</v>
      </c>
      <c r="L349" s="676"/>
      <c r="M349" s="24">
        <f t="shared" si="64"/>
        <v>1</v>
      </c>
      <c r="N349" s="676"/>
      <c r="O349" s="24">
        <f t="shared" si="65"/>
        <v>1</v>
      </c>
      <c r="P349" s="676"/>
      <c r="Q349" s="24">
        <f t="shared" si="66"/>
        <v>1</v>
      </c>
      <c r="R349" s="672">
        <f t="shared" si="67"/>
        <v>0</v>
      </c>
      <c r="S349" s="322">
        <f t="shared" si="58"/>
        <v>0</v>
      </c>
    </row>
    <row r="350" spans="1:19">
      <c r="A350" s="155"/>
      <c r="B350" s="57"/>
      <c r="C350" s="24">
        <f t="shared" si="59"/>
        <v>1</v>
      </c>
      <c r="D350" s="676"/>
      <c r="E350" s="24">
        <f t="shared" si="60"/>
        <v>1</v>
      </c>
      <c r="F350" s="676"/>
      <c r="G350" s="24">
        <f t="shared" si="61"/>
        <v>1</v>
      </c>
      <c r="H350" s="676"/>
      <c r="I350" s="24">
        <f t="shared" si="62"/>
        <v>1</v>
      </c>
      <c r="J350" s="676"/>
      <c r="K350" s="24">
        <f t="shared" si="63"/>
        <v>1</v>
      </c>
      <c r="L350" s="676"/>
      <c r="M350" s="24">
        <f t="shared" si="64"/>
        <v>1</v>
      </c>
      <c r="N350" s="676"/>
      <c r="O350" s="24">
        <f t="shared" si="65"/>
        <v>1</v>
      </c>
      <c r="P350" s="676"/>
      <c r="Q350" s="24">
        <f t="shared" si="66"/>
        <v>1</v>
      </c>
      <c r="R350" s="672">
        <f t="shared" si="67"/>
        <v>0</v>
      </c>
      <c r="S350" s="322">
        <f t="shared" si="58"/>
        <v>0</v>
      </c>
    </row>
    <row r="351" spans="1:19">
      <c r="A351" s="155"/>
      <c r="B351" s="57"/>
      <c r="C351" s="24">
        <f t="shared" si="59"/>
        <v>1</v>
      </c>
      <c r="D351" s="676"/>
      <c r="E351" s="24">
        <f t="shared" si="60"/>
        <v>1</v>
      </c>
      <c r="F351" s="676"/>
      <c r="G351" s="24">
        <f t="shared" si="61"/>
        <v>1</v>
      </c>
      <c r="H351" s="676"/>
      <c r="I351" s="24">
        <f t="shared" si="62"/>
        <v>1</v>
      </c>
      <c r="J351" s="676"/>
      <c r="K351" s="24">
        <f t="shared" si="63"/>
        <v>1</v>
      </c>
      <c r="L351" s="676"/>
      <c r="M351" s="24">
        <f t="shared" si="64"/>
        <v>1</v>
      </c>
      <c r="N351" s="676"/>
      <c r="O351" s="24">
        <f t="shared" si="65"/>
        <v>1</v>
      </c>
      <c r="P351" s="676"/>
      <c r="Q351" s="24">
        <f t="shared" si="66"/>
        <v>1</v>
      </c>
      <c r="R351" s="672">
        <f t="shared" si="67"/>
        <v>0</v>
      </c>
      <c r="S351" s="322">
        <f t="shared" si="58"/>
        <v>0</v>
      </c>
    </row>
    <row r="352" spans="1:19">
      <c r="A352" s="155"/>
      <c r="B352" s="57"/>
      <c r="C352" s="24">
        <f t="shared" si="59"/>
        <v>1</v>
      </c>
      <c r="D352" s="676"/>
      <c r="E352" s="24">
        <f t="shared" si="60"/>
        <v>1</v>
      </c>
      <c r="F352" s="676"/>
      <c r="G352" s="24">
        <f t="shared" si="61"/>
        <v>1</v>
      </c>
      <c r="H352" s="676"/>
      <c r="I352" s="24">
        <f t="shared" si="62"/>
        <v>1</v>
      </c>
      <c r="J352" s="676"/>
      <c r="K352" s="24">
        <f t="shared" si="63"/>
        <v>1</v>
      </c>
      <c r="L352" s="676"/>
      <c r="M352" s="24">
        <f t="shared" si="64"/>
        <v>1</v>
      </c>
      <c r="N352" s="676"/>
      <c r="O352" s="24">
        <f t="shared" si="65"/>
        <v>1</v>
      </c>
      <c r="P352" s="676"/>
      <c r="Q352" s="24">
        <f t="shared" si="66"/>
        <v>1</v>
      </c>
      <c r="R352" s="672">
        <f t="shared" si="67"/>
        <v>0</v>
      </c>
      <c r="S352" s="322">
        <f t="shared" si="58"/>
        <v>0</v>
      </c>
    </row>
    <row r="353" spans="1:19">
      <c r="A353" s="155"/>
      <c r="B353" s="57"/>
      <c r="C353" s="24">
        <f t="shared" si="59"/>
        <v>1</v>
      </c>
      <c r="D353" s="676"/>
      <c r="E353" s="24">
        <f t="shared" si="60"/>
        <v>1</v>
      </c>
      <c r="F353" s="676"/>
      <c r="G353" s="24">
        <f t="shared" si="61"/>
        <v>1</v>
      </c>
      <c r="H353" s="676"/>
      <c r="I353" s="24">
        <f t="shared" si="62"/>
        <v>1</v>
      </c>
      <c r="J353" s="676"/>
      <c r="K353" s="24">
        <f t="shared" si="63"/>
        <v>1</v>
      </c>
      <c r="L353" s="676"/>
      <c r="M353" s="24">
        <f t="shared" si="64"/>
        <v>1</v>
      </c>
      <c r="N353" s="676"/>
      <c r="O353" s="24">
        <f t="shared" si="65"/>
        <v>1</v>
      </c>
      <c r="P353" s="676"/>
      <c r="Q353" s="24">
        <f t="shared" si="66"/>
        <v>1</v>
      </c>
      <c r="R353" s="672">
        <f t="shared" si="67"/>
        <v>0</v>
      </c>
      <c r="S353" s="322">
        <f t="shared" si="58"/>
        <v>0</v>
      </c>
    </row>
    <row r="354" spans="1:19">
      <c r="A354" s="155"/>
      <c r="B354" s="57"/>
      <c r="C354" s="24">
        <f t="shared" si="59"/>
        <v>1</v>
      </c>
      <c r="D354" s="676"/>
      <c r="E354" s="24">
        <f t="shared" si="60"/>
        <v>1</v>
      </c>
      <c r="F354" s="676"/>
      <c r="G354" s="24">
        <f t="shared" si="61"/>
        <v>1</v>
      </c>
      <c r="H354" s="676"/>
      <c r="I354" s="24">
        <f t="shared" si="62"/>
        <v>1</v>
      </c>
      <c r="J354" s="676"/>
      <c r="K354" s="24">
        <f t="shared" si="63"/>
        <v>1</v>
      </c>
      <c r="L354" s="676"/>
      <c r="M354" s="24">
        <f t="shared" si="64"/>
        <v>1</v>
      </c>
      <c r="N354" s="676"/>
      <c r="O354" s="24">
        <f t="shared" si="65"/>
        <v>1</v>
      </c>
      <c r="P354" s="676"/>
      <c r="Q354" s="24">
        <f t="shared" si="66"/>
        <v>1</v>
      </c>
      <c r="R354" s="672">
        <f t="shared" si="67"/>
        <v>0</v>
      </c>
      <c r="S354" s="322">
        <f t="shared" si="58"/>
        <v>0</v>
      </c>
    </row>
    <row r="355" spans="1:19">
      <c r="A355" s="155"/>
      <c r="B355" s="57"/>
      <c r="C355" s="24">
        <f t="shared" si="59"/>
        <v>1</v>
      </c>
      <c r="D355" s="676"/>
      <c r="E355" s="24">
        <f t="shared" si="60"/>
        <v>1</v>
      </c>
      <c r="F355" s="676"/>
      <c r="G355" s="24">
        <f t="shared" si="61"/>
        <v>1</v>
      </c>
      <c r="H355" s="676"/>
      <c r="I355" s="24">
        <f t="shared" si="62"/>
        <v>1</v>
      </c>
      <c r="J355" s="676"/>
      <c r="K355" s="24">
        <f t="shared" si="63"/>
        <v>1</v>
      </c>
      <c r="L355" s="676"/>
      <c r="M355" s="24">
        <f t="shared" si="64"/>
        <v>1</v>
      </c>
      <c r="N355" s="676"/>
      <c r="O355" s="24">
        <f t="shared" si="65"/>
        <v>1</v>
      </c>
      <c r="P355" s="676"/>
      <c r="Q355" s="24">
        <f t="shared" si="66"/>
        <v>1</v>
      </c>
      <c r="R355" s="672">
        <f t="shared" si="67"/>
        <v>0</v>
      </c>
      <c r="S355" s="322">
        <f t="shared" si="58"/>
        <v>0</v>
      </c>
    </row>
    <row r="356" spans="1:19">
      <c r="A356" s="155"/>
      <c r="B356" s="57"/>
      <c r="C356" s="24">
        <f t="shared" si="59"/>
        <v>1</v>
      </c>
      <c r="D356" s="676"/>
      <c r="E356" s="24">
        <f t="shared" si="60"/>
        <v>1</v>
      </c>
      <c r="F356" s="676"/>
      <c r="G356" s="24">
        <f t="shared" si="61"/>
        <v>1</v>
      </c>
      <c r="H356" s="676"/>
      <c r="I356" s="24">
        <f t="shared" si="62"/>
        <v>1</v>
      </c>
      <c r="J356" s="676"/>
      <c r="K356" s="24">
        <f t="shared" si="63"/>
        <v>1</v>
      </c>
      <c r="L356" s="676"/>
      <c r="M356" s="24">
        <f t="shared" si="64"/>
        <v>1</v>
      </c>
      <c r="N356" s="676"/>
      <c r="O356" s="24">
        <f t="shared" si="65"/>
        <v>1</v>
      </c>
      <c r="P356" s="676"/>
      <c r="Q356" s="24">
        <f t="shared" si="66"/>
        <v>1</v>
      </c>
      <c r="R356" s="672">
        <f t="shared" si="67"/>
        <v>0</v>
      </c>
      <c r="S356" s="322">
        <f t="shared" si="58"/>
        <v>0</v>
      </c>
    </row>
    <row r="357" spans="1:19">
      <c r="A357" s="155"/>
      <c r="B357" s="57"/>
      <c r="C357" s="24">
        <f t="shared" si="59"/>
        <v>1</v>
      </c>
      <c r="D357" s="676"/>
      <c r="E357" s="24">
        <f t="shared" si="60"/>
        <v>1</v>
      </c>
      <c r="F357" s="676"/>
      <c r="G357" s="24">
        <f t="shared" si="61"/>
        <v>1</v>
      </c>
      <c r="H357" s="676"/>
      <c r="I357" s="24">
        <f t="shared" si="62"/>
        <v>1</v>
      </c>
      <c r="J357" s="676"/>
      <c r="K357" s="24">
        <f t="shared" si="63"/>
        <v>1</v>
      </c>
      <c r="L357" s="676"/>
      <c r="M357" s="24">
        <f t="shared" si="64"/>
        <v>1</v>
      </c>
      <c r="N357" s="676"/>
      <c r="O357" s="24">
        <f t="shared" si="65"/>
        <v>1</v>
      </c>
      <c r="P357" s="676"/>
      <c r="Q357" s="24">
        <f t="shared" si="66"/>
        <v>1</v>
      </c>
      <c r="R357" s="672">
        <f t="shared" si="67"/>
        <v>0</v>
      </c>
      <c r="S357" s="322">
        <f t="shared" si="58"/>
        <v>0</v>
      </c>
    </row>
    <row r="358" spans="1:19">
      <c r="A358" s="155"/>
      <c r="B358" s="57"/>
      <c r="C358" s="24">
        <f t="shared" si="59"/>
        <v>1</v>
      </c>
      <c r="D358" s="676"/>
      <c r="E358" s="24">
        <f t="shared" si="60"/>
        <v>1</v>
      </c>
      <c r="F358" s="676"/>
      <c r="G358" s="24">
        <f t="shared" si="61"/>
        <v>1</v>
      </c>
      <c r="H358" s="676"/>
      <c r="I358" s="24">
        <f t="shared" si="62"/>
        <v>1</v>
      </c>
      <c r="J358" s="676"/>
      <c r="K358" s="24">
        <f t="shared" si="63"/>
        <v>1</v>
      </c>
      <c r="L358" s="676"/>
      <c r="M358" s="24">
        <f t="shared" si="64"/>
        <v>1</v>
      </c>
      <c r="N358" s="676"/>
      <c r="O358" s="24">
        <f t="shared" si="65"/>
        <v>1</v>
      </c>
      <c r="P358" s="676"/>
      <c r="Q358" s="24">
        <f t="shared" si="66"/>
        <v>1</v>
      </c>
      <c r="R358" s="672">
        <f t="shared" si="67"/>
        <v>0</v>
      </c>
      <c r="S358" s="322">
        <f t="shared" si="58"/>
        <v>0</v>
      </c>
    </row>
    <row r="359" spans="1:19">
      <c r="A359" s="155"/>
      <c r="B359" s="57"/>
      <c r="C359" s="24">
        <f t="shared" si="59"/>
        <v>1</v>
      </c>
      <c r="D359" s="676"/>
      <c r="E359" s="24">
        <f t="shared" si="60"/>
        <v>1</v>
      </c>
      <c r="F359" s="676"/>
      <c r="G359" s="24">
        <f t="shared" si="61"/>
        <v>1</v>
      </c>
      <c r="H359" s="676"/>
      <c r="I359" s="24">
        <f t="shared" si="62"/>
        <v>1</v>
      </c>
      <c r="J359" s="676"/>
      <c r="K359" s="24">
        <f t="shared" si="63"/>
        <v>1</v>
      </c>
      <c r="L359" s="676"/>
      <c r="M359" s="24">
        <f t="shared" si="64"/>
        <v>1</v>
      </c>
      <c r="N359" s="676"/>
      <c r="O359" s="24">
        <f t="shared" si="65"/>
        <v>1</v>
      </c>
      <c r="P359" s="676"/>
      <c r="Q359" s="24">
        <f t="shared" si="66"/>
        <v>1</v>
      </c>
      <c r="R359" s="672">
        <f t="shared" si="67"/>
        <v>0</v>
      </c>
      <c r="S359" s="322">
        <f t="shared" si="58"/>
        <v>0</v>
      </c>
    </row>
    <row r="360" spans="1:19">
      <c r="A360" s="155"/>
      <c r="B360" s="57"/>
      <c r="C360" s="24">
        <f t="shared" si="59"/>
        <v>1</v>
      </c>
      <c r="D360" s="676"/>
      <c r="E360" s="24">
        <f t="shared" si="60"/>
        <v>1</v>
      </c>
      <c r="F360" s="676"/>
      <c r="G360" s="24">
        <f t="shared" si="61"/>
        <v>1</v>
      </c>
      <c r="H360" s="676"/>
      <c r="I360" s="24">
        <f t="shared" si="62"/>
        <v>1</v>
      </c>
      <c r="J360" s="676"/>
      <c r="K360" s="24">
        <f t="shared" si="63"/>
        <v>1</v>
      </c>
      <c r="L360" s="676"/>
      <c r="M360" s="24">
        <f t="shared" si="64"/>
        <v>1</v>
      </c>
      <c r="N360" s="676"/>
      <c r="O360" s="24">
        <f t="shared" si="65"/>
        <v>1</v>
      </c>
      <c r="P360" s="676"/>
      <c r="Q360" s="24">
        <f t="shared" si="66"/>
        <v>1</v>
      </c>
      <c r="R360" s="672">
        <f t="shared" si="67"/>
        <v>0</v>
      </c>
      <c r="S360" s="322">
        <f t="shared" si="58"/>
        <v>0</v>
      </c>
    </row>
    <row r="361" spans="1:19">
      <c r="A361" s="155"/>
      <c r="B361" s="57"/>
      <c r="C361" s="24">
        <f t="shared" si="59"/>
        <v>1</v>
      </c>
      <c r="D361" s="676"/>
      <c r="E361" s="24">
        <f t="shared" si="60"/>
        <v>1</v>
      </c>
      <c r="F361" s="676"/>
      <c r="G361" s="24">
        <f t="shared" si="61"/>
        <v>1</v>
      </c>
      <c r="H361" s="676"/>
      <c r="I361" s="24">
        <f t="shared" si="62"/>
        <v>1</v>
      </c>
      <c r="J361" s="676"/>
      <c r="K361" s="24">
        <f t="shared" si="63"/>
        <v>1</v>
      </c>
      <c r="L361" s="676"/>
      <c r="M361" s="24">
        <f t="shared" si="64"/>
        <v>1</v>
      </c>
      <c r="N361" s="676"/>
      <c r="O361" s="24">
        <f t="shared" si="65"/>
        <v>1</v>
      </c>
      <c r="P361" s="676"/>
      <c r="Q361" s="24">
        <f t="shared" si="66"/>
        <v>1</v>
      </c>
      <c r="R361" s="672">
        <f t="shared" si="67"/>
        <v>0</v>
      </c>
      <c r="S361" s="322">
        <f t="shared" si="58"/>
        <v>0</v>
      </c>
    </row>
    <row r="362" spans="1:19">
      <c r="A362" s="155"/>
      <c r="B362" s="57"/>
      <c r="C362" s="24">
        <f t="shared" si="59"/>
        <v>1</v>
      </c>
      <c r="D362" s="676"/>
      <c r="E362" s="24">
        <f t="shared" si="60"/>
        <v>1</v>
      </c>
      <c r="F362" s="676"/>
      <c r="G362" s="24">
        <f t="shared" si="61"/>
        <v>1</v>
      </c>
      <c r="H362" s="676"/>
      <c r="I362" s="24">
        <f t="shared" si="62"/>
        <v>1</v>
      </c>
      <c r="J362" s="676"/>
      <c r="K362" s="24">
        <f t="shared" si="63"/>
        <v>1</v>
      </c>
      <c r="L362" s="676"/>
      <c r="M362" s="24">
        <f t="shared" si="64"/>
        <v>1</v>
      </c>
      <c r="N362" s="676"/>
      <c r="O362" s="24">
        <f t="shared" si="65"/>
        <v>1</v>
      </c>
      <c r="P362" s="676"/>
      <c r="Q362" s="24">
        <f t="shared" si="66"/>
        <v>1</v>
      </c>
      <c r="R362" s="672">
        <f t="shared" si="67"/>
        <v>0</v>
      </c>
      <c r="S362" s="322">
        <f t="shared" si="58"/>
        <v>0</v>
      </c>
    </row>
    <row r="363" spans="1:19">
      <c r="A363" s="155"/>
      <c r="B363" s="57"/>
      <c r="C363" s="24">
        <f t="shared" si="59"/>
        <v>1</v>
      </c>
      <c r="D363" s="676"/>
      <c r="E363" s="24">
        <f t="shared" si="60"/>
        <v>1</v>
      </c>
      <c r="F363" s="676"/>
      <c r="G363" s="24">
        <f t="shared" si="61"/>
        <v>1</v>
      </c>
      <c r="H363" s="676"/>
      <c r="I363" s="24">
        <f t="shared" si="62"/>
        <v>1</v>
      </c>
      <c r="J363" s="676"/>
      <c r="K363" s="24">
        <f t="shared" si="63"/>
        <v>1</v>
      </c>
      <c r="L363" s="676"/>
      <c r="M363" s="24">
        <f t="shared" si="64"/>
        <v>1</v>
      </c>
      <c r="N363" s="676"/>
      <c r="O363" s="24">
        <f t="shared" si="65"/>
        <v>1</v>
      </c>
      <c r="P363" s="676"/>
      <c r="Q363" s="24">
        <f t="shared" si="66"/>
        <v>1</v>
      </c>
      <c r="R363" s="672">
        <f t="shared" si="67"/>
        <v>0</v>
      </c>
      <c r="S363" s="322">
        <f t="shared" si="58"/>
        <v>0</v>
      </c>
    </row>
    <row r="364" spans="1:19">
      <c r="A364" s="155"/>
      <c r="B364" s="57"/>
      <c r="C364" s="24">
        <f t="shared" si="59"/>
        <v>1</v>
      </c>
      <c r="D364" s="676"/>
      <c r="E364" s="24">
        <f t="shared" si="60"/>
        <v>1</v>
      </c>
      <c r="F364" s="676"/>
      <c r="G364" s="24">
        <f t="shared" si="61"/>
        <v>1</v>
      </c>
      <c r="H364" s="676"/>
      <c r="I364" s="24">
        <f t="shared" si="62"/>
        <v>1</v>
      </c>
      <c r="J364" s="676"/>
      <c r="K364" s="24">
        <f t="shared" si="63"/>
        <v>1</v>
      </c>
      <c r="L364" s="676"/>
      <c r="M364" s="24">
        <f t="shared" si="64"/>
        <v>1</v>
      </c>
      <c r="N364" s="676"/>
      <c r="O364" s="24">
        <f t="shared" si="65"/>
        <v>1</v>
      </c>
      <c r="P364" s="676"/>
      <c r="Q364" s="24">
        <f t="shared" si="66"/>
        <v>1</v>
      </c>
      <c r="R364" s="672">
        <f t="shared" si="67"/>
        <v>0</v>
      </c>
      <c r="S364" s="322">
        <f t="shared" si="58"/>
        <v>0</v>
      </c>
    </row>
    <row r="365" spans="1:19">
      <c r="A365" s="155"/>
      <c r="B365" s="57"/>
      <c r="C365" s="24">
        <f t="shared" si="59"/>
        <v>1</v>
      </c>
      <c r="D365" s="676"/>
      <c r="E365" s="24">
        <f t="shared" si="60"/>
        <v>1</v>
      </c>
      <c r="F365" s="676"/>
      <c r="G365" s="24">
        <f t="shared" si="61"/>
        <v>1</v>
      </c>
      <c r="H365" s="676"/>
      <c r="I365" s="24">
        <f t="shared" si="62"/>
        <v>1</v>
      </c>
      <c r="J365" s="676"/>
      <c r="K365" s="24">
        <f t="shared" si="63"/>
        <v>1</v>
      </c>
      <c r="L365" s="676"/>
      <c r="M365" s="24">
        <f t="shared" si="64"/>
        <v>1</v>
      </c>
      <c r="N365" s="676"/>
      <c r="O365" s="24">
        <f t="shared" si="65"/>
        <v>1</v>
      </c>
      <c r="P365" s="676"/>
      <c r="Q365" s="24">
        <f t="shared" si="66"/>
        <v>1</v>
      </c>
      <c r="R365" s="672">
        <f t="shared" si="67"/>
        <v>0</v>
      </c>
      <c r="S365" s="322">
        <f t="shared" si="58"/>
        <v>0</v>
      </c>
    </row>
    <row r="366" spans="1:19">
      <c r="A366" s="155"/>
      <c r="B366" s="57"/>
      <c r="C366" s="24">
        <f t="shared" si="59"/>
        <v>1</v>
      </c>
      <c r="D366" s="676"/>
      <c r="E366" s="24">
        <f t="shared" si="60"/>
        <v>1</v>
      </c>
      <c r="F366" s="676"/>
      <c r="G366" s="24">
        <f t="shared" si="61"/>
        <v>1</v>
      </c>
      <c r="H366" s="676"/>
      <c r="I366" s="24">
        <f t="shared" si="62"/>
        <v>1</v>
      </c>
      <c r="J366" s="676"/>
      <c r="K366" s="24">
        <f t="shared" si="63"/>
        <v>1</v>
      </c>
      <c r="L366" s="676"/>
      <c r="M366" s="24">
        <f t="shared" si="64"/>
        <v>1</v>
      </c>
      <c r="N366" s="676"/>
      <c r="O366" s="24">
        <f t="shared" si="65"/>
        <v>1</v>
      </c>
      <c r="P366" s="676"/>
      <c r="Q366" s="24">
        <f t="shared" si="66"/>
        <v>1</v>
      </c>
      <c r="R366" s="672">
        <f t="shared" si="67"/>
        <v>0</v>
      </c>
      <c r="S366" s="322">
        <f t="shared" si="58"/>
        <v>0</v>
      </c>
    </row>
    <row r="367" spans="1:19">
      <c r="A367" s="155"/>
      <c r="B367" s="57"/>
      <c r="C367" s="24">
        <f t="shared" si="59"/>
        <v>1</v>
      </c>
      <c r="D367" s="676"/>
      <c r="E367" s="24">
        <f t="shared" si="60"/>
        <v>1</v>
      </c>
      <c r="F367" s="676"/>
      <c r="G367" s="24">
        <f t="shared" si="61"/>
        <v>1</v>
      </c>
      <c r="H367" s="676"/>
      <c r="I367" s="24">
        <f t="shared" si="62"/>
        <v>1</v>
      </c>
      <c r="J367" s="676"/>
      <c r="K367" s="24">
        <f t="shared" si="63"/>
        <v>1</v>
      </c>
      <c r="L367" s="676"/>
      <c r="M367" s="24">
        <f t="shared" si="64"/>
        <v>1</v>
      </c>
      <c r="N367" s="676"/>
      <c r="O367" s="24">
        <f t="shared" si="65"/>
        <v>1</v>
      </c>
      <c r="P367" s="676"/>
      <c r="Q367" s="24">
        <f t="shared" si="66"/>
        <v>1</v>
      </c>
      <c r="R367" s="672">
        <f t="shared" si="67"/>
        <v>0</v>
      </c>
      <c r="S367" s="322">
        <f t="shared" si="58"/>
        <v>0</v>
      </c>
    </row>
    <row r="368" spans="1:19">
      <c r="A368" s="155"/>
      <c r="B368" s="57"/>
      <c r="C368" s="24">
        <f t="shared" si="59"/>
        <v>1</v>
      </c>
      <c r="D368" s="676"/>
      <c r="E368" s="24">
        <f t="shared" si="60"/>
        <v>1</v>
      </c>
      <c r="F368" s="676"/>
      <c r="G368" s="24">
        <f t="shared" si="61"/>
        <v>1</v>
      </c>
      <c r="H368" s="676"/>
      <c r="I368" s="24">
        <f t="shared" si="62"/>
        <v>1</v>
      </c>
      <c r="J368" s="676"/>
      <c r="K368" s="24">
        <f t="shared" si="63"/>
        <v>1</v>
      </c>
      <c r="L368" s="676"/>
      <c r="M368" s="24">
        <f t="shared" si="64"/>
        <v>1</v>
      </c>
      <c r="N368" s="676"/>
      <c r="O368" s="24">
        <f t="shared" si="65"/>
        <v>1</v>
      </c>
      <c r="P368" s="676"/>
      <c r="Q368" s="24">
        <f t="shared" si="66"/>
        <v>1</v>
      </c>
      <c r="R368" s="672">
        <f t="shared" si="67"/>
        <v>0</v>
      </c>
      <c r="S368" s="322">
        <f t="shared" si="58"/>
        <v>0</v>
      </c>
    </row>
    <row r="369" spans="1:19">
      <c r="A369" s="155"/>
      <c r="B369" s="57"/>
      <c r="C369" s="24">
        <f t="shared" si="59"/>
        <v>1</v>
      </c>
      <c r="D369" s="676"/>
      <c r="E369" s="24">
        <f t="shared" si="60"/>
        <v>1</v>
      </c>
      <c r="F369" s="676"/>
      <c r="G369" s="24">
        <f t="shared" si="61"/>
        <v>1</v>
      </c>
      <c r="H369" s="676"/>
      <c r="I369" s="24">
        <f t="shared" si="62"/>
        <v>1</v>
      </c>
      <c r="J369" s="676"/>
      <c r="K369" s="24">
        <f t="shared" si="63"/>
        <v>1</v>
      </c>
      <c r="L369" s="676"/>
      <c r="M369" s="24">
        <f t="shared" si="64"/>
        <v>1</v>
      </c>
      <c r="N369" s="676"/>
      <c r="O369" s="24">
        <f t="shared" si="65"/>
        <v>1</v>
      </c>
      <c r="P369" s="676"/>
      <c r="Q369" s="24">
        <f t="shared" si="66"/>
        <v>1</v>
      </c>
      <c r="R369" s="672">
        <f t="shared" si="67"/>
        <v>0</v>
      </c>
      <c r="S369" s="322">
        <f t="shared" si="58"/>
        <v>0</v>
      </c>
    </row>
    <row r="370" spans="1:19">
      <c r="A370" s="155"/>
      <c r="B370" s="57"/>
      <c r="C370" s="24">
        <f t="shared" si="59"/>
        <v>1</v>
      </c>
      <c r="D370" s="676"/>
      <c r="E370" s="24">
        <f t="shared" si="60"/>
        <v>1</v>
      </c>
      <c r="F370" s="676"/>
      <c r="G370" s="24">
        <f t="shared" si="61"/>
        <v>1</v>
      </c>
      <c r="H370" s="676"/>
      <c r="I370" s="24">
        <f t="shared" si="62"/>
        <v>1</v>
      </c>
      <c r="J370" s="676"/>
      <c r="K370" s="24">
        <f t="shared" si="63"/>
        <v>1</v>
      </c>
      <c r="L370" s="676"/>
      <c r="M370" s="24">
        <f t="shared" si="64"/>
        <v>1</v>
      </c>
      <c r="N370" s="676"/>
      <c r="O370" s="24">
        <f t="shared" si="65"/>
        <v>1</v>
      </c>
      <c r="P370" s="676"/>
      <c r="Q370" s="24">
        <f t="shared" si="66"/>
        <v>1</v>
      </c>
      <c r="R370" s="672">
        <f t="shared" si="67"/>
        <v>0</v>
      </c>
      <c r="S370" s="322">
        <f t="shared" si="58"/>
        <v>0</v>
      </c>
    </row>
    <row r="371" spans="1:19">
      <c r="A371" s="155"/>
      <c r="B371" s="57"/>
      <c r="C371" s="24">
        <f t="shared" si="59"/>
        <v>1</v>
      </c>
      <c r="D371" s="676"/>
      <c r="E371" s="24">
        <f t="shared" si="60"/>
        <v>1</v>
      </c>
      <c r="F371" s="676"/>
      <c r="G371" s="24">
        <f t="shared" si="61"/>
        <v>1</v>
      </c>
      <c r="H371" s="676"/>
      <c r="I371" s="24">
        <f t="shared" si="62"/>
        <v>1</v>
      </c>
      <c r="J371" s="676"/>
      <c r="K371" s="24">
        <f t="shared" si="63"/>
        <v>1</v>
      </c>
      <c r="L371" s="676"/>
      <c r="M371" s="24">
        <f t="shared" si="64"/>
        <v>1</v>
      </c>
      <c r="N371" s="676"/>
      <c r="O371" s="24">
        <f t="shared" si="65"/>
        <v>1</v>
      </c>
      <c r="P371" s="676"/>
      <c r="Q371" s="24">
        <f t="shared" si="66"/>
        <v>1</v>
      </c>
      <c r="R371" s="672">
        <f t="shared" si="67"/>
        <v>0</v>
      </c>
      <c r="S371" s="322">
        <f t="shared" si="58"/>
        <v>0</v>
      </c>
    </row>
    <row r="372" spans="1:19">
      <c r="A372" s="155"/>
      <c r="B372" s="57"/>
      <c r="C372" s="24">
        <f t="shared" si="59"/>
        <v>1</v>
      </c>
      <c r="D372" s="676"/>
      <c r="E372" s="24">
        <f t="shared" si="60"/>
        <v>1</v>
      </c>
      <c r="F372" s="676"/>
      <c r="G372" s="24">
        <f t="shared" si="61"/>
        <v>1</v>
      </c>
      <c r="H372" s="676"/>
      <c r="I372" s="24">
        <f t="shared" si="62"/>
        <v>1</v>
      </c>
      <c r="J372" s="676"/>
      <c r="K372" s="24">
        <f t="shared" si="63"/>
        <v>1</v>
      </c>
      <c r="L372" s="676"/>
      <c r="M372" s="24">
        <f t="shared" si="64"/>
        <v>1</v>
      </c>
      <c r="N372" s="676"/>
      <c r="O372" s="24">
        <f t="shared" si="65"/>
        <v>1</v>
      </c>
      <c r="P372" s="676"/>
      <c r="Q372" s="24">
        <f t="shared" si="66"/>
        <v>1</v>
      </c>
      <c r="R372" s="672">
        <f t="shared" si="67"/>
        <v>0</v>
      </c>
      <c r="S372" s="322">
        <f t="shared" si="58"/>
        <v>0</v>
      </c>
    </row>
    <row r="373" spans="1:19">
      <c r="A373" s="155"/>
      <c r="B373" s="57"/>
      <c r="C373" s="24">
        <f t="shared" si="59"/>
        <v>1</v>
      </c>
      <c r="D373" s="676"/>
      <c r="E373" s="24">
        <f t="shared" si="60"/>
        <v>1</v>
      </c>
      <c r="F373" s="676"/>
      <c r="G373" s="24">
        <f t="shared" si="61"/>
        <v>1</v>
      </c>
      <c r="H373" s="676"/>
      <c r="I373" s="24">
        <f t="shared" si="62"/>
        <v>1</v>
      </c>
      <c r="J373" s="676"/>
      <c r="K373" s="24">
        <f t="shared" si="63"/>
        <v>1</v>
      </c>
      <c r="L373" s="676"/>
      <c r="M373" s="24">
        <f t="shared" si="64"/>
        <v>1</v>
      </c>
      <c r="N373" s="676"/>
      <c r="O373" s="24">
        <f t="shared" si="65"/>
        <v>1</v>
      </c>
      <c r="P373" s="676"/>
      <c r="Q373" s="24">
        <f t="shared" si="66"/>
        <v>1</v>
      </c>
      <c r="R373" s="672">
        <f t="shared" si="67"/>
        <v>0</v>
      </c>
      <c r="S373" s="322">
        <f t="shared" si="58"/>
        <v>0</v>
      </c>
    </row>
    <row r="374" spans="1:19">
      <c r="A374" s="155"/>
      <c r="B374" s="57"/>
      <c r="C374" s="24">
        <f t="shared" si="59"/>
        <v>1</v>
      </c>
      <c r="D374" s="676"/>
      <c r="E374" s="24">
        <f t="shared" si="60"/>
        <v>1</v>
      </c>
      <c r="F374" s="676"/>
      <c r="G374" s="24">
        <f t="shared" si="61"/>
        <v>1</v>
      </c>
      <c r="H374" s="676"/>
      <c r="I374" s="24">
        <f t="shared" si="62"/>
        <v>1</v>
      </c>
      <c r="J374" s="676"/>
      <c r="K374" s="24">
        <f t="shared" si="63"/>
        <v>1</v>
      </c>
      <c r="L374" s="676"/>
      <c r="M374" s="24">
        <f t="shared" si="64"/>
        <v>1</v>
      </c>
      <c r="N374" s="676"/>
      <c r="O374" s="24">
        <f t="shared" si="65"/>
        <v>1</v>
      </c>
      <c r="P374" s="676"/>
      <c r="Q374" s="24">
        <f t="shared" si="66"/>
        <v>1</v>
      </c>
      <c r="R374" s="672">
        <f t="shared" si="67"/>
        <v>0</v>
      </c>
      <c r="S374" s="322">
        <f t="shared" si="58"/>
        <v>0</v>
      </c>
    </row>
    <row r="375" spans="1:19">
      <c r="A375" s="155"/>
      <c r="B375" s="57"/>
      <c r="C375" s="24">
        <f t="shared" si="59"/>
        <v>1</v>
      </c>
      <c r="D375" s="676"/>
      <c r="E375" s="24">
        <f t="shared" si="60"/>
        <v>1</v>
      </c>
      <c r="F375" s="676"/>
      <c r="G375" s="24">
        <f t="shared" si="61"/>
        <v>1</v>
      </c>
      <c r="H375" s="676"/>
      <c r="I375" s="24">
        <f t="shared" si="62"/>
        <v>1</v>
      </c>
      <c r="J375" s="676"/>
      <c r="K375" s="24">
        <f t="shared" si="63"/>
        <v>1</v>
      </c>
      <c r="L375" s="676"/>
      <c r="M375" s="24">
        <f t="shared" si="64"/>
        <v>1</v>
      </c>
      <c r="N375" s="676"/>
      <c r="O375" s="24">
        <f t="shared" si="65"/>
        <v>1</v>
      </c>
      <c r="P375" s="676"/>
      <c r="Q375" s="24">
        <f t="shared" si="66"/>
        <v>1</v>
      </c>
      <c r="R375" s="672">
        <f t="shared" si="67"/>
        <v>0</v>
      </c>
      <c r="S375" s="322">
        <f t="shared" si="58"/>
        <v>0</v>
      </c>
    </row>
    <row r="376" spans="1:19">
      <c r="A376" s="155"/>
      <c r="B376" s="57"/>
      <c r="C376" s="24">
        <f t="shared" si="59"/>
        <v>1</v>
      </c>
      <c r="D376" s="676"/>
      <c r="E376" s="24">
        <f t="shared" si="60"/>
        <v>1</v>
      </c>
      <c r="F376" s="676"/>
      <c r="G376" s="24">
        <f t="shared" si="61"/>
        <v>1</v>
      </c>
      <c r="H376" s="676"/>
      <c r="I376" s="24">
        <f t="shared" si="62"/>
        <v>1</v>
      </c>
      <c r="J376" s="676"/>
      <c r="K376" s="24">
        <f t="shared" si="63"/>
        <v>1</v>
      </c>
      <c r="L376" s="676"/>
      <c r="M376" s="24">
        <f t="shared" si="64"/>
        <v>1</v>
      </c>
      <c r="N376" s="676"/>
      <c r="O376" s="24">
        <f t="shared" si="65"/>
        <v>1</v>
      </c>
      <c r="P376" s="676"/>
      <c r="Q376" s="24">
        <f t="shared" si="66"/>
        <v>1</v>
      </c>
      <c r="R376" s="672">
        <f t="shared" si="67"/>
        <v>0</v>
      </c>
      <c r="S376" s="322">
        <f t="shared" si="58"/>
        <v>0</v>
      </c>
    </row>
    <row r="377" spans="1:19">
      <c r="A377" s="155"/>
      <c r="B377" s="57"/>
      <c r="C377" s="24">
        <f t="shared" si="59"/>
        <v>1</v>
      </c>
      <c r="D377" s="676"/>
      <c r="E377" s="24">
        <f t="shared" si="60"/>
        <v>1</v>
      </c>
      <c r="F377" s="676"/>
      <c r="G377" s="24">
        <f t="shared" si="61"/>
        <v>1</v>
      </c>
      <c r="H377" s="676"/>
      <c r="I377" s="24">
        <f t="shared" si="62"/>
        <v>1</v>
      </c>
      <c r="J377" s="676"/>
      <c r="K377" s="24">
        <f t="shared" si="63"/>
        <v>1</v>
      </c>
      <c r="L377" s="676"/>
      <c r="M377" s="24">
        <f t="shared" si="64"/>
        <v>1</v>
      </c>
      <c r="N377" s="676"/>
      <c r="O377" s="24">
        <f t="shared" si="65"/>
        <v>1</v>
      </c>
      <c r="P377" s="676"/>
      <c r="Q377" s="24">
        <f t="shared" si="66"/>
        <v>1</v>
      </c>
      <c r="R377" s="672">
        <f t="shared" si="67"/>
        <v>0</v>
      </c>
      <c r="S377" s="322">
        <f t="shared" si="58"/>
        <v>0</v>
      </c>
    </row>
    <row r="378" spans="1:19">
      <c r="A378" s="155"/>
      <c r="B378" s="57"/>
      <c r="C378" s="24">
        <f t="shared" si="59"/>
        <v>1</v>
      </c>
      <c r="D378" s="676"/>
      <c r="E378" s="24">
        <f t="shared" si="60"/>
        <v>1</v>
      </c>
      <c r="F378" s="676"/>
      <c r="G378" s="24">
        <f t="shared" si="61"/>
        <v>1</v>
      </c>
      <c r="H378" s="676"/>
      <c r="I378" s="24">
        <f t="shared" si="62"/>
        <v>1</v>
      </c>
      <c r="J378" s="676"/>
      <c r="K378" s="24">
        <f t="shared" si="63"/>
        <v>1</v>
      </c>
      <c r="L378" s="676"/>
      <c r="M378" s="24">
        <f t="shared" si="64"/>
        <v>1</v>
      </c>
      <c r="N378" s="676"/>
      <c r="O378" s="24">
        <f t="shared" si="65"/>
        <v>1</v>
      </c>
      <c r="P378" s="676"/>
      <c r="Q378" s="24">
        <f t="shared" si="66"/>
        <v>1</v>
      </c>
      <c r="R378" s="672">
        <f t="shared" si="67"/>
        <v>0</v>
      </c>
      <c r="S378" s="322">
        <f t="shared" si="58"/>
        <v>0</v>
      </c>
    </row>
    <row r="379" spans="1:19">
      <c r="A379" s="155"/>
      <c r="B379" s="57"/>
      <c r="C379" s="24">
        <f t="shared" si="59"/>
        <v>1</v>
      </c>
      <c r="D379" s="676"/>
      <c r="E379" s="24">
        <f t="shared" si="60"/>
        <v>1</v>
      </c>
      <c r="F379" s="676"/>
      <c r="G379" s="24">
        <f t="shared" si="61"/>
        <v>1</v>
      </c>
      <c r="H379" s="676"/>
      <c r="I379" s="24">
        <f t="shared" si="62"/>
        <v>1</v>
      </c>
      <c r="J379" s="676"/>
      <c r="K379" s="24">
        <f t="shared" si="63"/>
        <v>1</v>
      </c>
      <c r="L379" s="676"/>
      <c r="M379" s="24">
        <f t="shared" si="64"/>
        <v>1</v>
      </c>
      <c r="N379" s="676"/>
      <c r="O379" s="24">
        <f t="shared" si="65"/>
        <v>1</v>
      </c>
      <c r="P379" s="676"/>
      <c r="Q379" s="24">
        <f t="shared" si="66"/>
        <v>1</v>
      </c>
      <c r="R379" s="672">
        <f t="shared" si="67"/>
        <v>0</v>
      </c>
      <c r="S379" s="322">
        <f t="shared" si="58"/>
        <v>0</v>
      </c>
    </row>
    <row r="380" spans="1:19">
      <c r="A380" s="155"/>
      <c r="B380" s="57"/>
      <c r="C380" s="24">
        <f t="shared" si="59"/>
        <v>1</v>
      </c>
      <c r="D380" s="676"/>
      <c r="E380" s="24">
        <f t="shared" si="60"/>
        <v>1</v>
      </c>
      <c r="F380" s="676"/>
      <c r="G380" s="24">
        <f t="shared" si="61"/>
        <v>1</v>
      </c>
      <c r="H380" s="676"/>
      <c r="I380" s="24">
        <f t="shared" si="62"/>
        <v>1</v>
      </c>
      <c r="J380" s="676"/>
      <c r="K380" s="24">
        <f t="shared" si="63"/>
        <v>1</v>
      </c>
      <c r="L380" s="676"/>
      <c r="M380" s="24">
        <f t="shared" si="64"/>
        <v>1</v>
      </c>
      <c r="N380" s="676"/>
      <c r="O380" s="24">
        <f t="shared" si="65"/>
        <v>1</v>
      </c>
      <c r="P380" s="676"/>
      <c r="Q380" s="24">
        <f t="shared" si="66"/>
        <v>1</v>
      </c>
      <c r="R380" s="672">
        <f t="shared" si="67"/>
        <v>0</v>
      </c>
      <c r="S380" s="322">
        <f t="shared" si="58"/>
        <v>0</v>
      </c>
    </row>
    <row r="381" spans="1:19">
      <c r="A381" s="155"/>
      <c r="B381" s="57"/>
      <c r="C381" s="24">
        <f t="shared" si="59"/>
        <v>1</v>
      </c>
      <c r="D381" s="676"/>
      <c r="E381" s="24">
        <f t="shared" si="60"/>
        <v>1</v>
      </c>
      <c r="F381" s="676"/>
      <c r="G381" s="24">
        <f t="shared" si="61"/>
        <v>1</v>
      </c>
      <c r="H381" s="676"/>
      <c r="I381" s="24">
        <f t="shared" si="62"/>
        <v>1</v>
      </c>
      <c r="J381" s="676"/>
      <c r="K381" s="24">
        <f t="shared" si="63"/>
        <v>1</v>
      </c>
      <c r="L381" s="676"/>
      <c r="M381" s="24">
        <f t="shared" si="64"/>
        <v>1</v>
      </c>
      <c r="N381" s="676"/>
      <c r="O381" s="24">
        <f t="shared" si="65"/>
        <v>1</v>
      </c>
      <c r="P381" s="676"/>
      <c r="Q381" s="24">
        <f t="shared" si="66"/>
        <v>1</v>
      </c>
      <c r="R381" s="672">
        <f t="shared" si="67"/>
        <v>0</v>
      </c>
      <c r="S381" s="322">
        <f t="shared" si="58"/>
        <v>0</v>
      </c>
    </row>
    <row r="382" spans="1:19">
      <c r="A382" s="155"/>
      <c r="B382" s="57"/>
      <c r="C382" s="24">
        <f t="shared" si="59"/>
        <v>1</v>
      </c>
      <c r="D382" s="676"/>
      <c r="E382" s="24">
        <f t="shared" si="60"/>
        <v>1</v>
      </c>
      <c r="F382" s="676"/>
      <c r="G382" s="24">
        <f t="shared" si="61"/>
        <v>1</v>
      </c>
      <c r="H382" s="676"/>
      <c r="I382" s="24">
        <f t="shared" si="62"/>
        <v>1</v>
      </c>
      <c r="J382" s="676"/>
      <c r="K382" s="24">
        <f t="shared" si="63"/>
        <v>1</v>
      </c>
      <c r="L382" s="676"/>
      <c r="M382" s="24">
        <f t="shared" si="64"/>
        <v>1</v>
      </c>
      <c r="N382" s="676"/>
      <c r="O382" s="24">
        <f t="shared" si="65"/>
        <v>1</v>
      </c>
      <c r="P382" s="676"/>
      <c r="Q382" s="24">
        <f t="shared" si="66"/>
        <v>1</v>
      </c>
      <c r="R382" s="672">
        <f t="shared" si="67"/>
        <v>0</v>
      </c>
      <c r="S382" s="322">
        <f t="shared" si="58"/>
        <v>0</v>
      </c>
    </row>
    <row r="383" spans="1:19">
      <c r="A383" s="155"/>
      <c r="B383" s="57"/>
      <c r="C383" s="24">
        <f t="shared" si="59"/>
        <v>1</v>
      </c>
      <c r="D383" s="676"/>
      <c r="E383" s="24">
        <f t="shared" si="60"/>
        <v>1</v>
      </c>
      <c r="F383" s="676"/>
      <c r="G383" s="24">
        <f t="shared" si="61"/>
        <v>1</v>
      </c>
      <c r="H383" s="676"/>
      <c r="I383" s="24">
        <f t="shared" si="62"/>
        <v>1</v>
      </c>
      <c r="J383" s="676"/>
      <c r="K383" s="24">
        <f t="shared" si="63"/>
        <v>1</v>
      </c>
      <c r="L383" s="676"/>
      <c r="M383" s="24">
        <f t="shared" si="64"/>
        <v>1</v>
      </c>
      <c r="N383" s="676"/>
      <c r="O383" s="24">
        <f t="shared" si="65"/>
        <v>1</v>
      </c>
      <c r="P383" s="676"/>
      <c r="Q383" s="24">
        <f t="shared" si="66"/>
        <v>1</v>
      </c>
      <c r="R383" s="672">
        <f t="shared" si="67"/>
        <v>0</v>
      </c>
      <c r="S383" s="322">
        <f t="shared" si="58"/>
        <v>0</v>
      </c>
    </row>
    <row r="384" spans="1:19">
      <c r="A384" s="155"/>
      <c r="B384" s="57"/>
      <c r="C384" s="24">
        <f t="shared" si="59"/>
        <v>1</v>
      </c>
      <c r="D384" s="676"/>
      <c r="E384" s="24">
        <f t="shared" si="60"/>
        <v>1</v>
      </c>
      <c r="F384" s="676"/>
      <c r="G384" s="24">
        <f t="shared" si="61"/>
        <v>1</v>
      </c>
      <c r="H384" s="676"/>
      <c r="I384" s="24">
        <f t="shared" si="62"/>
        <v>1</v>
      </c>
      <c r="J384" s="676"/>
      <c r="K384" s="24">
        <f t="shared" si="63"/>
        <v>1</v>
      </c>
      <c r="L384" s="676"/>
      <c r="M384" s="24">
        <f t="shared" si="64"/>
        <v>1</v>
      </c>
      <c r="N384" s="676"/>
      <c r="O384" s="24">
        <f t="shared" si="65"/>
        <v>1</v>
      </c>
      <c r="P384" s="676"/>
      <c r="Q384" s="24">
        <f t="shared" si="66"/>
        <v>1</v>
      </c>
      <c r="R384" s="672">
        <f t="shared" si="67"/>
        <v>0</v>
      </c>
      <c r="S384" s="322">
        <f t="shared" si="58"/>
        <v>0</v>
      </c>
    </row>
    <row r="385" spans="1:19">
      <c r="A385" s="155"/>
      <c r="B385" s="57"/>
      <c r="C385" s="24">
        <f t="shared" si="59"/>
        <v>1</v>
      </c>
      <c r="D385" s="676"/>
      <c r="E385" s="24">
        <f t="shared" si="60"/>
        <v>1</v>
      </c>
      <c r="F385" s="676"/>
      <c r="G385" s="24">
        <f t="shared" si="61"/>
        <v>1</v>
      </c>
      <c r="H385" s="676"/>
      <c r="I385" s="24">
        <f t="shared" si="62"/>
        <v>1</v>
      </c>
      <c r="J385" s="676"/>
      <c r="K385" s="24">
        <f t="shared" si="63"/>
        <v>1</v>
      </c>
      <c r="L385" s="676"/>
      <c r="M385" s="24">
        <f t="shared" si="64"/>
        <v>1</v>
      </c>
      <c r="N385" s="676"/>
      <c r="O385" s="24">
        <f t="shared" si="65"/>
        <v>1</v>
      </c>
      <c r="P385" s="676"/>
      <c r="Q385" s="24">
        <f t="shared" si="66"/>
        <v>1</v>
      </c>
      <c r="R385" s="672">
        <f t="shared" si="67"/>
        <v>0</v>
      </c>
      <c r="S385" s="322">
        <f t="shared" ref="S385:S422" si="68">ROUND(R385*B385/10000,0)</f>
        <v>0</v>
      </c>
    </row>
    <row r="386" spans="1:19">
      <c r="A386" s="155"/>
      <c r="B386" s="57"/>
      <c r="C386" s="24">
        <f t="shared" si="59"/>
        <v>1</v>
      </c>
      <c r="D386" s="676"/>
      <c r="E386" s="24">
        <f t="shared" si="60"/>
        <v>1</v>
      </c>
      <c r="F386" s="676"/>
      <c r="G386" s="24">
        <f t="shared" si="61"/>
        <v>1</v>
      </c>
      <c r="H386" s="676"/>
      <c r="I386" s="24">
        <f t="shared" si="62"/>
        <v>1</v>
      </c>
      <c r="J386" s="676"/>
      <c r="K386" s="24">
        <f t="shared" si="63"/>
        <v>1</v>
      </c>
      <c r="L386" s="676"/>
      <c r="M386" s="24">
        <f t="shared" si="64"/>
        <v>1</v>
      </c>
      <c r="N386" s="676"/>
      <c r="O386" s="24">
        <f t="shared" si="65"/>
        <v>1</v>
      </c>
      <c r="P386" s="676"/>
      <c r="Q386" s="24">
        <f t="shared" si="66"/>
        <v>1</v>
      </c>
      <c r="R386" s="672">
        <f t="shared" si="67"/>
        <v>0</v>
      </c>
      <c r="S386" s="322">
        <f t="shared" si="68"/>
        <v>0</v>
      </c>
    </row>
    <row r="387" spans="1:19">
      <c r="A387" s="155"/>
      <c r="B387" s="57"/>
      <c r="C387" s="24">
        <f t="shared" si="59"/>
        <v>1</v>
      </c>
      <c r="D387" s="676"/>
      <c r="E387" s="24">
        <f t="shared" si="60"/>
        <v>1</v>
      </c>
      <c r="F387" s="676"/>
      <c r="G387" s="24">
        <f t="shared" si="61"/>
        <v>1</v>
      </c>
      <c r="H387" s="676"/>
      <c r="I387" s="24">
        <f t="shared" si="62"/>
        <v>1</v>
      </c>
      <c r="J387" s="676"/>
      <c r="K387" s="24">
        <f t="shared" si="63"/>
        <v>1</v>
      </c>
      <c r="L387" s="676"/>
      <c r="M387" s="24">
        <f t="shared" si="64"/>
        <v>1</v>
      </c>
      <c r="N387" s="676"/>
      <c r="O387" s="24">
        <f t="shared" si="65"/>
        <v>1</v>
      </c>
      <c r="P387" s="676"/>
      <c r="Q387" s="24">
        <f t="shared" si="66"/>
        <v>1</v>
      </c>
      <c r="R387" s="672">
        <f t="shared" si="67"/>
        <v>0</v>
      </c>
      <c r="S387" s="322">
        <f t="shared" si="68"/>
        <v>0</v>
      </c>
    </row>
    <row r="388" spans="1:19">
      <c r="A388" s="155"/>
      <c r="B388" s="57"/>
      <c r="C388" s="24">
        <f t="shared" si="59"/>
        <v>1</v>
      </c>
      <c r="D388" s="676"/>
      <c r="E388" s="24">
        <f t="shared" si="60"/>
        <v>1</v>
      </c>
      <c r="F388" s="676"/>
      <c r="G388" s="24">
        <f t="shared" si="61"/>
        <v>1</v>
      </c>
      <c r="H388" s="676"/>
      <c r="I388" s="24">
        <f t="shared" si="62"/>
        <v>1</v>
      </c>
      <c r="J388" s="676"/>
      <c r="K388" s="24">
        <f t="shared" si="63"/>
        <v>1</v>
      </c>
      <c r="L388" s="676"/>
      <c r="M388" s="24">
        <f t="shared" si="64"/>
        <v>1</v>
      </c>
      <c r="N388" s="676"/>
      <c r="O388" s="24">
        <f t="shared" si="65"/>
        <v>1</v>
      </c>
      <c r="P388" s="676"/>
      <c r="Q388" s="24">
        <f t="shared" si="66"/>
        <v>1</v>
      </c>
      <c r="R388" s="672">
        <f t="shared" si="67"/>
        <v>0</v>
      </c>
      <c r="S388" s="322">
        <f t="shared" si="68"/>
        <v>0</v>
      </c>
    </row>
    <row r="389" spans="1:19">
      <c r="A389" s="155"/>
      <c r="B389" s="57"/>
      <c r="C389" s="24">
        <f t="shared" si="59"/>
        <v>1</v>
      </c>
      <c r="D389" s="676"/>
      <c r="E389" s="24">
        <f t="shared" si="60"/>
        <v>1</v>
      </c>
      <c r="F389" s="676"/>
      <c r="G389" s="24">
        <f t="shared" si="61"/>
        <v>1</v>
      </c>
      <c r="H389" s="676"/>
      <c r="I389" s="24">
        <f t="shared" si="62"/>
        <v>1</v>
      </c>
      <c r="J389" s="676"/>
      <c r="K389" s="24">
        <f t="shared" si="63"/>
        <v>1</v>
      </c>
      <c r="L389" s="676"/>
      <c r="M389" s="24">
        <f t="shared" si="64"/>
        <v>1</v>
      </c>
      <c r="N389" s="676"/>
      <c r="O389" s="24">
        <f t="shared" si="65"/>
        <v>1</v>
      </c>
      <c r="P389" s="676"/>
      <c r="Q389" s="24">
        <f t="shared" si="66"/>
        <v>1</v>
      </c>
      <c r="R389" s="672">
        <f t="shared" si="67"/>
        <v>0</v>
      </c>
      <c r="S389" s="322">
        <f t="shared" si="68"/>
        <v>0</v>
      </c>
    </row>
    <row r="390" spans="1:19">
      <c r="A390" s="155"/>
      <c r="B390" s="57"/>
      <c r="C390" s="24">
        <f t="shared" si="59"/>
        <v>1</v>
      </c>
      <c r="D390" s="676"/>
      <c r="E390" s="24">
        <f t="shared" si="60"/>
        <v>1</v>
      </c>
      <c r="F390" s="676"/>
      <c r="G390" s="24">
        <f t="shared" si="61"/>
        <v>1</v>
      </c>
      <c r="H390" s="676"/>
      <c r="I390" s="24">
        <f t="shared" si="62"/>
        <v>1</v>
      </c>
      <c r="J390" s="676"/>
      <c r="K390" s="24">
        <f t="shared" si="63"/>
        <v>1</v>
      </c>
      <c r="L390" s="676"/>
      <c r="M390" s="24">
        <f t="shared" si="64"/>
        <v>1</v>
      </c>
      <c r="N390" s="676"/>
      <c r="O390" s="24">
        <f t="shared" si="65"/>
        <v>1</v>
      </c>
      <c r="P390" s="676"/>
      <c r="Q390" s="24">
        <f t="shared" si="66"/>
        <v>1</v>
      </c>
      <c r="R390" s="672">
        <f t="shared" si="67"/>
        <v>0</v>
      </c>
      <c r="S390" s="322">
        <f t="shared" si="68"/>
        <v>0</v>
      </c>
    </row>
    <row r="391" spans="1:19">
      <c r="A391" s="155"/>
      <c r="B391" s="57"/>
      <c r="C391" s="24">
        <f t="shared" si="59"/>
        <v>1</v>
      </c>
      <c r="D391" s="676"/>
      <c r="E391" s="24">
        <f t="shared" si="60"/>
        <v>1</v>
      </c>
      <c r="F391" s="676"/>
      <c r="G391" s="24">
        <f t="shared" si="61"/>
        <v>1</v>
      </c>
      <c r="H391" s="676"/>
      <c r="I391" s="24">
        <f t="shared" si="62"/>
        <v>1</v>
      </c>
      <c r="J391" s="676"/>
      <c r="K391" s="24">
        <f t="shared" si="63"/>
        <v>1</v>
      </c>
      <c r="L391" s="676"/>
      <c r="M391" s="24">
        <f t="shared" si="64"/>
        <v>1</v>
      </c>
      <c r="N391" s="676"/>
      <c r="O391" s="24">
        <f t="shared" si="65"/>
        <v>1</v>
      </c>
      <c r="P391" s="676"/>
      <c r="Q391" s="24">
        <f t="shared" si="66"/>
        <v>1</v>
      </c>
      <c r="R391" s="672">
        <f t="shared" si="67"/>
        <v>0</v>
      </c>
      <c r="S391" s="322">
        <f t="shared" si="68"/>
        <v>0</v>
      </c>
    </row>
    <row r="392" spans="1:19">
      <c r="A392" s="155"/>
      <c r="B392" s="57"/>
      <c r="C392" s="24">
        <f t="shared" si="59"/>
        <v>1</v>
      </c>
      <c r="D392" s="676"/>
      <c r="E392" s="24">
        <f t="shared" si="60"/>
        <v>1</v>
      </c>
      <c r="F392" s="676"/>
      <c r="G392" s="24">
        <f t="shared" si="61"/>
        <v>1</v>
      </c>
      <c r="H392" s="676"/>
      <c r="I392" s="24">
        <f t="shared" si="62"/>
        <v>1</v>
      </c>
      <c r="J392" s="676"/>
      <c r="K392" s="24">
        <f t="shared" si="63"/>
        <v>1</v>
      </c>
      <c r="L392" s="676"/>
      <c r="M392" s="24">
        <f t="shared" si="64"/>
        <v>1</v>
      </c>
      <c r="N392" s="676"/>
      <c r="O392" s="24">
        <f t="shared" si="65"/>
        <v>1</v>
      </c>
      <c r="P392" s="676"/>
      <c r="Q392" s="24">
        <f t="shared" si="66"/>
        <v>1</v>
      </c>
      <c r="R392" s="672">
        <f t="shared" si="67"/>
        <v>0</v>
      </c>
      <c r="S392" s="322">
        <f t="shared" si="68"/>
        <v>0</v>
      </c>
    </row>
    <row r="393" spans="1:19">
      <c r="A393" s="155"/>
      <c r="B393" s="57"/>
      <c r="C393" s="24">
        <f t="shared" si="59"/>
        <v>1</v>
      </c>
      <c r="D393" s="676"/>
      <c r="E393" s="24">
        <f t="shared" si="60"/>
        <v>1</v>
      </c>
      <c r="F393" s="676"/>
      <c r="G393" s="24">
        <f t="shared" si="61"/>
        <v>1</v>
      </c>
      <c r="H393" s="676"/>
      <c r="I393" s="24">
        <f t="shared" si="62"/>
        <v>1</v>
      </c>
      <c r="J393" s="676"/>
      <c r="K393" s="24">
        <f t="shared" si="63"/>
        <v>1</v>
      </c>
      <c r="L393" s="676"/>
      <c r="M393" s="24">
        <f t="shared" si="64"/>
        <v>1</v>
      </c>
      <c r="N393" s="676"/>
      <c r="O393" s="24">
        <f t="shared" si="65"/>
        <v>1</v>
      </c>
      <c r="P393" s="676"/>
      <c r="Q393" s="24">
        <f t="shared" si="66"/>
        <v>1</v>
      </c>
      <c r="R393" s="672">
        <f t="shared" si="67"/>
        <v>0</v>
      </c>
      <c r="S393" s="322">
        <f t="shared" si="68"/>
        <v>0</v>
      </c>
    </row>
    <row r="394" spans="1:19">
      <c r="A394" s="155"/>
      <c r="B394" s="57"/>
      <c r="C394" s="24">
        <f t="shared" si="59"/>
        <v>1</v>
      </c>
      <c r="D394" s="676"/>
      <c r="E394" s="24">
        <f t="shared" si="60"/>
        <v>1</v>
      </c>
      <c r="F394" s="676"/>
      <c r="G394" s="24">
        <f t="shared" si="61"/>
        <v>1</v>
      </c>
      <c r="H394" s="676"/>
      <c r="I394" s="24">
        <f t="shared" si="62"/>
        <v>1</v>
      </c>
      <c r="J394" s="676"/>
      <c r="K394" s="24">
        <f t="shared" si="63"/>
        <v>1</v>
      </c>
      <c r="L394" s="676"/>
      <c r="M394" s="24">
        <f t="shared" si="64"/>
        <v>1</v>
      </c>
      <c r="N394" s="676"/>
      <c r="O394" s="24">
        <f t="shared" si="65"/>
        <v>1</v>
      </c>
      <c r="P394" s="676"/>
      <c r="Q394" s="24">
        <f t="shared" si="66"/>
        <v>1</v>
      </c>
      <c r="R394" s="672">
        <f t="shared" si="67"/>
        <v>0</v>
      </c>
      <c r="S394" s="322">
        <f t="shared" si="68"/>
        <v>0</v>
      </c>
    </row>
    <row r="395" spans="1:19">
      <c r="A395" s="155"/>
      <c r="B395" s="57"/>
      <c r="C395" s="24">
        <f t="shared" si="59"/>
        <v>1</v>
      </c>
      <c r="D395" s="676"/>
      <c r="E395" s="24">
        <f t="shared" si="60"/>
        <v>1</v>
      </c>
      <c r="F395" s="676"/>
      <c r="G395" s="24">
        <f t="shared" si="61"/>
        <v>1</v>
      </c>
      <c r="H395" s="676"/>
      <c r="I395" s="24">
        <f t="shared" si="62"/>
        <v>1</v>
      </c>
      <c r="J395" s="676"/>
      <c r="K395" s="24">
        <f t="shared" si="63"/>
        <v>1</v>
      </c>
      <c r="L395" s="676"/>
      <c r="M395" s="24">
        <f t="shared" si="64"/>
        <v>1</v>
      </c>
      <c r="N395" s="676"/>
      <c r="O395" s="24">
        <f t="shared" si="65"/>
        <v>1</v>
      </c>
      <c r="P395" s="676"/>
      <c r="Q395" s="24">
        <f t="shared" si="66"/>
        <v>1</v>
      </c>
      <c r="R395" s="672">
        <f t="shared" si="67"/>
        <v>0</v>
      </c>
      <c r="S395" s="322">
        <f t="shared" si="68"/>
        <v>0</v>
      </c>
    </row>
    <row r="396" spans="1:19">
      <c r="A396" s="155"/>
      <c r="B396" s="57"/>
      <c r="C396" s="24">
        <f t="shared" si="59"/>
        <v>1</v>
      </c>
      <c r="D396" s="676"/>
      <c r="E396" s="24">
        <f t="shared" si="60"/>
        <v>1</v>
      </c>
      <c r="F396" s="676"/>
      <c r="G396" s="24">
        <f t="shared" si="61"/>
        <v>1</v>
      </c>
      <c r="H396" s="676"/>
      <c r="I396" s="24">
        <f t="shared" si="62"/>
        <v>1</v>
      </c>
      <c r="J396" s="676"/>
      <c r="K396" s="24">
        <f t="shared" si="63"/>
        <v>1</v>
      </c>
      <c r="L396" s="676"/>
      <c r="M396" s="24">
        <f t="shared" si="64"/>
        <v>1</v>
      </c>
      <c r="N396" s="676"/>
      <c r="O396" s="24">
        <f t="shared" si="65"/>
        <v>1</v>
      </c>
      <c r="P396" s="676"/>
      <c r="Q396" s="24">
        <f t="shared" si="66"/>
        <v>1</v>
      </c>
      <c r="R396" s="672">
        <f t="shared" si="67"/>
        <v>0</v>
      </c>
      <c r="S396" s="322">
        <f t="shared" si="68"/>
        <v>0</v>
      </c>
    </row>
    <row r="397" spans="1:19">
      <c r="A397" s="155"/>
      <c r="B397" s="57"/>
      <c r="C397" s="24">
        <f t="shared" si="59"/>
        <v>1</v>
      </c>
      <c r="D397" s="676"/>
      <c r="E397" s="24">
        <f t="shared" si="60"/>
        <v>1</v>
      </c>
      <c r="F397" s="676"/>
      <c r="G397" s="24">
        <f t="shared" si="61"/>
        <v>1</v>
      </c>
      <c r="H397" s="676"/>
      <c r="I397" s="24">
        <f t="shared" si="62"/>
        <v>1</v>
      </c>
      <c r="J397" s="676"/>
      <c r="K397" s="24">
        <f t="shared" si="63"/>
        <v>1</v>
      </c>
      <c r="L397" s="676"/>
      <c r="M397" s="24">
        <f t="shared" si="64"/>
        <v>1</v>
      </c>
      <c r="N397" s="676"/>
      <c r="O397" s="24">
        <f t="shared" si="65"/>
        <v>1</v>
      </c>
      <c r="P397" s="676"/>
      <c r="Q397" s="24">
        <f t="shared" si="66"/>
        <v>1</v>
      </c>
      <c r="R397" s="672">
        <f t="shared" si="67"/>
        <v>0</v>
      </c>
      <c r="S397" s="322">
        <f t="shared" si="68"/>
        <v>0</v>
      </c>
    </row>
    <row r="398" spans="1:19">
      <c r="A398" s="155"/>
      <c r="B398" s="57"/>
      <c r="C398" s="24">
        <f t="shared" si="59"/>
        <v>1</v>
      </c>
      <c r="D398" s="676"/>
      <c r="E398" s="24">
        <f t="shared" si="60"/>
        <v>1</v>
      </c>
      <c r="F398" s="676"/>
      <c r="G398" s="24">
        <f t="shared" si="61"/>
        <v>1</v>
      </c>
      <c r="H398" s="676"/>
      <c r="I398" s="24">
        <f t="shared" si="62"/>
        <v>1</v>
      </c>
      <c r="J398" s="676"/>
      <c r="K398" s="24">
        <f t="shared" si="63"/>
        <v>1</v>
      </c>
      <c r="L398" s="676"/>
      <c r="M398" s="24">
        <f t="shared" si="64"/>
        <v>1</v>
      </c>
      <c r="N398" s="676"/>
      <c r="O398" s="24">
        <f t="shared" si="65"/>
        <v>1</v>
      </c>
      <c r="P398" s="676"/>
      <c r="Q398" s="24">
        <f t="shared" si="66"/>
        <v>1</v>
      </c>
      <c r="R398" s="672">
        <f t="shared" si="67"/>
        <v>0</v>
      </c>
      <c r="S398" s="322">
        <f t="shared" si="68"/>
        <v>0</v>
      </c>
    </row>
    <row r="399" spans="1:19">
      <c r="A399" s="155"/>
      <c r="B399" s="57"/>
      <c r="C399" s="24">
        <f t="shared" si="59"/>
        <v>1</v>
      </c>
      <c r="D399" s="676"/>
      <c r="E399" s="24">
        <f t="shared" si="60"/>
        <v>1</v>
      </c>
      <c r="F399" s="676"/>
      <c r="G399" s="24">
        <f t="shared" si="61"/>
        <v>1</v>
      </c>
      <c r="H399" s="676"/>
      <c r="I399" s="24">
        <f t="shared" si="62"/>
        <v>1</v>
      </c>
      <c r="J399" s="676"/>
      <c r="K399" s="24">
        <f t="shared" si="63"/>
        <v>1</v>
      </c>
      <c r="L399" s="676"/>
      <c r="M399" s="24">
        <f t="shared" si="64"/>
        <v>1</v>
      </c>
      <c r="N399" s="676"/>
      <c r="O399" s="24">
        <f t="shared" si="65"/>
        <v>1</v>
      </c>
      <c r="P399" s="676"/>
      <c r="Q399" s="24">
        <f t="shared" si="66"/>
        <v>1</v>
      </c>
      <c r="R399" s="672">
        <f t="shared" si="67"/>
        <v>0</v>
      </c>
      <c r="S399" s="322">
        <f t="shared" si="68"/>
        <v>0</v>
      </c>
    </row>
    <row r="400" spans="1:19">
      <c r="A400" s="155"/>
      <c r="B400" s="57"/>
      <c r="C400" s="24">
        <f t="shared" si="59"/>
        <v>1</v>
      </c>
      <c r="D400" s="676"/>
      <c r="E400" s="24">
        <f t="shared" si="60"/>
        <v>1</v>
      </c>
      <c r="F400" s="676"/>
      <c r="G400" s="24">
        <f t="shared" si="61"/>
        <v>1</v>
      </c>
      <c r="H400" s="676"/>
      <c r="I400" s="24">
        <f t="shared" si="62"/>
        <v>1</v>
      </c>
      <c r="J400" s="676"/>
      <c r="K400" s="24">
        <f t="shared" si="63"/>
        <v>1</v>
      </c>
      <c r="L400" s="676"/>
      <c r="M400" s="24">
        <f t="shared" si="64"/>
        <v>1</v>
      </c>
      <c r="N400" s="676"/>
      <c r="O400" s="24">
        <f t="shared" si="65"/>
        <v>1</v>
      </c>
      <c r="P400" s="676"/>
      <c r="Q400" s="24">
        <f t="shared" si="66"/>
        <v>1</v>
      </c>
      <c r="R400" s="672">
        <f t="shared" si="67"/>
        <v>0</v>
      </c>
      <c r="S400" s="322">
        <f t="shared" si="68"/>
        <v>0</v>
      </c>
    </row>
    <row r="401" spans="1:19">
      <c r="A401" s="155"/>
      <c r="B401" s="57"/>
      <c r="C401" s="24">
        <f t="shared" si="59"/>
        <v>1</v>
      </c>
      <c r="D401" s="676"/>
      <c r="E401" s="24">
        <f t="shared" si="60"/>
        <v>1</v>
      </c>
      <c r="F401" s="676"/>
      <c r="G401" s="24">
        <f t="shared" si="61"/>
        <v>1</v>
      </c>
      <c r="H401" s="676"/>
      <c r="I401" s="24">
        <f t="shared" si="62"/>
        <v>1</v>
      </c>
      <c r="J401" s="676"/>
      <c r="K401" s="24">
        <f t="shared" si="63"/>
        <v>1</v>
      </c>
      <c r="L401" s="676"/>
      <c r="M401" s="24">
        <f t="shared" si="64"/>
        <v>1</v>
      </c>
      <c r="N401" s="676"/>
      <c r="O401" s="24">
        <f t="shared" si="65"/>
        <v>1</v>
      </c>
      <c r="P401" s="676"/>
      <c r="Q401" s="24">
        <f t="shared" si="66"/>
        <v>1</v>
      </c>
      <c r="R401" s="672">
        <f t="shared" si="67"/>
        <v>0</v>
      </c>
      <c r="S401" s="322">
        <f t="shared" si="68"/>
        <v>0</v>
      </c>
    </row>
    <row r="402" spans="1:19">
      <c r="A402" s="155"/>
      <c r="B402" s="57"/>
      <c r="C402" s="24">
        <f t="shared" si="59"/>
        <v>1</v>
      </c>
      <c r="D402" s="676"/>
      <c r="E402" s="24">
        <f t="shared" si="60"/>
        <v>1</v>
      </c>
      <c r="F402" s="676"/>
      <c r="G402" s="24">
        <f t="shared" si="61"/>
        <v>1</v>
      </c>
      <c r="H402" s="676"/>
      <c r="I402" s="24">
        <f t="shared" si="62"/>
        <v>1</v>
      </c>
      <c r="J402" s="676"/>
      <c r="K402" s="24">
        <f t="shared" si="63"/>
        <v>1</v>
      </c>
      <c r="L402" s="676"/>
      <c r="M402" s="24">
        <f t="shared" si="64"/>
        <v>1</v>
      </c>
      <c r="N402" s="676"/>
      <c r="O402" s="24">
        <f t="shared" si="65"/>
        <v>1</v>
      </c>
      <c r="P402" s="676"/>
      <c r="Q402" s="24">
        <f t="shared" si="66"/>
        <v>1</v>
      </c>
      <c r="R402" s="672">
        <f t="shared" si="67"/>
        <v>0</v>
      </c>
      <c r="S402" s="322">
        <f t="shared" si="68"/>
        <v>0</v>
      </c>
    </row>
    <row r="403" spans="1:19">
      <c r="A403" s="155"/>
      <c r="B403" s="57"/>
      <c r="C403" s="24">
        <f t="shared" si="59"/>
        <v>1</v>
      </c>
      <c r="D403" s="676"/>
      <c r="E403" s="24">
        <f t="shared" si="60"/>
        <v>1</v>
      </c>
      <c r="F403" s="676"/>
      <c r="G403" s="24">
        <f t="shared" si="61"/>
        <v>1</v>
      </c>
      <c r="H403" s="676"/>
      <c r="I403" s="24">
        <f t="shared" si="62"/>
        <v>1</v>
      </c>
      <c r="J403" s="676"/>
      <c r="K403" s="24">
        <f t="shared" si="63"/>
        <v>1</v>
      </c>
      <c r="L403" s="676"/>
      <c r="M403" s="24">
        <f t="shared" si="64"/>
        <v>1</v>
      </c>
      <c r="N403" s="676"/>
      <c r="O403" s="24">
        <f t="shared" si="65"/>
        <v>1</v>
      </c>
      <c r="P403" s="676"/>
      <c r="Q403" s="24">
        <f t="shared" si="66"/>
        <v>1</v>
      </c>
      <c r="R403" s="672">
        <f t="shared" si="67"/>
        <v>0</v>
      </c>
      <c r="S403" s="322">
        <f t="shared" si="68"/>
        <v>0</v>
      </c>
    </row>
    <row r="404" spans="1:19">
      <c r="A404" s="155"/>
      <c r="B404" s="57"/>
      <c r="C404" s="24">
        <f t="shared" si="59"/>
        <v>1</v>
      </c>
      <c r="D404" s="676"/>
      <c r="E404" s="24">
        <f t="shared" si="60"/>
        <v>1</v>
      </c>
      <c r="F404" s="676"/>
      <c r="G404" s="24">
        <f t="shared" si="61"/>
        <v>1</v>
      </c>
      <c r="H404" s="676"/>
      <c r="I404" s="24">
        <f t="shared" si="62"/>
        <v>1</v>
      </c>
      <c r="J404" s="676"/>
      <c r="K404" s="24">
        <f t="shared" si="63"/>
        <v>1</v>
      </c>
      <c r="L404" s="676"/>
      <c r="M404" s="24">
        <f t="shared" si="64"/>
        <v>1</v>
      </c>
      <c r="N404" s="676"/>
      <c r="O404" s="24">
        <f t="shared" si="65"/>
        <v>1</v>
      </c>
      <c r="P404" s="676"/>
      <c r="Q404" s="24">
        <f t="shared" si="66"/>
        <v>1</v>
      </c>
      <c r="R404" s="672">
        <f t="shared" si="67"/>
        <v>0</v>
      </c>
      <c r="S404" s="322">
        <f t="shared" si="68"/>
        <v>0</v>
      </c>
    </row>
    <row r="405" spans="1:19">
      <c r="A405" s="155"/>
      <c r="B405" s="57"/>
      <c r="C405" s="24">
        <f t="shared" si="59"/>
        <v>1</v>
      </c>
      <c r="D405" s="676"/>
      <c r="E405" s="24">
        <f t="shared" si="60"/>
        <v>1</v>
      </c>
      <c r="F405" s="676"/>
      <c r="G405" s="24">
        <f t="shared" si="61"/>
        <v>1</v>
      </c>
      <c r="H405" s="676"/>
      <c r="I405" s="24">
        <f t="shared" si="62"/>
        <v>1</v>
      </c>
      <c r="J405" s="676"/>
      <c r="K405" s="24">
        <f t="shared" si="63"/>
        <v>1</v>
      </c>
      <c r="L405" s="676"/>
      <c r="M405" s="24">
        <f t="shared" si="64"/>
        <v>1</v>
      </c>
      <c r="N405" s="676"/>
      <c r="O405" s="24">
        <f t="shared" si="65"/>
        <v>1</v>
      </c>
      <c r="P405" s="676"/>
      <c r="Q405" s="24">
        <f t="shared" si="66"/>
        <v>1</v>
      </c>
      <c r="R405" s="672">
        <f t="shared" si="67"/>
        <v>0</v>
      </c>
      <c r="S405" s="322">
        <f t="shared" si="68"/>
        <v>0</v>
      </c>
    </row>
    <row r="406" spans="1:19">
      <c r="A406" s="155"/>
      <c r="B406" s="57"/>
      <c r="C406" s="24">
        <f t="shared" si="59"/>
        <v>1</v>
      </c>
      <c r="D406" s="676"/>
      <c r="E406" s="24">
        <f t="shared" si="60"/>
        <v>1</v>
      </c>
      <c r="F406" s="676"/>
      <c r="G406" s="24">
        <f t="shared" si="61"/>
        <v>1</v>
      </c>
      <c r="H406" s="676"/>
      <c r="I406" s="24">
        <f t="shared" si="62"/>
        <v>1</v>
      </c>
      <c r="J406" s="676"/>
      <c r="K406" s="24">
        <f t="shared" si="63"/>
        <v>1</v>
      </c>
      <c r="L406" s="676"/>
      <c r="M406" s="24">
        <f t="shared" si="64"/>
        <v>1</v>
      </c>
      <c r="N406" s="676"/>
      <c r="O406" s="24">
        <f t="shared" si="65"/>
        <v>1</v>
      </c>
      <c r="P406" s="676"/>
      <c r="Q406" s="24">
        <f t="shared" si="66"/>
        <v>1</v>
      </c>
      <c r="R406" s="672">
        <f t="shared" si="67"/>
        <v>0</v>
      </c>
      <c r="S406" s="322">
        <f t="shared" si="68"/>
        <v>0</v>
      </c>
    </row>
    <row r="407" spans="1:19">
      <c r="A407" s="155"/>
      <c r="B407" s="57"/>
      <c r="C407" s="24">
        <f t="shared" si="59"/>
        <v>1</v>
      </c>
      <c r="D407" s="676"/>
      <c r="E407" s="24">
        <f t="shared" si="60"/>
        <v>1</v>
      </c>
      <c r="F407" s="676"/>
      <c r="G407" s="24">
        <f t="shared" si="61"/>
        <v>1</v>
      </c>
      <c r="H407" s="676"/>
      <c r="I407" s="24">
        <f t="shared" si="62"/>
        <v>1</v>
      </c>
      <c r="J407" s="676"/>
      <c r="K407" s="24">
        <f t="shared" si="63"/>
        <v>1</v>
      </c>
      <c r="L407" s="676"/>
      <c r="M407" s="24">
        <f t="shared" si="64"/>
        <v>1</v>
      </c>
      <c r="N407" s="676"/>
      <c r="O407" s="24">
        <f t="shared" si="65"/>
        <v>1</v>
      </c>
      <c r="P407" s="676"/>
      <c r="Q407" s="24">
        <f t="shared" si="66"/>
        <v>1</v>
      </c>
      <c r="R407" s="672">
        <f t="shared" si="67"/>
        <v>0</v>
      </c>
      <c r="S407" s="322">
        <f t="shared" si="68"/>
        <v>0</v>
      </c>
    </row>
    <row r="408" spans="1:19">
      <c r="A408" s="155"/>
      <c r="B408" s="57"/>
      <c r="C408" s="24">
        <f t="shared" si="59"/>
        <v>1</v>
      </c>
      <c r="D408" s="676"/>
      <c r="E408" s="24">
        <f t="shared" si="60"/>
        <v>1</v>
      </c>
      <c r="F408" s="676"/>
      <c r="G408" s="24">
        <f t="shared" si="61"/>
        <v>1</v>
      </c>
      <c r="H408" s="676"/>
      <c r="I408" s="24">
        <f t="shared" si="62"/>
        <v>1</v>
      </c>
      <c r="J408" s="676"/>
      <c r="K408" s="24">
        <f t="shared" si="63"/>
        <v>1</v>
      </c>
      <c r="L408" s="676"/>
      <c r="M408" s="24">
        <f t="shared" si="64"/>
        <v>1</v>
      </c>
      <c r="N408" s="676"/>
      <c r="O408" s="24">
        <f t="shared" si="65"/>
        <v>1</v>
      </c>
      <c r="P408" s="676"/>
      <c r="Q408" s="24">
        <f t="shared" si="66"/>
        <v>1</v>
      </c>
      <c r="R408" s="672">
        <f t="shared" si="67"/>
        <v>0</v>
      </c>
      <c r="S408" s="322">
        <f t="shared" si="68"/>
        <v>0</v>
      </c>
    </row>
    <row r="409" spans="1:19">
      <c r="A409" s="155"/>
      <c r="B409" s="57"/>
      <c r="C409" s="24">
        <f t="shared" si="59"/>
        <v>1</v>
      </c>
      <c r="D409" s="676"/>
      <c r="E409" s="24">
        <f t="shared" si="60"/>
        <v>1</v>
      </c>
      <c r="F409" s="676"/>
      <c r="G409" s="24">
        <f t="shared" si="61"/>
        <v>1</v>
      </c>
      <c r="H409" s="676"/>
      <c r="I409" s="24">
        <f t="shared" si="62"/>
        <v>1</v>
      </c>
      <c r="J409" s="676"/>
      <c r="K409" s="24">
        <f t="shared" si="63"/>
        <v>1</v>
      </c>
      <c r="L409" s="676"/>
      <c r="M409" s="24">
        <f t="shared" si="64"/>
        <v>1</v>
      </c>
      <c r="N409" s="676"/>
      <c r="O409" s="24">
        <f t="shared" si="65"/>
        <v>1</v>
      </c>
      <c r="P409" s="676"/>
      <c r="Q409" s="24">
        <f t="shared" si="66"/>
        <v>1</v>
      </c>
      <c r="R409" s="672">
        <f t="shared" si="67"/>
        <v>0</v>
      </c>
      <c r="S409" s="322">
        <f t="shared" si="68"/>
        <v>0</v>
      </c>
    </row>
    <row r="410" spans="1:19">
      <c r="A410" s="155"/>
      <c r="B410" s="57"/>
      <c r="C410" s="24">
        <f t="shared" ref="C410:C473" si="69">IF(B410="",1,(LOOKUP(B410,$3:$3,$4:$4)-LOOKUP($B$24,$3:$3,$4:$4)+100)/100)</f>
        <v>1</v>
      </c>
      <c r="D410" s="676"/>
      <c r="E410" s="24">
        <f t="shared" ref="E410:E473" si="70">(SUMIF($5:$5,D410,$6:$6)-SUMIF($5:$5,$D$24,$6:$6)+100)/100</f>
        <v>1</v>
      </c>
      <c r="F410" s="676"/>
      <c r="G410" s="24">
        <f t="shared" ref="G410:G473" si="71">(SUMIF($7:$7,F410,$8:$8)-SUMIF($7:$7,$F$24,$8:$8)+100)/100</f>
        <v>1</v>
      </c>
      <c r="H410" s="676"/>
      <c r="I410" s="24">
        <f t="shared" ref="I410:I473" si="72">(SUMIF($9:$9,H410,$10:$10)-SUMIF($9:$9,$H$24,$10:$10)+100)/100</f>
        <v>1</v>
      </c>
      <c r="J410" s="676"/>
      <c r="K410" s="24">
        <f t="shared" ref="K410:K473" si="73">(SUMIF($11:$11,J410,$12:$12)-SUMIF($11:$11,$J$24,$12:$12)+100)/100</f>
        <v>1</v>
      </c>
      <c r="L410" s="676"/>
      <c r="M410" s="24">
        <f t="shared" ref="M410:M473" si="74">(SUMIF($13:$13,L410,$14:$14)-SUMIF($13:$13,$L$24,$14:$14)+100)/100</f>
        <v>1</v>
      </c>
      <c r="N410" s="676"/>
      <c r="O410" s="24">
        <f t="shared" ref="O410:O473" si="75">(SUMIF($15:$15,N410,$16:$16)-SUMIF($15:$15,$N$24,$16:$16)+100)/100</f>
        <v>1</v>
      </c>
      <c r="P410" s="676"/>
      <c r="Q410" s="24">
        <f t="shared" ref="Q410:Q473" si="76">(SUMIF($17:$17,P410,$18:$18)-SUMIF($17:$17,$P$24,$18:$18)+100)/100</f>
        <v>1</v>
      </c>
      <c r="R410" s="672">
        <f t="shared" ref="R410:R473" si="77">IF(B410="",0,ROUND($R$24*C410*E410*G410*I410*K410*M410*O410*Q410,0))</f>
        <v>0</v>
      </c>
      <c r="S410" s="322">
        <f t="shared" si="68"/>
        <v>0</v>
      </c>
    </row>
    <row r="411" spans="1:19">
      <c r="A411" s="155"/>
      <c r="B411" s="57"/>
      <c r="C411" s="24">
        <f t="shared" si="69"/>
        <v>1</v>
      </c>
      <c r="D411" s="676"/>
      <c r="E411" s="24">
        <f t="shared" si="70"/>
        <v>1</v>
      </c>
      <c r="F411" s="676"/>
      <c r="G411" s="24">
        <f t="shared" si="71"/>
        <v>1</v>
      </c>
      <c r="H411" s="676"/>
      <c r="I411" s="24">
        <f t="shared" si="72"/>
        <v>1</v>
      </c>
      <c r="J411" s="676"/>
      <c r="K411" s="24">
        <f t="shared" si="73"/>
        <v>1</v>
      </c>
      <c r="L411" s="676"/>
      <c r="M411" s="24">
        <f t="shared" si="74"/>
        <v>1</v>
      </c>
      <c r="N411" s="676"/>
      <c r="O411" s="24">
        <f t="shared" si="75"/>
        <v>1</v>
      </c>
      <c r="P411" s="676"/>
      <c r="Q411" s="24">
        <f t="shared" si="76"/>
        <v>1</v>
      </c>
      <c r="R411" s="672">
        <f t="shared" si="77"/>
        <v>0</v>
      </c>
      <c r="S411" s="322">
        <f t="shared" si="68"/>
        <v>0</v>
      </c>
    </row>
    <row r="412" spans="1:19">
      <c r="A412" s="155"/>
      <c r="B412" s="57"/>
      <c r="C412" s="24">
        <f t="shared" si="69"/>
        <v>1</v>
      </c>
      <c r="D412" s="676"/>
      <c r="E412" s="24">
        <f t="shared" si="70"/>
        <v>1</v>
      </c>
      <c r="F412" s="676"/>
      <c r="G412" s="24">
        <f t="shared" si="71"/>
        <v>1</v>
      </c>
      <c r="H412" s="676"/>
      <c r="I412" s="24">
        <f t="shared" si="72"/>
        <v>1</v>
      </c>
      <c r="J412" s="676"/>
      <c r="K412" s="24">
        <f t="shared" si="73"/>
        <v>1</v>
      </c>
      <c r="L412" s="676"/>
      <c r="M412" s="24">
        <f t="shared" si="74"/>
        <v>1</v>
      </c>
      <c r="N412" s="676"/>
      <c r="O412" s="24">
        <f t="shared" si="75"/>
        <v>1</v>
      </c>
      <c r="P412" s="676"/>
      <c r="Q412" s="24">
        <f t="shared" si="76"/>
        <v>1</v>
      </c>
      <c r="R412" s="672">
        <f t="shared" si="77"/>
        <v>0</v>
      </c>
      <c r="S412" s="322">
        <f t="shared" si="68"/>
        <v>0</v>
      </c>
    </row>
    <row r="413" spans="1:19">
      <c r="A413" s="155"/>
      <c r="B413" s="57"/>
      <c r="C413" s="24">
        <f t="shared" si="69"/>
        <v>1</v>
      </c>
      <c r="D413" s="676"/>
      <c r="E413" s="24">
        <f t="shared" si="70"/>
        <v>1</v>
      </c>
      <c r="F413" s="676"/>
      <c r="G413" s="24">
        <f t="shared" si="71"/>
        <v>1</v>
      </c>
      <c r="H413" s="676"/>
      <c r="I413" s="24">
        <f t="shared" si="72"/>
        <v>1</v>
      </c>
      <c r="J413" s="676"/>
      <c r="K413" s="24">
        <f t="shared" si="73"/>
        <v>1</v>
      </c>
      <c r="L413" s="676"/>
      <c r="M413" s="24">
        <f t="shared" si="74"/>
        <v>1</v>
      </c>
      <c r="N413" s="676"/>
      <c r="O413" s="24">
        <f t="shared" si="75"/>
        <v>1</v>
      </c>
      <c r="P413" s="676"/>
      <c r="Q413" s="24">
        <f t="shared" si="76"/>
        <v>1</v>
      </c>
      <c r="R413" s="672">
        <f t="shared" si="77"/>
        <v>0</v>
      </c>
      <c r="S413" s="322">
        <f t="shared" si="68"/>
        <v>0</v>
      </c>
    </row>
    <row r="414" spans="1:19">
      <c r="A414" s="155"/>
      <c r="B414" s="57"/>
      <c r="C414" s="24">
        <f t="shared" si="69"/>
        <v>1</v>
      </c>
      <c r="D414" s="676"/>
      <c r="E414" s="24">
        <f t="shared" si="70"/>
        <v>1</v>
      </c>
      <c r="F414" s="676"/>
      <c r="G414" s="24">
        <f t="shared" si="71"/>
        <v>1</v>
      </c>
      <c r="H414" s="676"/>
      <c r="I414" s="24">
        <f t="shared" si="72"/>
        <v>1</v>
      </c>
      <c r="J414" s="676"/>
      <c r="K414" s="24">
        <f t="shared" si="73"/>
        <v>1</v>
      </c>
      <c r="L414" s="676"/>
      <c r="M414" s="24">
        <f t="shared" si="74"/>
        <v>1</v>
      </c>
      <c r="N414" s="676"/>
      <c r="O414" s="24">
        <f t="shared" si="75"/>
        <v>1</v>
      </c>
      <c r="P414" s="676"/>
      <c r="Q414" s="24">
        <f t="shared" si="76"/>
        <v>1</v>
      </c>
      <c r="R414" s="672">
        <f t="shared" si="77"/>
        <v>0</v>
      </c>
      <c r="S414" s="322">
        <f t="shared" si="68"/>
        <v>0</v>
      </c>
    </row>
    <row r="415" spans="1:19">
      <c r="A415" s="155"/>
      <c r="B415" s="57"/>
      <c r="C415" s="24">
        <f t="shared" si="69"/>
        <v>1</v>
      </c>
      <c r="D415" s="676"/>
      <c r="E415" s="24">
        <f t="shared" si="70"/>
        <v>1</v>
      </c>
      <c r="F415" s="676"/>
      <c r="G415" s="24">
        <f t="shared" si="71"/>
        <v>1</v>
      </c>
      <c r="H415" s="676"/>
      <c r="I415" s="24">
        <f t="shared" si="72"/>
        <v>1</v>
      </c>
      <c r="J415" s="676"/>
      <c r="K415" s="24">
        <f t="shared" si="73"/>
        <v>1</v>
      </c>
      <c r="L415" s="676"/>
      <c r="M415" s="24">
        <f t="shared" si="74"/>
        <v>1</v>
      </c>
      <c r="N415" s="676"/>
      <c r="O415" s="24">
        <f t="shared" si="75"/>
        <v>1</v>
      </c>
      <c r="P415" s="676"/>
      <c r="Q415" s="24">
        <f t="shared" si="76"/>
        <v>1</v>
      </c>
      <c r="R415" s="672">
        <f t="shared" si="77"/>
        <v>0</v>
      </c>
      <c r="S415" s="322">
        <f t="shared" si="68"/>
        <v>0</v>
      </c>
    </row>
    <row r="416" spans="1:19">
      <c r="A416" s="155"/>
      <c r="B416" s="57"/>
      <c r="C416" s="24">
        <f t="shared" si="69"/>
        <v>1</v>
      </c>
      <c r="D416" s="676"/>
      <c r="E416" s="24">
        <f t="shared" si="70"/>
        <v>1</v>
      </c>
      <c r="F416" s="676"/>
      <c r="G416" s="24">
        <f t="shared" si="71"/>
        <v>1</v>
      </c>
      <c r="H416" s="676"/>
      <c r="I416" s="24">
        <f t="shared" si="72"/>
        <v>1</v>
      </c>
      <c r="J416" s="676"/>
      <c r="K416" s="24">
        <f t="shared" si="73"/>
        <v>1</v>
      </c>
      <c r="L416" s="676"/>
      <c r="M416" s="24">
        <f t="shared" si="74"/>
        <v>1</v>
      </c>
      <c r="N416" s="676"/>
      <c r="O416" s="24">
        <f t="shared" si="75"/>
        <v>1</v>
      </c>
      <c r="P416" s="676"/>
      <c r="Q416" s="24">
        <f t="shared" si="76"/>
        <v>1</v>
      </c>
      <c r="R416" s="672">
        <f t="shared" si="77"/>
        <v>0</v>
      </c>
      <c r="S416" s="322">
        <f t="shared" si="68"/>
        <v>0</v>
      </c>
    </row>
    <row r="417" spans="1:19">
      <c r="A417" s="155"/>
      <c r="B417" s="57"/>
      <c r="C417" s="24">
        <f t="shared" si="69"/>
        <v>1</v>
      </c>
      <c r="D417" s="676"/>
      <c r="E417" s="24">
        <f t="shared" si="70"/>
        <v>1</v>
      </c>
      <c r="F417" s="676"/>
      <c r="G417" s="24">
        <f t="shared" si="71"/>
        <v>1</v>
      </c>
      <c r="H417" s="676"/>
      <c r="I417" s="24">
        <f t="shared" si="72"/>
        <v>1</v>
      </c>
      <c r="J417" s="676"/>
      <c r="K417" s="24">
        <f t="shared" si="73"/>
        <v>1</v>
      </c>
      <c r="L417" s="676"/>
      <c r="M417" s="24">
        <f t="shared" si="74"/>
        <v>1</v>
      </c>
      <c r="N417" s="676"/>
      <c r="O417" s="24">
        <f t="shared" si="75"/>
        <v>1</v>
      </c>
      <c r="P417" s="676"/>
      <c r="Q417" s="24">
        <f t="shared" si="76"/>
        <v>1</v>
      </c>
      <c r="R417" s="672">
        <f t="shared" si="77"/>
        <v>0</v>
      </c>
      <c r="S417" s="322">
        <f t="shared" si="68"/>
        <v>0</v>
      </c>
    </row>
    <row r="418" spans="1:19">
      <c r="A418" s="155"/>
      <c r="B418" s="57"/>
      <c r="C418" s="24">
        <f t="shared" si="69"/>
        <v>1</v>
      </c>
      <c r="D418" s="676"/>
      <c r="E418" s="24">
        <f t="shared" si="70"/>
        <v>1</v>
      </c>
      <c r="F418" s="676"/>
      <c r="G418" s="24">
        <f t="shared" si="71"/>
        <v>1</v>
      </c>
      <c r="H418" s="676"/>
      <c r="I418" s="24">
        <f t="shared" si="72"/>
        <v>1</v>
      </c>
      <c r="J418" s="676"/>
      <c r="K418" s="24">
        <f t="shared" si="73"/>
        <v>1</v>
      </c>
      <c r="L418" s="676"/>
      <c r="M418" s="24">
        <f t="shared" si="74"/>
        <v>1</v>
      </c>
      <c r="N418" s="676"/>
      <c r="O418" s="24">
        <f t="shared" si="75"/>
        <v>1</v>
      </c>
      <c r="P418" s="676"/>
      <c r="Q418" s="24">
        <f t="shared" si="76"/>
        <v>1</v>
      </c>
      <c r="R418" s="672">
        <f t="shared" si="77"/>
        <v>0</v>
      </c>
      <c r="S418" s="322">
        <f t="shared" si="68"/>
        <v>0</v>
      </c>
    </row>
    <row r="419" spans="1:19">
      <c r="A419" s="155"/>
      <c r="B419" s="57"/>
      <c r="C419" s="24">
        <f t="shared" si="69"/>
        <v>1</v>
      </c>
      <c r="D419" s="676"/>
      <c r="E419" s="24">
        <f t="shared" si="70"/>
        <v>1</v>
      </c>
      <c r="F419" s="676"/>
      <c r="G419" s="24">
        <f t="shared" si="71"/>
        <v>1</v>
      </c>
      <c r="H419" s="676"/>
      <c r="I419" s="24">
        <f t="shared" si="72"/>
        <v>1</v>
      </c>
      <c r="J419" s="676"/>
      <c r="K419" s="24">
        <f t="shared" si="73"/>
        <v>1</v>
      </c>
      <c r="L419" s="676"/>
      <c r="M419" s="24">
        <f t="shared" si="74"/>
        <v>1</v>
      </c>
      <c r="N419" s="676"/>
      <c r="O419" s="24">
        <f t="shared" si="75"/>
        <v>1</v>
      </c>
      <c r="P419" s="676"/>
      <c r="Q419" s="24">
        <f t="shared" si="76"/>
        <v>1</v>
      </c>
      <c r="R419" s="672">
        <f t="shared" si="77"/>
        <v>0</v>
      </c>
      <c r="S419" s="322">
        <f t="shared" si="68"/>
        <v>0</v>
      </c>
    </row>
    <row r="420" spans="1:19">
      <c r="A420" s="155"/>
      <c r="B420" s="57"/>
      <c r="C420" s="24">
        <f t="shared" si="69"/>
        <v>1</v>
      </c>
      <c r="D420" s="676"/>
      <c r="E420" s="24">
        <f t="shared" si="70"/>
        <v>1</v>
      </c>
      <c r="F420" s="676"/>
      <c r="G420" s="24">
        <f t="shared" si="71"/>
        <v>1</v>
      </c>
      <c r="H420" s="676"/>
      <c r="I420" s="24">
        <f t="shared" si="72"/>
        <v>1</v>
      </c>
      <c r="J420" s="676"/>
      <c r="K420" s="24">
        <f t="shared" si="73"/>
        <v>1</v>
      </c>
      <c r="L420" s="676"/>
      <c r="M420" s="24">
        <f t="shared" si="74"/>
        <v>1</v>
      </c>
      <c r="N420" s="676"/>
      <c r="O420" s="24">
        <f t="shared" si="75"/>
        <v>1</v>
      </c>
      <c r="P420" s="676"/>
      <c r="Q420" s="24">
        <f t="shared" si="76"/>
        <v>1</v>
      </c>
      <c r="R420" s="672">
        <f t="shared" si="77"/>
        <v>0</v>
      </c>
      <c r="S420" s="322">
        <f t="shared" si="68"/>
        <v>0</v>
      </c>
    </row>
    <row r="421" spans="1:19">
      <c r="A421" s="155"/>
      <c r="B421" s="57"/>
      <c r="C421" s="24">
        <f t="shared" si="69"/>
        <v>1</v>
      </c>
      <c r="D421" s="676"/>
      <c r="E421" s="24">
        <f t="shared" si="70"/>
        <v>1</v>
      </c>
      <c r="F421" s="676"/>
      <c r="G421" s="24">
        <f t="shared" si="71"/>
        <v>1</v>
      </c>
      <c r="H421" s="676"/>
      <c r="I421" s="24">
        <f t="shared" si="72"/>
        <v>1</v>
      </c>
      <c r="J421" s="676"/>
      <c r="K421" s="24">
        <f t="shared" si="73"/>
        <v>1</v>
      </c>
      <c r="L421" s="676"/>
      <c r="M421" s="24">
        <f t="shared" si="74"/>
        <v>1</v>
      </c>
      <c r="N421" s="676"/>
      <c r="O421" s="24">
        <f t="shared" si="75"/>
        <v>1</v>
      </c>
      <c r="P421" s="676"/>
      <c r="Q421" s="24">
        <f t="shared" si="76"/>
        <v>1</v>
      </c>
      <c r="R421" s="672">
        <f t="shared" si="77"/>
        <v>0</v>
      </c>
      <c r="S421" s="322">
        <f t="shared" si="68"/>
        <v>0</v>
      </c>
    </row>
    <row r="422" spans="1:19">
      <c r="A422" s="155"/>
      <c r="B422" s="57"/>
      <c r="C422" s="24">
        <f t="shared" si="69"/>
        <v>1</v>
      </c>
      <c r="D422" s="676"/>
      <c r="E422" s="24">
        <f t="shared" si="70"/>
        <v>1</v>
      </c>
      <c r="F422" s="676"/>
      <c r="G422" s="24">
        <f t="shared" si="71"/>
        <v>1</v>
      </c>
      <c r="H422" s="676"/>
      <c r="I422" s="24">
        <f t="shared" si="72"/>
        <v>1</v>
      </c>
      <c r="J422" s="676"/>
      <c r="K422" s="24">
        <f t="shared" si="73"/>
        <v>1</v>
      </c>
      <c r="L422" s="676"/>
      <c r="M422" s="24">
        <f t="shared" si="74"/>
        <v>1</v>
      </c>
      <c r="N422" s="676"/>
      <c r="O422" s="24">
        <f t="shared" si="75"/>
        <v>1</v>
      </c>
      <c r="P422" s="676"/>
      <c r="Q422" s="24">
        <f t="shared" si="76"/>
        <v>1</v>
      </c>
      <c r="R422" s="672">
        <f t="shared" si="77"/>
        <v>0</v>
      </c>
      <c r="S422" s="322">
        <f t="shared" si="68"/>
        <v>0</v>
      </c>
    </row>
    <row r="423" spans="1:19">
      <c r="A423" s="155"/>
      <c r="B423" s="57"/>
      <c r="C423" s="24">
        <f t="shared" si="69"/>
        <v>1</v>
      </c>
      <c r="D423" s="676"/>
      <c r="E423" s="24">
        <f t="shared" si="70"/>
        <v>1</v>
      </c>
      <c r="F423" s="676"/>
      <c r="G423" s="24">
        <f t="shared" si="71"/>
        <v>1</v>
      </c>
      <c r="H423" s="676"/>
      <c r="I423" s="24">
        <f t="shared" si="72"/>
        <v>1</v>
      </c>
      <c r="J423" s="676"/>
      <c r="K423" s="24">
        <f t="shared" si="73"/>
        <v>1</v>
      </c>
      <c r="L423" s="676"/>
      <c r="M423" s="24">
        <f t="shared" si="74"/>
        <v>1</v>
      </c>
      <c r="N423" s="676"/>
      <c r="O423" s="24">
        <f t="shared" si="75"/>
        <v>1</v>
      </c>
      <c r="P423" s="676"/>
      <c r="Q423" s="24">
        <f t="shared" si="76"/>
        <v>1</v>
      </c>
      <c r="R423" s="672">
        <f t="shared" si="77"/>
        <v>0</v>
      </c>
      <c r="S423" s="322">
        <f t="shared" ref="S423:S467" si="78">ROUND(R423*B423/10000,0)</f>
        <v>0</v>
      </c>
    </row>
    <row r="424" spans="1:19">
      <c r="A424" s="155"/>
      <c r="B424" s="57"/>
      <c r="C424" s="24">
        <f t="shared" si="69"/>
        <v>1</v>
      </c>
      <c r="D424" s="676"/>
      <c r="E424" s="24">
        <f t="shared" si="70"/>
        <v>1</v>
      </c>
      <c r="F424" s="676"/>
      <c r="G424" s="24">
        <f t="shared" si="71"/>
        <v>1</v>
      </c>
      <c r="H424" s="676"/>
      <c r="I424" s="24">
        <f t="shared" si="72"/>
        <v>1</v>
      </c>
      <c r="J424" s="676"/>
      <c r="K424" s="24">
        <f t="shared" si="73"/>
        <v>1</v>
      </c>
      <c r="L424" s="676"/>
      <c r="M424" s="24">
        <f t="shared" si="74"/>
        <v>1</v>
      </c>
      <c r="N424" s="676"/>
      <c r="O424" s="24">
        <f t="shared" si="75"/>
        <v>1</v>
      </c>
      <c r="P424" s="676"/>
      <c r="Q424" s="24">
        <f t="shared" si="76"/>
        <v>1</v>
      </c>
      <c r="R424" s="672">
        <f t="shared" si="77"/>
        <v>0</v>
      </c>
      <c r="S424" s="322">
        <f t="shared" si="78"/>
        <v>0</v>
      </c>
    </row>
    <row r="425" spans="1:19">
      <c r="A425" s="155"/>
      <c r="B425" s="57"/>
      <c r="C425" s="24">
        <f t="shared" si="69"/>
        <v>1</v>
      </c>
      <c r="D425" s="676"/>
      <c r="E425" s="24">
        <f t="shared" si="70"/>
        <v>1</v>
      </c>
      <c r="F425" s="676"/>
      <c r="G425" s="24">
        <f t="shared" si="71"/>
        <v>1</v>
      </c>
      <c r="H425" s="676"/>
      <c r="I425" s="24">
        <f t="shared" si="72"/>
        <v>1</v>
      </c>
      <c r="J425" s="676"/>
      <c r="K425" s="24">
        <f t="shared" si="73"/>
        <v>1</v>
      </c>
      <c r="L425" s="676"/>
      <c r="M425" s="24">
        <f t="shared" si="74"/>
        <v>1</v>
      </c>
      <c r="N425" s="676"/>
      <c r="O425" s="24">
        <f t="shared" si="75"/>
        <v>1</v>
      </c>
      <c r="P425" s="676"/>
      <c r="Q425" s="24">
        <f t="shared" si="76"/>
        <v>1</v>
      </c>
      <c r="R425" s="672">
        <f t="shared" si="77"/>
        <v>0</v>
      </c>
      <c r="S425" s="322">
        <f t="shared" si="78"/>
        <v>0</v>
      </c>
    </row>
    <row r="426" spans="1:19">
      <c r="A426" s="155"/>
      <c r="B426" s="57"/>
      <c r="C426" s="24">
        <f t="shared" si="69"/>
        <v>1</v>
      </c>
      <c r="D426" s="676"/>
      <c r="E426" s="24">
        <f t="shared" si="70"/>
        <v>1</v>
      </c>
      <c r="F426" s="676"/>
      <c r="G426" s="24">
        <f t="shared" si="71"/>
        <v>1</v>
      </c>
      <c r="H426" s="676"/>
      <c r="I426" s="24">
        <f t="shared" si="72"/>
        <v>1</v>
      </c>
      <c r="J426" s="676"/>
      <c r="K426" s="24">
        <f t="shared" si="73"/>
        <v>1</v>
      </c>
      <c r="L426" s="676"/>
      <c r="M426" s="24">
        <f t="shared" si="74"/>
        <v>1</v>
      </c>
      <c r="N426" s="676"/>
      <c r="O426" s="24">
        <f t="shared" si="75"/>
        <v>1</v>
      </c>
      <c r="P426" s="676"/>
      <c r="Q426" s="24">
        <f t="shared" si="76"/>
        <v>1</v>
      </c>
      <c r="R426" s="672">
        <f t="shared" si="77"/>
        <v>0</v>
      </c>
      <c r="S426" s="322">
        <f t="shared" si="78"/>
        <v>0</v>
      </c>
    </row>
    <row r="427" spans="1:19">
      <c r="A427" s="155"/>
      <c r="B427" s="57"/>
      <c r="C427" s="24">
        <f t="shared" si="69"/>
        <v>1</v>
      </c>
      <c r="D427" s="676"/>
      <c r="E427" s="24">
        <f t="shared" si="70"/>
        <v>1</v>
      </c>
      <c r="F427" s="676"/>
      <c r="G427" s="24">
        <f t="shared" si="71"/>
        <v>1</v>
      </c>
      <c r="H427" s="676"/>
      <c r="I427" s="24">
        <f t="shared" si="72"/>
        <v>1</v>
      </c>
      <c r="J427" s="676"/>
      <c r="K427" s="24">
        <f t="shared" si="73"/>
        <v>1</v>
      </c>
      <c r="L427" s="676"/>
      <c r="M427" s="24">
        <f t="shared" si="74"/>
        <v>1</v>
      </c>
      <c r="N427" s="676"/>
      <c r="O427" s="24">
        <f t="shared" si="75"/>
        <v>1</v>
      </c>
      <c r="P427" s="676"/>
      <c r="Q427" s="24">
        <f t="shared" si="76"/>
        <v>1</v>
      </c>
      <c r="R427" s="672">
        <f t="shared" si="77"/>
        <v>0</v>
      </c>
      <c r="S427" s="322">
        <f t="shared" si="78"/>
        <v>0</v>
      </c>
    </row>
    <row r="428" spans="1:19">
      <c r="A428" s="155"/>
      <c r="B428" s="57"/>
      <c r="C428" s="24">
        <f t="shared" si="69"/>
        <v>1</v>
      </c>
      <c r="D428" s="676"/>
      <c r="E428" s="24">
        <f t="shared" si="70"/>
        <v>1</v>
      </c>
      <c r="F428" s="676"/>
      <c r="G428" s="24">
        <f t="shared" si="71"/>
        <v>1</v>
      </c>
      <c r="H428" s="676"/>
      <c r="I428" s="24">
        <f t="shared" si="72"/>
        <v>1</v>
      </c>
      <c r="J428" s="676"/>
      <c r="K428" s="24">
        <f t="shared" si="73"/>
        <v>1</v>
      </c>
      <c r="L428" s="676"/>
      <c r="M428" s="24">
        <f t="shared" si="74"/>
        <v>1</v>
      </c>
      <c r="N428" s="676"/>
      <c r="O428" s="24">
        <f t="shared" si="75"/>
        <v>1</v>
      </c>
      <c r="P428" s="676"/>
      <c r="Q428" s="24">
        <f t="shared" si="76"/>
        <v>1</v>
      </c>
      <c r="R428" s="672">
        <f t="shared" si="77"/>
        <v>0</v>
      </c>
      <c r="S428" s="322">
        <f t="shared" si="78"/>
        <v>0</v>
      </c>
    </row>
    <row r="429" spans="1:19">
      <c r="A429" s="155"/>
      <c r="B429" s="57"/>
      <c r="C429" s="24">
        <f t="shared" si="69"/>
        <v>1</v>
      </c>
      <c r="D429" s="676"/>
      <c r="E429" s="24">
        <f t="shared" si="70"/>
        <v>1</v>
      </c>
      <c r="F429" s="676"/>
      <c r="G429" s="24">
        <f t="shared" si="71"/>
        <v>1</v>
      </c>
      <c r="H429" s="676"/>
      <c r="I429" s="24">
        <f t="shared" si="72"/>
        <v>1</v>
      </c>
      <c r="J429" s="676"/>
      <c r="K429" s="24">
        <f t="shared" si="73"/>
        <v>1</v>
      </c>
      <c r="L429" s="676"/>
      <c r="M429" s="24">
        <f t="shared" si="74"/>
        <v>1</v>
      </c>
      <c r="N429" s="676"/>
      <c r="O429" s="24">
        <f t="shared" si="75"/>
        <v>1</v>
      </c>
      <c r="P429" s="676"/>
      <c r="Q429" s="24">
        <f t="shared" si="76"/>
        <v>1</v>
      </c>
      <c r="R429" s="672">
        <f t="shared" si="77"/>
        <v>0</v>
      </c>
      <c r="S429" s="322">
        <f t="shared" si="78"/>
        <v>0</v>
      </c>
    </row>
    <row r="430" spans="1:19">
      <c r="A430" s="155"/>
      <c r="B430" s="57"/>
      <c r="C430" s="24">
        <f t="shared" si="69"/>
        <v>1</v>
      </c>
      <c r="D430" s="676"/>
      <c r="E430" s="24">
        <f t="shared" si="70"/>
        <v>1</v>
      </c>
      <c r="F430" s="676"/>
      <c r="G430" s="24">
        <f t="shared" si="71"/>
        <v>1</v>
      </c>
      <c r="H430" s="676"/>
      <c r="I430" s="24">
        <f t="shared" si="72"/>
        <v>1</v>
      </c>
      <c r="J430" s="676"/>
      <c r="K430" s="24">
        <f t="shared" si="73"/>
        <v>1</v>
      </c>
      <c r="L430" s="676"/>
      <c r="M430" s="24">
        <f t="shared" si="74"/>
        <v>1</v>
      </c>
      <c r="N430" s="676"/>
      <c r="O430" s="24">
        <f t="shared" si="75"/>
        <v>1</v>
      </c>
      <c r="P430" s="676"/>
      <c r="Q430" s="24">
        <f t="shared" si="76"/>
        <v>1</v>
      </c>
      <c r="R430" s="672">
        <f t="shared" si="77"/>
        <v>0</v>
      </c>
      <c r="S430" s="322">
        <f t="shared" si="78"/>
        <v>0</v>
      </c>
    </row>
    <row r="431" spans="1:19">
      <c r="A431" s="155"/>
      <c r="B431" s="57"/>
      <c r="C431" s="24">
        <f t="shared" si="69"/>
        <v>1</v>
      </c>
      <c r="D431" s="676"/>
      <c r="E431" s="24">
        <f t="shared" si="70"/>
        <v>1</v>
      </c>
      <c r="F431" s="676"/>
      <c r="G431" s="24">
        <f t="shared" si="71"/>
        <v>1</v>
      </c>
      <c r="H431" s="676"/>
      <c r="I431" s="24">
        <f t="shared" si="72"/>
        <v>1</v>
      </c>
      <c r="J431" s="676"/>
      <c r="K431" s="24">
        <f t="shared" si="73"/>
        <v>1</v>
      </c>
      <c r="L431" s="676"/>
      <c r="M431" s="24">
        <f t="shared" si="74"/>
        <v>1</v>
      </c>
      <c r="N431" s="676"/>
      <c r="O431" s="24">
        <f t="shared" si="75"/>
        <v>1</v>
      </c>
      <c r="P431" s="676"/>
      <c r="Q431" s="24">
        <f t="shared" si="76"/>
        <v>1</v>
      </c>
      <c r="R431" s="672">
        <f t="shared" si="77"/>
        <v>0</v>
      </c>
      <c r="S431" s="322">
        <f t="shared" si="78"/>
        <v>0</v>
      </c>
    </row>
    <row r="432" spans="1:19">
      <c r="A432" s="155"/>
      <c r="B432" s="57"/>
      <c r="C432" s="24">
        <f t="shared" si="69"/>
        <v>1</v>
      </c>
      <c r="D432" s="676"/>
      <c r="E432" s="24">
        <f t="shared" si="70"/>
        <v>1</v>
      </c>
      <c r="F432" s="676"/>
      <c r="G432" s="24">
        <f t="shared" si="71"/>
        <v>1</v>
      </c>
      <c r="H432" s="676"/>
      <c r="I432" s="24">
        <f t="shared" si="72"/>
        <v>1</v>
      </c>
      <c r="J432" s="676"/>
      <c r="K432" s="24">
        <f t="shared" si="73"/>
        <v>1</v>
      </c>
      <c r="L432" s="676"/>
      <c r="M432" s="24">
        <f t="shared" si="74"/>
        <v>1</v>
      </c>
      <c r="N432" s="676"/>
      <c r="O432" s="24">
        <f t="shared" si="75"/>
        <v>1</v>
      </c>
      <c r="P432" s="676"/>
      <c r="Q432" s="24">
        <f t="shared" si="76"/>
        <v>1</v>
      </c>
      <c r="R432" s="672">
        <f t="shared" si="77"/>
        <v>0</v>
      </c>
      <c r="S432" s="322">
        <f t="shared" si="78"/>
        <v>0</v>
      </c>
    </row>
    <row r="433" spans="1:19">
      <c r="A433" s="155"/>
      <c r="B433" s="57"/>
      <c r="C433" s="24">
        <f t="shared" si="69"/>
        <v>1</v>
      </c>
      <c r="D433" s="676"/>
      <c r="E433" s="24">
        <f t="shared" si="70"/>
        <v>1</v>
      </c>
      <c r="F433" s="676"/>
      <c r="G433" s="24">
        <f t="shared" si="71"/>
        <v>1</v>
      </c>
      <c r="H433" s="676"/>
      <c r="I433" s="24">
        <f t="shared" si="72"/>
        <v>1</v>
      </c>
      <c r="J433" s="676"/>
      <c r="K433" s="24">
        <f t="shared" si="73"/>
        <v>1</v>
      </c>
      <c r="L433" s="676"/>
      <c r="M433" s="24">
        <f t="shared" si="74"/>
        <v>1</v>
      </c>
      <c r="N433" s="676"/>
      <c r="O433" s="24">
        <f t="shared" si="75"/>
        <v>1</v>
      </c>
      <c r="P433" s="676"/>
      <c r="Q433" s="24">
        <f t="shared" si="76"/>
        <v>1</v>
      </c>
      <c r="R433" s="672">
        <f t="shared" si="77"/>
        <v>0</v>
      </c>
      <c r="S433" s="322">
        <f t="shared" si="78"/>
        <v>0</v>
      </c>
    </row>
    <row r="434" spans="1:19">
      <c r="A434" s="155"/>
      <c r="B434" s="57"/>
      <c r="C434" s="24">
        <f t="shared" si="69"/>
        <v>1</v>
      </c>
      <c r="D434" s="676"/>
      <c r="E434" s="24">
        <f t="shared" si="70"/>
        <v>1</v>
      </c>
      <c r="F434" s="676"/>
      <c r="G434" s="24">
        <f t="shared" si="71"/>
        <v>1</v>
      </c>
      <c r="H434" s="676"/>
      <c r="I434" s="24">
        <f t="shared" si="72"/>
        <v>1</v>
      </c>
      <c r="J434" s="676"/>
      <c r="K434" s="24">
        <f t="shared" si="73"/>
        <v>1</v>
      </c>
      <c r="L434" s="676"/>
      <c r="M434" s="24">
        <f t="shared" si="74"/>
        <v>1</v>
      </c>
      <c r="N434" s="676"/>
      <c r="O434" s="24">
        <f t="shared" si="75"/>
        <v>1</v>
      </c>
      <c r="P434" s="676"/>
      <c r="Q434" s="24">
        <f t="shared" si="76"/>
        <v>1</v>
      </c>
      <c r="R434" s="672">
        <f t="shared" si="77"/>
        <v>0</v>
      </c>
      <c r="S434" s="322">
        <f t="shared" si="78"/>
        <v>0</v>
      </c>
    </row>
    <row r="435" spans="1:19">
      <c r="A435" s="155"/>
      <c r="B435" s="57"/>
      <c r="C435" s="24">
        <f t="shared" si="69"/>
        <v>1</v>
      </c>
      <c r="D435" s="676"/>
      <c r="E435" s="24">
        <f t="shared" si="70"/>
        <v>1</v>
      </c>
      <c r="F435" s="676"/>
      <c r="G435" s="24">
        <f t="shared" si="71"/>
        <v>1</v>
      </c>
      <c r="H435" s="676"/>
      <c r="I435" s="24">
        <f t="shared" si="72"/>
        <v>1</v>
      </c>
      <c r="J435" s="676"/>
      <c r="K435" s="24">
        <f t="shared" si="73"/>
        <v>1</v>
      </c>
      <c r="L435" s="676"/>
      <c r="M435" s="24">
        <f t="shared" si="74"/>
        <v>1</v>
      </c>
      <c r="N435" s="676"/>
      <c r="O435" s="24">
        <f t="shared" si="75"/>
        <v>1</v>
      </c>
      <c r="P435" s="676"/>
      <c r="Q435" s="24">
        <f t="shared" si="76"/>
        <v>1</v>
      </c>
      <c r="R435" s="672">
        <f t="shared" si="77"/>
        <v>0</v>
      </c>
      <c r="S435" s="322">
        <f t="shared" si="78"/>
        <v>0</v>
      </c>
    </row>
    <row r="436" spans="1:19">
      <c r="A436" s="155"/>
      <c r="B436" s="57"/>
      <c r="C436" s="24">
        <f t="shared" si="69"/>
        <v>1</v>
      </c>
      <c r="D436" s="676"/>
      <c r="E436" s="24">
        <f t="shared" si="70"/>
        <v>1</v>
      </c>
      <c r="F436" s="676"/>
      <c r="G436" s="24">
        <f t="shared" si="71"/>
        <v>1</v>
      </c>
      <c r="H436" s="676"/>
      <c r="I436" s="24">
        <f t="shared" si="72"/>
        <v>1</v>
      </c>
      <c r="J436" s="676"/>
      <c r="K436" s="24">
        <f t="shared" si="73"/>
        <v>1</v>
      </c>
      <c r="L436" s="676"/>
      <c r="M436" s="24">
        <f t="shared" si="74"/>
        <v>1</v>
      </c>
      <c r="N436" s="676"/>
      <c r="O436" s="24">
        <f t="shared" si="75"/>
        <v>1</v>
      </c>
      <c r="P436" s="676"/>
      <c r="Q436" s="24">
        <f t="shared" si="76"/>
        <v>1</v>
      </c>
      <c r="R436" s="672">
        <f t="shared" si="77"/>
        <v>0</v>
      </c>
      <c r="S436" s="322">
        <f t="shared" si="78"/>
        <v>0</v>
      </c>
    </row>
    <row r="437" spans="1:19">
      <c r="A437" s="155"/>
      <c r="B437" s="57"/>
      <c r="C437" s="24">
        <f t="shared" si="69"/>
        <v>1</v>
      </c>
      <c r="D437" s="676"/>
      <c r="E437" s="24">
        <f t="shared" si="70"/>
        <v>1</v>
      </c>
      <c r="F437" s="676"/>
      <c r="G437" s="24">
        <f t="shared" si="71"/>
        <v>1</v>
      </c>
      <c r="H437" s="676"/>
      <c r="I437" s="24">
        <f t="shared" si="72"/>
        <v>1</v>
      </c>
      <c r="J437" s="676"/>
      <c r="K437" s="24">
        <f t="shared" si="73"/>
        <v>1</v>
      </c>
      <c r="L437" s="676"/>
      <c r="M437" s="24">
        <f t="shared" si="74"/>
        <v>1</v>
      </c>
      <c r="N437" s="676"/>
      <c r="O437" s="24">
        <f t="shared" si="75"/>
        <v>1</v>
      </c>
      <c r="P437" s="676"/>
      <c r="Q437" s="24">
        <f t="shared" si="76"/>
        <v>1</v>
      </c>
      <c r="R437" s="672">
        <f t="shared" si="77"/>
        <v>0</v>
      </c>
      <c r="S437" s="322">
        <f t="shared" si="78"/>
        <v>0</v>
      </c>
    </row>
    <row r="438" spans="1:19">
      <c r="A438" s="155"/>
      <c r="B438" s="57"/>
      <c r="C438" s="24">
        <f t="shared" si="69"/>
        <v>1</v>
      </c>
      <c r="D438" s="676"/>
      <c r="E438" s="24">
        <f t="shared" si="70"/>
        <v>1</v>
      </c>
      <c r="F438" s="676"/>
      <c r="G438" s="24">
        <f t="shared" si="71"/>
        <v>1</v>
      </c>
      <c r="H438" s="676"/>
      <c r="I438" s="24">
        <f t="shared" si="72"/>
        <v>1</v>
      </c>
      <c r="J438" s="676"/>
      <c r="K438" s="24">
        <f t="shared" si="73"/>
        <v>1</v>
      </c>
      <c r="L438" s="676"/>
      <c r="M438" s="24">
        <f t="shared" si="74"/>
        <v>1</v>
      </c>
      <c r="N438" s="676"/>
      <c r="O438" s="24">
        <f t="shared" si="75"/>
        <v>1</v>
      </c>
      <c r="P438" s="676"/>
      <c r="Q438" s="24">
        <f t="shared" si="76"/>
        <v>1</v>
      </c>
      <c r="R438" s="672">
        <f t="shared" si="77"/>
        <v>0</v>
      </c>
      <c r="S438" s="322">
        <f t="shared" si="78"/>
        <v>0</v>
      </c>
    </row>
    <row r="439" spans="1:19">
      <c r="A439" s="155"/>
      <c r="B439" s="57"/>
      <c r="C439" s="24">
        <f t="shared" si="69"/>
        <v>1</v>
      </c>
      <c r="D439" s="676"/>
      <c r="E439" s="24">
        <f t="shared" si="70"/>
        <v>1</v>
      </c>
      <c r="F439" s="676"/>
      <c r="G439" s="24">
        <f t="shared" si="71"/>
        <v>1</v>
      </c>
      <c r="H439" s="676"/>
      <c r="I439" s="24">
        <f t="shared" si="72"/>
        <v>1</v>
      </c>
      <c r="J439" s="676"/>
      <c r="K439" s="24">
        <f t="shared" si="73"/>
        <v>1</v>
      </c>
      <c r="L439" s="676"/>
      <c r="M439" s="24">
        <f t="shared" si="74"/>
        <v>1</v>
      </c>
      <c r="N439" s="676"/>
      <c r="O439" s="24">
        <f t="shared" si="75"/>
        <v>1</v>
      </c>
      <c r="P439" s="676"/>
      <c r="Q439" s="24">
        <f t="shared" si="76"/>
        <v>1</v>
      </c>
      <c r="R439" s="672">
        <f t="shared" si="77"/>
        <v>0</v>
      </c>
      <c r="S439" s="322">
        <f t="shared" si="78"/>
        <v>0</v>
      </c>
    </row>
    <row r="440" spans="1:19">
      <c r="A440" s="155"/>
      <c r="B440" s="57"/>
      <c r="C440" s="24">
        <f t="shared" si="69"/>
        <v>1</v>
      </c>
      <c r="D440" s="676"/>
      <c r="E440" s="24">
        <f t="shared" si="70"/>
        <v>1</v>
      </c>
      <c r="F440" s="676"/>
      <c r="G440" s="24">
        <f t="shared" si="71"/>
        <v>1</v>
      </c>
      <c r="H440" s="676"/>
      <c r="I440" s="24">
        <f t="shared" si="72"/>
        <v>1</v>
      </c>
      <c r="J440" s="676"/>
      <c r="K440" s="24">
        <f t="shared" si="73"/>
        <v>1</v>
      </c>
      <c r="L440" s="676"/>
      <c r="M440" s="24">
        <f t="shared" si="74"/>
        <v>1</v>
      </c>
      <c r="N440" s="676"/>
      <c r="O440" s="24">
        <f t="shared" si="75"/>
        <v>1</v>
      </c>
      <c r="P440" s="676"/>
      <c r="Q440" s="24">
        <f t="shared" si="76"/>
        <v>1</v>
      </c>
      <c r="R440" s="672">
        <f t="shared" si="77"/>
        <v>0</v>
      </c>
      <c r="S440" s="322">
        <f t="shared" si="78"/>
        <v>0</v>
      </c>
    </row>
    <row r="441" spans="1:19">
      <c r="A441" s="155"/>
      <c r="B441" s="57"/>
      <c r="C441" s="24">
        <f t="shared" si="69"/>
        <v>1</v>
      </c>
      <c r="D441" s="676"/>
      <c r="E441" s="24">
        <f t="shared" si="70"/>
        <v>1</v>
      </c>
      <c r="F441" s="676"/>
      <c r="G441" s="24">
        <f t="shared" si="71"/>
        <v>1</v>
      </c>
      <c r="H441" s="676"/>
      <c r="I441" s="24">
        <f t="shared" si="72"/>
        <v>1</v>
      </c>
      <c r="J441" s="676"/>
      <c r="K441" s="24">
        <f t="shared" si="73"/>
        <v>1</v>
      </c>
      <c r="L441" s="676"/>
      <c r="M441" s="24">
        <f t="shared" si="74"/>
        <v>1</v>
      </c>
      <c r="N441" s="676"/>
      <c r="O441" s="24">
        <f t="shared" si="75"/>
        <v>1</v>
      </c>
      <c r="P441" s="676"/>
      <c r="Q441" s="24">
        <f t="shared" si="76"/>
        <v>1</v>
      </c>
      <c r="R441" s="672">
        <f t="shared" si="77"/>
        <v>0</v>
      </c>
      <c r="S441" s="322">
        <f t="shared" si="78"/>
        <v>0</v>
      </c>
    </row>
    <row r="442" spans="1:19">
      <c r="A442" s="155"/>
      <c r="B442" s="57"/>
      <c r="C442" s="24">
        <f t="shared" si="69"/>
        <v>1</v>
      </c>
      <c r="D442" s="676"/>
      <c r="E442" s="24">
        <f t="shared" si="70"/>
        <v>1</v>
      </c>
      <c r="F442" s="676"/>
      <c r="G442" s="24">
        <f t="shared" si="71"/>
        <v>1</v>
      </c>
      <c r="H442" s="676"/>
      <c r="I442" s="24">
        <f t="shared" si="72"/>
        <v>1</v>
      </c>
      <c r="J442" s="676"/>
      <c r="K442" s="24">
        <f t="shared" si="73"/>
        <v>1</v>
      </c>
      <c r="L442" s="676"/>
      <c r="M442" s="24">
        <f t="shared" si="74"/>
        <v>1</v>
      </c>
      <c r="N442" s="676"/>
      <c r="O442" s="24">
        <f t="shared" si="75"/>
        <v>1</v>
      </c>
      <c r="P442" s="676"/>
      <c r="Q442" s="24">
        <f t="shared" si="76"/>
        <v>1</v>
      </c>
      <c r="R442" s="672">
        <f t="shared" si="77"/>
        <v>0</v>
      </c>
      <c r="S442" s="322">
        <f t="shared" si="78"/>
        <v>0</v>
      </c>
    </row>
    <row r="443" spans="1:19">
      <c r="A443" s="155"/>
      <c r="B443" s="57"/>
      <c r="C443" s="24">
        <f t="shared" si="69"/>
        <v>1</v>
      </c>
      <c r="D443" s="676"/>
      <c r="E443" s="24">
        <f t="shared" si="70"/>
        <v>1</v>
      </c>
      <c r="F443" s="676"/>
      <c r="G443" s="24">
        <f t="shared" si="71"/>
        <v>1</v>
      </c>
      <c r="H443" s="676"/>
      <c r="I443" s="24">
        <f t="shared" si="72"/>
        <v>1</v>
      </c>
      <c r="J443" s="676"/>
      <c r="K443" s="24">
        <f t="shared" si="73"/>
        <v>1</v>
      </c>
      <c r="L443" s="676"/>
      <c r="M443" s="24">
        <f t="shared" si="74"/>
        <v>1</v>
      </c>
      <c r="N443" s="676"/>
      <c r="O443" s="24">
        <f t="shared" si="75"/>
        <v>1</v>
      </c>
      <c r="P443" s="676"/>
      <c r="Q443" s="24">
        <f t="shared" si="76"/>
        <v>1</v>
      </c>
      <c r="R443" s="672">
        <f t="shared" si="77"/>
        <v>0</v>
      </c>
      <c r="S443" s="322">
        <f t="shared" si="78"/>
        <v>0</v>
      </c>
    </row>
    <row r="444" spans="1:19">
      <c r="A444" s="155"/>
      <c r="B444" s="57"/>
      <c r="C444" s="24">
        <f t="shared" si="69"/>
        <v>1</v>
      </c>
      <c r="D444" s="676"/>
      <c r="E444" s="24">
        <f t="shared" si="70"/>
        <v>1</v>
      </c>
      <c r="F444" s="676"/>
      <c r="G444" s="24">
        <f t="shared" si="71"/>
        <v>1</v>
      </c>
      <c r="H444" s="676"/>
      <c r="I444" s="24">
        <f t="shared" si="72"/>
        <v>1</v>
      </c>
      <c r="J444" s="676"/>
      <c r="K444" s="24">
        <f t="shared" si="73"/>
        <v>1</v>
      </c>
      <c r="L444" s="676"/>
      <c r="M444" s="24">
        <f t="shared" si="74"/>
        <v>1</v>
      </c>
      <c r="N444" s="676"/>
      <c r="O444" s="24">
        <f t="shared" si="75"/>
        <v>1</v>
      </c>
      <c r="P444" s="676"/>
      <c r="Q444" s="24">
        <f t="shared" si="76"/>
        <v>1</v>
      </c>
      <c r="R444" s="672">
        <f t="shared" si="77"/>
        <v>0</v>
      </c>
      <c r="S444" s="322">
        <f t="shared" si="78"/>
        <v>0</v>
      </c>
    </row>
    <row r="445" spans="1:19">
      <c r="A445" s="155"/>
      <c r="B445" s="57"/>
      <c r="C445" s="24">
        <f t="shared" si="69"/>
        <v>1</v>
      </c>
      <c r="D445" s="676"/>
      <c r="E445" s="24">
        <f t="shared" si="70"/>
        <v>1</v>
      </c>
      <c r="F445" s="676"/>
      <c r="G445" s="24">
        <f t="shared" si="71"/>
        <v>1</v>
      </c>
      <c r="H445" s="676"/>
      <c r="I445" s="24">
        <f t="shared" si="72"/>
        <v>1</v>
      </c>
      <c r="J445" s="676"/>
      <c r="K445" s="24">
        <f t="shared" si="73"/>
        <v>1</v>
      </c>
      <c r="L445" s="676"/>
      <c r="M445" s="24">
        <f t="shared" si="74"/>
        <v>1</v>
      </c>
      <c r="N445" s="676"/>
      <c r="O445" s="24">
        <f t="shared" si="75"/>
        <v>1</v>
      </c>
      <c r="P445" s="676"/>
      <c r="Q445" s="24">
        <f t="shared" si="76"/>
        <v>1</v>
      </c>
      <c r="R445" s="672">
        <f t="shared" si="77"/>
        <v>0</v>
      </c>
      <c r="S445" s="322">
        <f t="shared" si="78"/>
        <v>0</v>
      </c>
    </row>
    <row r="446" spans="1:19">
      <c r="A446" s="155"/>
      <c r="B446" s="57"/>
      <c r="C446" s="24">
        <f t="shared" si="69"/>
        <v>1</v>
      </c>
      <c r="D446" s="676"/>
      <c r="E446" s="24">
        <f t="shared" si="70"/>
        <v>1</v>
      </c>
      <c r="F446" s="676"/>
      <c r="G446" s="24">
        <f t="shared" si="71"/>
        <v>1</v>
      </c>
      <c r="H446" s="676"/>
      <c r="I446" s="24">
        <f t="shared" si="72"/>
        <v>1</v>
      </c>
      <c r="J446" s="676"/>
      <c r="K446" s="24">
        <f t="shared" si="73"/>
        <v>1</v>
      </c>
      <c r="L446" s="676"/>
      <c r="M446" s="24">
        <f t="shared" si="74"/>
        <v>1</v>
      </c>
      <c r="N446" s="676"/>
      <c r="O446" s="24">
        <f t="shared" si="75"/>
        <v>1</v>
      </c>
      <c r="P446" s="676"/>
      <c r="Q446" s="24">
        <f t="shared" si="76"/>
        <v>1</v>
      </c>
      <c r="R446" s="672">
        <f t="shared" si="77"/>
        <v>0</v>
      </c>
      <c r="S446" s="322">
        <f t="shared" si="78"/>
        <v>0</v>
      </c>
    </row>
    <row r="447" spans="1:19">
      <c r="A447" s="155"/>
      <c r="B447" s="57"/>
      <c r="C447" s="24">
        <f t="shared" si="69"/>
        <v>1</v>
      </c>
      <c r="D447" s="676"/>
      <c r="E447" s="24">
        <f t="shared" si="70"/>
        <v>1</v>
      </c>
      <c r="F447" s="676"/>
      <c r="G447" s="24">
        <f t="shared" si="71"/>
        <v>1</v>
      </c>
      <c r="H447" s="676"/>
      <c r="I447" s="24">
        <f t="shared" si="72"/>
        <v>1</v>
      </c>
      <c r="J447" s="676"/>
      <c r="K447" s="24">
        <f t="shared" si="73"/>
        <v>1</v>
      </c>
      <c r="L447" s="676"/>
      <c r="M447" s="24">
        <f t="shared" si="74"/>
        <v>1</v>
      </c>
      <c r="N447" s="676"/>
      <c r="O447" s="24">
        <f t="shared" si="75"/>
        <v>1</v>
      </c>
      <c r="P447" s="676"/>
      <c r="Q447" s="24">
        <f t="shared" si="76"/>
        <v>1</v>
      </c>
      <c r="R447" s="672">
        <f t="shared" si="77"/>
        <v>0</v>
      </c>
      <c r="S447" s="322">
        <f t="shared" si="78"/>
        <v>0</v>
      </c>
    </row>
    <row r="448" spans="1:19">
      <c r="A448" s="155"/>
      <c r="B448" s="57"/>
      <c r="C448" s="24">
        <f t="shared" si="69"/>
        <v>1</v>
      </c>
      <c r="D448" s="676"/>
      <c r="E448" s="24">
        <f t="shared" si="70"/>
        <v>1</v>
      </c>
      <c r="F448" s="676"/>
      <c r="G448" s="24">
        <f t="shared" si="71"/>
        <v>1</v>
      </c>
      <c r="H448" s="676"/>
      <c r="I448" s="24">
        <f t="shared" si="72"/>
        <v>1</v>
      </c>
      <c r="J448" s="676"/>
      <c r="K448" s="24">
        <f t="shared" si="73"/>
        <v>1</v>
      </c>
      <c r="L448" s="676"/>
      <c r="M448" s="24">
        <f t="shared" si="74"/>
        <v>1</v>
      </c>
      <c r="N448" s="676"/>
      <c r="O448" s="24">
        <f t="shared" si="75"/>
        <v>1</v>
      </c>
      <c r="P448" s="676"/>
      <c r="Q448" s="24">
        <f t="shared" si="76"/>
        <v>1</v>
      </c>
      <c r="R448" s="672">
        <f t="shared" si="77"/>
        <v>0</v>
      </c>
      <c r="S448" s="322">
        <f t="shared" si="78"/>
        <v>0</v>
      </c>
    </row>
    <row r="449" spans="1:19">
      <c r="A449" s="155"/>
      <c r="B449" s="57"/>
      <c r="C449" s="24">
        <f t="shared" si="69"/>
        <v>1</v>
      </c>
      <c r="D449" s="676"/>
      <c r="E449" s="24">
        <f t="shared" si="70"/>
        <v>1</v>
      </c>
      <c r="F449" s="676"/>
      <c r="G449" s="24">
        <f t="shared" si="71"/>
        <v>1</v>
      </c>
      <c r="H449" s="676"/>
      <c r="I449" s="24">
        <f t="shared" si="72"/>
        <v>1</v>
      </c>
      <c r="J449" s="676"/>
      <c r="K449" s="24">
        <f t="shared" si="73"/>
        <v>1</v>
      </c>
      <c r="L449" s="676"/>
      <c r="M449" s="24">
        <f t="shared" si="74"/>
        <v>1</v>
      </c>
      <c r="N449" s="676"/>
      <c r="O449" s="24">
        <f t="shared" si="75"/>
        <v>1</v>
      </c>
      <c r="P449" s="676"/>
      <c r="Q449" s="24">
        <f t="shared" si="76"/>
        <v>1</v>
      </c>
      <c r="R449" s="672">
        <f t="shared" si="77"/>
        <v>0</v>
      </c>
      <c r="S449" s="322">
        <f t="shared" si="78"/>
        <v>0</v>
      </c>
    </row>
    <row r="450" spans="1:19">
      <c r="A450" s="155"/>
      <c r="B450" s="57"/>
      <c r="C450" s="24">
        <f t="shared" si="69"/>
        <v>1</v>
      </c>
      <c r="D450" s="676"/>
      <c r="E450" s="24">
        <f t="shared" si="70"/>
        <v>1</v>
      </c>
      <c r="F450" s="676"/>
      <c r="G450" s="24">
        <f t="shared" si="71"/>
        <v>1</v>
      </c>
      <c r="H450" s="676"/>
      <c r="I450" s="24">
        <f t="shared" si="72"/>
        <v>1</v>
      </c>
      <c r="J450" s="676"/>
      <c r="K450" s="24">
        <f t="shared" si="73"/>
        <v>1</v>
      </c>
      <c r="L450" s="676"/>
      <c r="M450" s="24">
        <f t="shared" si="74"/>
        <v>1</v>
      </c>
      <c r="N450" s="676"/>
      <c r="O450" s="24">
        <f t="shared" si="75"/>
        <v>1</v>
      </c>
      <c r="P450" s="676"/>
      <c r="Q450" s="24">
        <f t="shared" si="76"/>
        <v>1</v>
      </c>
      <c r="R450" s="672">
        <f t="shared" si="77"/>
        <v>0</v>
      </c>
      <c r="S450" s="322">
        <f t="shared" si="78"/>
        <v>0</v>
      </c>
    </row>
    <row r="451" spans="1:19">
      <c r="A451" s="155"/>
      <c r="B451" s="57"/>
      <c r="C451" s="24">
        <f t="shared" si="69"/>
        <v>1</v>
      </c>
      <c r="D451" s="676"/>
      <c r="E451" s="24">
        <f t="shared" si="70"/>
        <v>1</v>
      </c>
      <c r="F451" s="676"/>
      <c r="G451" s="24">
        <f t="shared" si="71"/>
        <v>1</v>
      </c>
      <c r="H451" s="676"/>
      <c r="I451" s="24">
        <f t="shared" si="72"/>
        <v>1</v>
      </c>
      <c r="J451" s="676"/>
      <c r="K451" s="24">
        <f t="shared" si="73"/>
        <v>1</v>
      </c>
      <c r="L451" s="676"/>
      <c r="M451" s="24">
        <f t="shared" si="74"/>
        <v>1</v>
      </c>
      <c r="N451" s="676"/>
      <c r="O451" s="24">
        <f t="shared" si="75"/>
        <v>1</v>
      </c>
      <c r="P451" s="676"/>
      <c r="Q451" s="24">
        <f t="shared" si="76"/>
        <v>1</v>
      </c>
      <c r="R451" s="672">
        <f t="shared" si="77"/>
        <v>0</v>
      </c>
      <c r="S451" s="322">
        <f t="shared" si="78"/>
        <v>0</v>
      </c>
    </row>
    <row r="452" spans="1:19">
      <c r="A452" s="155"/>
      <c r="B452" s="57"/>
      <c r="C452" s="24">
        <f t="shared" si="69"/>
        <v>1</v>
      </c>
      <c r="D452" s="676"/>
      <c r="E452" s="24">
        <f t="shared" si="70"/>
        <v>1</v>
      </c>
      <c r="F452" s="676"/>
      <c r="G452" s="24">
        <f t="shared" si="71"/>
        <v>1</v>
      </c>
      <c r="H452" s="676"/>
      <c r="I452" s="24">
        <f t="shared" si="72"/>
        <v>1</v>
      </c>
      <c r="J452" s="676"/>
      <c r="K452" s="24">
        <f t="shared" si="73"/>
        <v>1</v>
      </c>
      <c r="L452" s="676"/>
      <c r="M452" s="24">
        <f t="shared" si="74"/>
        <v>1</v>
      </c>
      <c r="N452" s="676"/>
      <c r="O452" s="24">
        <f t="shared" si="75"/>
        <v>1</v>
      </c>
      <c r="P452" s="676"/>
      <c r="Q452" s="24">
        <f t="shared" si="76"/>
        <v>1</v>
      </c>
      <c r="R452" s="672">
        <f t="shared" si="77"/>
        <v>0</v>
      </c>
      <c r="S452" s="322">
        <f t="shared" si="78"/>
        <v>0</v>
      </c>
    </row>
    <row r="453" spans="1:19">
      <c r="A453" s="155"/>
      <c r="B453" s="57"/>
      <c r="C453" s="24">
        <f t="shared" si="69"/>
        <v>1</v>
      </c>
      <c r="D453" s="676"/>
      <c r="E453" s="24">
        <f t="shared" si="70"/>
        <v>1</v>
      </c>
      <c r="F453" s="676"/>
      <c r="G453" s="24">
        <f t="shared" si="71"/>
        <v>1</v>
      </c>
      <c r="H453" s="676"/>
      <c r="I453" s="24">
        <f t="shared" si="72"/>
        <v>1</v>
      </c>
      <c r="J453" s="676"/>
      <c r="K453" s="24">
        <f t="shared" si="73"/>
        <v>1</v>
      </c>
      <c r="L453" s="676"/>
      <c r="M453" s="24">
        <f t="shared" si="74"/>
        <v>1</v>
      </c>
      <c r="N453" s="676"/>
      <c r="O453" s="24">
        <f t="shared" si="75"/>
        <v>1</v>
      </c>
      <c r="P453" s="676"/>
      <c r="Q453" s="24">
        <f t="shared" si="76"/>
        <v>1</v>
      </c>
      <c r="R453" s="672">
        <f t="shared" si="77"/>
        <v>0</v>
      </c>
      <c r="S453" s="322">
        <f t="shared" si="78"/>
        <v>0</v>
      </c>
    </row>
    <row r="454" spans="1:19">
      <c r="A454" s="155"/>
      <c r="B454" s="57"/>
      <c r="C454" s="24">
        <f t="shared" si="69"/>
        <v>1</v>
      </c>
      <c r="D454" s="676"/>
      <c r="E454" s="24">
        <f t="shared" si="70"/>
        <v>1</v>
      </c>
      <c r="F454" s="676"/>
      <c r="G454" s="24">
        <f t="shared" si="71"/>
        <v>1</v>
      </c>
      <c r="H454" s="676"/>
      <c r="I454" s="24">
        <f t="shared" si="72"/>
        <v>1</v>
      </c>
      <c r="J454" s="676"/>
      <c r="K454" s="24">
        <f t="shared" si="73"/>
        <v>1</v>
      </c>
      <c r="L454" s="676"/>
      <c r="M454" s="24">
        <f t="shared" si="74"/>
        <v>1</v>
      </c>
      <c r="N454" s="676"/>
      <c r="O454" s="24">
        <f t="shared" si="75"/>
        <v>1</v>
      </c>
      <c r="P454" s="676"/>
      <c r="Q454" s="24">
        <f t="shared" si="76"/>
        <v>1</v>
      </c>
      <c r="R454" s="672">
        <f t="shared" si="77"/>
        <v>0</v>
      </c>
      <c r="S454" s="322">
        <f t="shared" si="78"/>
        <v>0</v>
      </c>
    </row>
    <row r="455" spans="1:19">
      <c r="A455" s="155"/>
      <c r="B455" s="57"/>
      <c r="C455" s="24">
        <f t="shared" si="69"/>
        <v>1</v>
      </c>
      <c r="D455" s="676"/>
      <c r="E455" s="24">
        <f t="shared" si="70"/>
        <v>1</v>
      </c>
      <c r="F455" s="676"/>
      <c r="G455" s="24">
        <f t="shared" si="71"/>
        <v>1</v>
      </c>
      <c r="H455" s="676"/>
      <c r="I455" s="24">
        <f t="shared" si="72"/>
        <v>1</v>
      </c>
      <c r="J455" s="676"/>
      <c r="K455" s="24">
        <f t="shared" si="73"/>
        <v>1</v>
      </c>
      <c r="L455" s="676"/>
      <c r="M455" s="24">
        <f t="shared" si="74"/>
        <v>1</v>
      </c>
      <c r="N455" s="676"/>
      <c r="O455" s="24">
        <f t="shared" si="75"/>
        <v>1</v>
      </c>
      <c r="P455" s="676"/>
      <c r="Q455" s="24">
        <f t="shared" si="76"/>
        <v>1</v>
      </c>
      <c r="R455" s="672">
        <f t="shared" si="77"/>
        <v>0</v>
      </c>
      <c r="S455" s="322">
        <f t="shared" si="78"/>
        <v>0</v>
      </c>
    </row>
    <row r="456" spans="1:19">
      <c r="A456" s="155"/>
      <c r="B456" s="57"/>
      <c r="C456" s="24">
        <f t="shared" si="69"/>
        <v>1</v>
      </c>
      <c r="D456" s="676"/>
      <c r="E456" s="24">
        <f t="shared" si="70"/>
        <v>1</v>
      </c>
      <c r="F456" s="676"/>
      <c r="G456" s="24">
        <f t="shared" si="71"/>
        <v>1</v>
      </c>
      <c r="H456" s="676"/>
      <c r="I456" s="24">
        <f t="shared" si="72"/>
        <v>1</v>
      </c>
      <c r="J456" s="676"/>
      <c r="K456" s="24">
        <f t="shared" si="73"/>
        <v>1</v>
      </c>
      <c r="L456" s="676"/>
      <c r="M456" s="24">
        <f t="shared" si="74"/>
        <v>1</v>
      </c>
      <c r="N456" s="676"/>
      <c r="O456" s="24">
        <f t="shared" si="75"/>
        <v>1</v>
      </c>
      <c r="P456" s="676"/>
      <c r="Q456" s="24">
        <f t="shared" si="76"/>
        <v>1</v>
      </c>
      <c r="R456" s="672">
        <f t="shared" si="77"/>
        <v>0</v>
      </c>
      <c r="S456" s="322">
        <f t="shared" si="78"/>
        <v>0</v>
      </c>
    </row>
    <row r="457" spans="1:19">
      <c r="A457" s="155"/>
      <c r="B457" s="57"/>
      <c r="C457" s="24">
        <f t="shared" si="69"/>
        <v>1</v>
      </c>
      <c r="D457" s="676"/>
      <c r="E457" s="24">
        <f t="shared" si="70"/>
        <v>1</v>
      </c>
      <c r="F457" s="676"/>
      <c r="G457" s="24">
        <f t="shared" si="71"/>
        <v>1</v>
      </c>
      <c r="H457" s="676"/>
      <c r="I457" s="24">
        <f t="shared" si="72"/>
        <v>1</v>
      </c>
      <c r="J457" s="676"/>
      <c r="K457" s="24">
        <f t="shared" si="73"/>
        <v>1</v>
      </c>
      <c r="L457" s="676"/>
      <c r="M457" s="24">
        <f t="shared" si="74"/>
        <v>1</v>
      </c>
      <c r="N457" s="676"/>
      <c r="O457" s="24">
        <f t="shared" si="75"/>
        <v>1</v>
      </c>
      <c r="P457" s="676"/>
      <c r="Q457" s="24">
        <f t="shared" si="76"/>
        <v>1</v>
      </c>
      <c r="R457" s="672">
        <f t="shared" si="77"/>
        <v>0</v>
      </c>
      <c r="S457" s="322">
        <f t="shared" si="78"/>
        <v>0</v>
      </c>
    </row>
    <row r="458" spans="1:19">
      <c r="A458" s="155"/>
      <c r="B458" s="57"/>
      <c r="C458" s="24">
        <f t="shared" si="69"/>
        <v>1</v>
      </c>
      <c r="D458" s="676"/>
      <c r="E458" s="24">
        <f t="shared" si="70"/>
        <v>1</v>
      </c>
      <c r="F458" s="676"/>
      <c r="G458" s="24">
        <f t="shared" si="71"/>
        <v>1</v>
      </c>
      <c r="H458" s="676"/>
      <c r="I458" s="24">
        <f t="shared" si="72"/>
        <v>1</v>
      </c>
      <c r="J458" s="676"/>
      <c r="K458" s="24">
        <f t="shared" si="73"/>
        <v>1</v>
      </c>
      <c r="L458" s="676"/>
      <c r="M458" s="24">
        <f t="shared" si="74"/>
        <v>1</v>
      </c>
      <c r="N458" s="676"/>
      <c r="O458" s="24">
        <f t="shared" si="75"/>
        <v>1</v>
      </c>
      <c r="P458" s="676"/>
      <c r="Q458" s="24">
        <f t="shared" si="76"/>
        <v>1</v>
      </c>
      <c r="R458" s="672">
        <f t="shared" si="77"/>
        <v>0</v>
      </c>
      <c r="S458" s="322">
        <f t="shared" si="78"/>
        <v>0</v>
      </c>
    </row>
    <row r="459" spans="1:19">
      <c r="A459" s="155"/>
      <c r="B459" s="57"/>
      <c r="C459" s="24">
        <f t="shared" si="69"/>
        <v>1</v>
      </c>
      <c r="D459" s="676"/>
      <c r="E459" s="24">
        <f t="shared" si="70"/>
        <v>1</v>
      </c>
      <c r="F459" s="676"/>
      <c r="G459" s="24">
        <f t="shared" si="71"/>
        <v>1</v>
      </c>
      <c r="H459" s="676"/>
      <c r="I459" s="24">
        <f t="shared" si="72"/>
        <v>1</v>
      </c>
      <c r="J459" s="676"/>
      <c r="K459" s="24">
        <f t="shared" si="73"/>
        <v>1</v>
      </c>
      <c r="L459" s="676"/>
      <c r="M459" s="24">
        <f t="shared" si="74"/>
        <v>1</v>
      </c>
      <c r="N459" s="676"/>
      <c r="O459" s="24">
        <f t="shared" si="75"/>
        <v>1</v>
      </c>
      <c r="P459" s="676"/>
      <c r="Q459" s="24">
        <f t="shared" si="76"/>
        <v>1</v>
      </c>
      <c r="R459" s="672">
        <f t="shared" si="77"/>
        <v>0</v>
      </c>
      <c r="S459" s="322">
        <f t="shared" si="78"/>
        <v>0</v>
      </c>
    </row>
    <row r="460" spans="1:19">
      <c r="A460" s="155"/>
      <c r="B460" s="57"/>
      <c r="C460" s="24">
        <f t="shared" si="69"/>
        <v>1</v>
      </c>
      <c r="D460" s="676"/>
      <c r="E460" s="24">
        <f t="shared" si="70"/>
        <v>1</v>
      </c>
      <c r="F460" s="676"/>
      <c r="G460" s="24">
        <f t="shared" si="71"/>
        <v>1</v>
      </c>
      <c r="H460" s="676"/>
      <c r="I460" s="24">
        <f t="shared" si="72"/>
        <v>1</v>
      </c>
      <c r="J460" s="676"/>
      <c r="K460" s="24">
        <f t="shared" si="73"/>
        <v>1</v>
      </c>
      <c r="L460" s="676"/>
      <c r="M460" s="24">
        <f t="shared" si="74"/>
        <v>1</v>
      </c>
      <c r="N460" s="676"/>
      <c r="O460" s="24">
        <f t="shared" si="75"/>
        <v>1</v>
      </c>
      <c r="P460" s="676"/>
      <c r="Q460" s="24">
        <f t="shared" si="76"/>
        <v>1</v>
      </c>
      <c r="R460" s="672">
        <f t="shared" si="77"/>
        <v>0</v>
      </c>
      <c r="S460" s="322">
        <f t="shared" si="78"/>
        <v>0</v>
      </c>
    </row>
    <row r="461" spans="1:19">
      <c r="A461" s="155"/>
      <c r="B461" s="57"/>
      <c r="C461" s="24">
        <f t="shared" si="69"/>
        <v>1</v>
      </c>
      <c r="D461" s="676"/>
      <c r="E461" s="24">
        <f t="shared" si="70"/>
        <v>1</v>
      </c>
      <c r="F461" s="676"/>
      <c r="G461" s="24">
        <f t="shared" si="71"/>
        <v>1</v>
      </c>
      <c r="H461" s="676"/>
      <c r="I461" s="24">
        <f t="shared" si="72"/>
        <v>1</v>
      </c>
      <c r="J461" s="676"/>
      <c r="K461" s="24">
        <f t="shared" si="73"/>
        <v>1</v>
      </c>
      <c r="L461" s="676"/>
      <c r="M461" s="24">
        <f t="shared" si="74"/>
        <v>1</v>
      </c>
      <c r="N461" s="676"/>
      <c r="O461" s="24">
        <f t="shared" si="75"/>
        <v>1</v>
      </c>
      <c r="P461" s="676"/>
      <c r="Q461" s="24">
        <f t="shared" si="76"/>
        <v>1</v>
      </c>
      <c r="R461" s="672">
        <f t="shared" si="77"/>
        <v>0</v>
      </c>
      <c r="S461" s="322">
        <f t="shared" si="78"/>
        <v>0</v>
      </c>
    </row>
    <row r="462" spans="1:19">
      <c r="A462" s="155"/>
      <c r="B462" s="57"/>
      <c r="C462" s="24">
        <f t="shared" si="69"/>
        <v>1</v>
      </c>
      <c r="D462" s="676"/>
      <c r="E462" s="24">
        <f t="shared" si="70"/>
        <v>1</v>
      </c>
      <c r="F462" s="676"/>
      <c r="G462" s="24">
        <f t="shared" si="71"/>
        <v>1</v>
      </c>
      <c r="H462" s="676"/>
      <c r="I462" s="24">
        <f t="shared" si="72"/>
        <v>1</v>
      </c>
      <c r="J462" s="676"/>
      <c r="K462" s="24">
        <f t="shared" si="73"/>
        <v>1</v>
      </c>
      <c r="L462" s="676"/>
      <c r="M462" s="24">
        <f t="shared" si="74"/>
        <v>1</v>
      </c>
      <c r="N462" s="676"/>
      <c r="O462" s="24">
        <f t="shared" si="75"/>
        <v>1</v>
      </c>
      <c r="P462" s="676"/>
      <c r="Q462" s="24">
        <f t="shared" si="76"/>
        <v>1</v>
      </c>
      <c r="R462" s="672">
        <f t="shared" si="77"/>
        <v>0</v>
      </c>
      <c r="S462" s="322">
        <f t="shared" si="78"/>
        <v>0</v>
      </c>
    </row>
    <row r="463" spans="1:19">
      <c r="A463" s="155"/>
      <c r="B463" s="57"/>
      <c r="C463" s="24">
        <f t="shared" si="69"/>
        <v>1</v>
      </c>
      <c r="D463" s="676"/>
      <c r="E463" s="24">
        <f t="shared" si="70"/>
        <v>1</v>
      </c>
      <c r="F463" s="676"/>
      <c r="G463" s="24">
        <f t="shared" si="71"/>
        <v>1</v>
      </c>
      <c r="H463" s="676"/>
      <c r="I463" s="24">
        <f t="shared" si="72"/>
        <v>1</v>
      </c>
      <c r="J463" s="676"/>
      <c r="K463" s="24">
        <f t="shared" si="73"/>
        <v>1</v>
      </c>
      <c r="L463" s="676"/>
      <c r="M463" s="24">
        <f t="shared" si="74"/>
        <v>1</v>
      </c>
      <c r="N463" s="676"/>
      <c r="O463" s="24">
        <f t="shared" si="75"/>
        <v>1</v>
      </c>
      <c r="P463" s="676"/>
      <c r="Q463" s="24">
        <f t="shared" si="76"/>
        <v>1</v>
      </c>
      <c r="R463" s="672">
        <f t="shared" si="77"/>
        <v>0</v>
      </c>
      <c r="S463" s="322">
        <f t="shared" si="78"/>
        <v>0</v>
      </c>
    </row>
    <row r="464" spans="1:19">
      <c r="A464" s="155"/>
      <c r="B464" s="57"/>
      <c r="C464" s="24">
        <f t="shared" si="69"/>
        <v>1</v>
      </c>
      <c r="D464" s="676"/>
      <c r="E464" s="24">
        <f t="shared" si="70"/>
        <v>1</v>
      </c>
      <c r="F464" s="676"/>
      <c r="G464" s="24">
        <f t="shared" si="71"/>
        <v>1</v>
      </c>
      <c r="H464" s="676"/>
      <c r="I464" s="24">
        <f t="shared" si="72"/>
        <v>1</v>
      </c>
      <c r="J464" s="676"/>
      <c r="K464" s="24">
        <f t="shared" si="73"/>
        <v>1</v>
      </c>
      <c r="L464" s="676"/>
      <c r="M464" s="24">
        <f t="shared" si="74"/>
        <v>1</v>
      </c>
      <c r="N464" s="676"/>
      <c r="O464" s="24">
        <f t="shared" si="75"/>
        <v>1</v>
      </c>
      <c r="P464" s="676"/>
      <c r="Q464" s="24">
        <f t="shared" si="76"/>
        <v>1</v>
      </c>
      <c r="R464" s="672">
        <f t="shared" si="77"/>
        <v>0</v>
      </c>
      <c r="S464" s="322">
        <f t="shared" si="78"/>
        <v>0</v>
      </c>
    </row>
    <row r="465" spans="1:19">
      <c r="A465" s="155"/>
      <c r="B465" s="57"/>
      <c r="C465" s="24">
        <f t="shared" si="69"/>
        <v>1</v>
      </c>
      <c r="D465" s="676"/>
      <c r="E465" s="24">
        <f t="shared" si="70"/>
        <v>1</v>
      </c>
      <c r="F465" s="676"/>
      <c r="G465" s="24">
        <f t="shared" si="71"/>
        <v>1</v>
      </c>
      <c r="H465" s="676"/>
      <c r="I465" s="24">
        <f t="shared" si="72"/>
        <v>1</v>
      </c>
      <c r="J465" s="676"/>
      <c r="K465" s="24">
        <f t="shared" si="73"/>
        <v>1</v>
      </c>
      <c r="L465" s="676"/>
      <c r="M465" s="24">
        <f t="shared" si="74"/>
        <v>1</v>
      </c>
      <c r="N465" s="676"/>
      <c r="O465" s="24">
        <f t="shared" si="75"/>
        <v>1</v>
      </c>
      <c r="P465" s="676"/>
      <c r="Q465" s="24">
        <f t="shared" si="76"/>
        <v>1</v>
      </c>
      <c r="R465" s="672">
        <f t="shared" si="77"/>
        <v>0</v>
      </c>
      <c r="S465" s="322">
        <f t="shared" si="78"/>
        <v>0</v>
      </c>
    </row>
    <row r="466" spans="1:19">
      <c r="A466" s="155"/>
      <c r="B466" s="57"/>
      <c r="C466" s="24">
        <f t="shared" si="69"/>
        <v>1</v>
      </c>
      <c r="D466" s="676"/>
      <c r="E466" s="24">
        <f t="shared" si="70"/>
        <v>1</v>
      </c>
      <c r="F466" s="676"/>
      <c r="G466" s="24">
        <f t="shared" si="71"/>
        <v>1</v>
      </c>
      <c r="H466" s="676"/>
      <c r="I466" s="24">
        <f t="shared" si="72"/>
        <v>1</v>
      </c>
      <c r="J466" s="676"/>
      <c r="K466" s="24">
        <f t="shared" si="73"/>
        <v>1</v>
      </c>
      <c r="L466" s="676"/>
      <c r="M466" s="24">
        <f t="shared" si="74"/>
        <v>1</v>
      </c>
      <c r="N466" s="676"/>
      <c r="O466" s="24">
        <f t="shared" si="75"/>
        <v>1</v>
      </c>
      <c r="P466" s="676"/>
      <c r="Q466" s="24">
        <f t="shared" si="76"/>
        <v>1</v>
      </c>
      <c r="R466" s="672">
        <f t="shared" si="77"/>
        <v>0</v>
      </c>
      <c r="S466" s="322">
        <f t="shared" si="78"/>
        <v>0</v>
      </c>
    </row>
    <row r="467" spans="1:19">
      <c r="A467" s="155"/>
      <c r="B467" s="57"/>
      <c r="C467" s="24">
        <f t="shared" si="69"/>
        <v>1</v>
      </c>
      <c r="D467" s="676"/>
      <c r="E467" s="24">
        <f t="shared" si="70"/>
        <v>1</v>
      </c>
      <c r="F467" s="676"/>
      <c r="G467" s="24">
        <f t="shared" si="71"/>
        <v>1</v>
      </c>
      <c r="H467" s="676"/>
      <c r="I467" s="24">
        <f t="shared" si="72"/>
        <v>1</v>
      </c>
      <c r="J467" s="676"/>
      <c r="K467" s="24">
        <f t="shared" si="73"/>
        <v>1</v>
      </c>
      <c r="L467" s="676"/>
      <c r="M467" s="24">
        <f t="shared" si="74"/>
        <v>1</v>
      </c>
      <c r="N467" s="676"/>
      <c r="O467" s="24">
        <f t="shared" si="75"/>
        <v>1</v>
      </c>
      <c r="P467" s="676"/>
      <c r="Q467" s="24">
        <f t="shared" si="76"/>
        <v>1</v>
      </c>
      <c r="R467" s="672">
        <f t="shared" si="77"/>
        <v>0</v>
      </c>
      <c r="S467" s="322">
        <f t="shared" si="78"/>
        <v>0</v>
      </c>
    </row>
    <row r="468" spans="1:19">
      <c r="A468" s="155"/>
      <c r="B468" s="57"/>
      <c r="C468" s="24">
        <f t="shared" si="69"/>
        <v>1</v>
      </c>
      <c r="D468" s="676"/>
      <c r="E468" s="24">
        <f t="shared" si="70"/>
        <v>1</v>
      </c>
      <c r="F468" s="676"/>
      <c r="G468" s="24">
        <f t="shared" si="71"/>
        <v>1</v>
      </c>
      <c r="H468" s="676"/>
      <c r="I468" s="24">
        <f t="shared" si="72"/>
        <v>1</v>
      </c>
      <c r="J468" s="676"/>
      <c r="K468" s="24">
        <f t="shared" si="73"/>
        <v>1</v>
      </c>
      <c r="L468" s="676"/>
      <c r="M468" s="24">
        <f t="shared" si="74"/>
        <v>1</v>
      </c>
      <c r="N468" s="676"/>
      <c r="O468" s="24">
        <f t="shared" si="75"/>
        <v>1</v>
      </c>
      <c r="P468" s="676"/>
      <c r="Q468" s="24">
        <f t="shared" si="76"/>
        <v>1</v>
      </c>
      <c r="R468" s="672">
        <f t="shared" si="77"/>
        <v>0</v>
      </c>
      <c r="S468" s="322">
        <f t="shared" ref="S468:S497" si="79">ROUND(R468*B468/10000,0)</f>
        <v>0</v>
      </c>
    </row>
    <row r="469" spans="1:19">
      <c r="A469" s="155"/>
      <c r="B469" s="57"/>
      <c r="C469" s="24">
        <f t="shared" si="69"/>
        <v>1</v>
      </c>
      <c r="D469" s="676"/>
      <c r="E469" s="24">
        <f t="shared" si="70"/>
        <v>1</v>
      </c>
      <c r="F469" s="676"/>
      <c r="G469" s="24">
        <f t="shared" si="71"/>
        <v>1</v>
      </c>
      <c r="H469" s="676"/>
      <c r="I469" s="24">
        <f t="shared" si="72"/>
        <v>1</v>
      </c>
      <c r="J469" s="676"/>
      <c r="K469" s="24">
        <f t="shared" si="73"/>
        <v>1</v>
      </c>
      <c r="L469" s="676"/>
      <c r="M469" s="24">
        <f t="shared" si="74"/>
        <v>1</v>
      </c>
      <c r="N469" s="676"/>
      <c r="O469" s="24">
        <f t="shared" si="75"/>
        <v>1</v>
      </c>
      <c r="P469" s="676"/>
      <c r="Q469" s="24">
        <f t="shared" si="76"/>
        <v>1</v>
      </c>
      <c r="R469" s="672">
        <f t="shared" si="77"/>
        <v>0</v>
      </c>
      <c r="S469" s="322">
        <f t="shared" si="79"/>
        <v>0</v>
      </c>
    </row>
    <row r="470" spans="1:19">
      <c r="A470" s="155"/>
      <c r="B470" s="57"/>
      <c r="C470" s="24">
        <f t="shared" si="69"/>
        <v>1</v>
      </c>
      <c r="D470" s="676"/>
      <c r="E470" s="24">
        <f t="shared" si="70"/>
        <v>1</v>
      </c>
      <c r="F470" s="676"/>
      <c r="G470" s="24">
        <f t="shared" si="71"/>
        <v>1</v>
      </c>
      <c r="H470" s="676"/>
      <c r="I470" s="24">
        <f t="shared" si="72"/>
        <v>1</v>
      </c>
      <c r="J470" s="676"/>
      <c r="K470" s="24">
        <f t="shared" si="73"/>
        <v>1</v>
      </c>
      <c r="L470" s="676"/>
      <c r="M470" s="24">
        <f t="shared" si="74"/>
        <v>1</v>
      </c>
      <c r="N470" s="676"/>
      <c r="O470" s="24">
        <f t="shared" si="75"/>
        <v>1</v>
      </c>
      <c r="P470" s="676"/>
      <c r="Q470" s="24">
        <f t="shared" si="76"/>
        <v>1</v>
      </c>
      <c r="R470" s="672">
        <f t="shared" si="77"/>
        <v>0</v>
      </c>
      <c r="S470" s="322">
        <f t="shared" si="79"/>
        <v>0</v>
      </c>
    </row>
    <row r="471" spans="1:19">
      <c r="A471" s="155"/>
      <c r="B471" s="57"/>
      <c r="C471" s="24">
        <f t="shared" si="69"/>
        <v>1</v>
      </c>
      <c r="D471" s="676"/>
      <c r="E471" s="24">
        <f t="shared" si="70"/>
        <v>1</v>
      </c>
      <c r="F471" s="676"/>
      <c r="G471" s="24">
        <f t="shared" si="71"/>
        <v>1</v>
      </c>
      <c r="H471" s="676"/>
      <c r="I471" s="24">
        <f t="shared" si="72"/>
        <v>1</v>
      </c>
      <c r="J471" s="676"/>
      <c r="K471" s="24">
        <f t="shared" si="73"/>
        <v>1</v>
      </c>
      <c r="L471" s="676"/>
      <c r="M471" s="24">
        <f t="shared" si="74"/>
        <v>1</v>
      </c>
      <c r="N471" s="676"/>
      <c r="O471" s="24">
        <f t="shared" si="75"/>
        <v>1</v>
      </c>
      <c r="P471" s="676"/>
      <c r="Q471" s="24">
        <f t="shared" si="76"/>
        <v>1</v>
      </c>
      <c r="R471" s="672">
        <f t="shared" si="77"/>
        <v>0</v>
      </c>
      <c r="S471" s="322">
        <f t="shared" si="79"/>
        <v>0</v>
      </c>
    </row>
    <row r="472" spans="1:19">
      <c r="A472" s="155"/>
      <c r="B472" s="57"/>
      <c r="C472" s="24">
        <f t="shared" si="69"/>
        <v>1</v>
      </c>
      <c r="D472" s="676"/>
      <c r="E472" s="24">
        <f t="shared" si="70"/>
        <v>1</v>
      </c>
      <c r="F472" s="676"/>
      <c r="G472" s="24">
        <f t="shared" si="71"/>
        <v>1</v>
      </c>
      <c r="H472" s="676"/>
      <c r="I472" s="24">
        <f t="shared" si="72"/>
        <v>1</v>
      </c>
      <c r="J472" s="676"/>
      <c r="K472" s="24">
        <f t="shared" si="73"/>
        <v>1</v>
      </c>
      <c r="L472" s="676"/>
      <c r="M472" s="24">
        <f t="shared" si="74"/>
        <v>1</v>
      </c>
      <c r="N472" s="676"/>
      <c r="O472" s="24">
        <f t="shared" si="75"/>
        <v>1</v>
      </c>
      <c r="P472" s="676"/>
      <c r="Q472" s="24">
        <f t="shared" si="76"/>
        <v>1</v>
      </c>
      <c r="R472" s="672">
        <f t="shared" si="77"/>
        <v>0</v>
      </c>
      <c r="S472" s="322">
        <f t="shared" si="79"/>
        <v>0</v>
      </c>
    </row>
    <row r="473" spans="1:19">
      <c r="A473" s="155"/>
      <c r="B473" s="57"/>
      <c r="C473" s="24">
        <f t="shared" si="69"/>
        <v>1</v>
      </c>
      <c r="D473" s="676"/>
      <c r="E473" s="24">
        <f t="shared" si="70"/>
        <v>1</v>
      </c>
      <c r="F473" s="676"/>
      <c r="G473" s="24">
        <f t="shared" si="71"/>
        <v>1</v>
      </c>
      <c r="H473" s="676"/>
      <c r="I473" s="24">
        <f t="shared" si="72"/>
        <v>1</v>
      </c>
      <c r="J473" s="676"/>
      <c r="K473" s="24">
        <f t="shared" si="73"/>
        <v>1</v>
      </c>
      <c r="L473" s="676"/>
      <c r="M473" s="24">
        <f t="shared" si="74"/>
        <v>1</v>
      </c>
      <c r="N473" s="676"/>
      <c r="O473" s="24">
        <f t="shared" si="75"/>
        <v>1</v>
      </c>
      <c r="P473" s="676"/>
      <c r="Q473" s="24">
        <f t="shared" si="76"/>
        <v>1</v>
      </c>
      <c r="R473" s="672">
        <f t="shared" si="77"/>
        <v>0</v>
      </c>
      <c r="S473" s="322">
        <f t="shared" si="79"/>
        <v>0</v>
      </c>
    </row>
    <row r="474" spans="1:19">
      <c r="A474" s="155"/>
      <c r="B474" s="57"/>
      <c r="C474" s="24">
        <f t="shared" ref="C474:C524" si="80">IF(B474="",1,(LOOKUP(B474,$3:$3,$4:$4)-LOOKUP($B$24,$3:$3,$4:$4)+100)/100)</f>
        <v>1</v>
      </c>
      <c r="D474" s="676"/>
      <c r="E474" s="24">
        <f t="shared" ref="E474:E524" si="81">(SUMIF($5:$5,D474,$6:$6)-SUMIF($5:$5,$D$24,$6:$6)+100)/100</f>
        <v>1</v>
      </c>
      <c r="F474" s="676"/>
      <c r="G474" s="24">
        <f t="shared" ref="G474:G524" si="82">(SUMIF($7:$7,F474,$8:$8)-SUMIF($7:$7,$F$24,$8:$8)+100)/100</f>
        <v>1</v>
      </c>
      <c r="H474" s="676"/>
      <c r="I474" s="24">
        <f t="shared" ref="I474:I524" si="83">(SUMIF($9:$9,H474,$10:$10)-SUMIF($9:$9,$H$24,$10:$10)+100)/100</f>
        <v>1</v>
      </c>
      <c r="J474" s="676"/>
      <c r="K474" s="24">
        <f t="shared" ref="K474:K524" si="84">(SUMIF($11:$11,J474,$12:$12)-SUMIF($11:$11,$J$24,$12:$12)+100)/100</f>
        <v>1</v>
      </c>
      <c r="L474" s="676"/>
      <c r="M474" s="24">
        <f t="shared" ref="M474:M524" si="85">(SUMIF($13:$13,L474,$14:$14)-SUMIF($13:$13,$L$24,$14:$14)+100)/100</f>
        <v>1</v>
      </c>
      <c r="N474" s="676"/>
      <c r="O474" s="24">
        <f t="shared" ref="O474:O524" si="86">(SUMIF($15:$15,N474,$16:$16)-SUMIF($15:$15,$N$24,$16:$16)+100)/100</f>
        <v>1</v>
      </c>
      <c r="P474" s="676"/>
      <c r="Q474" s="24">
        <f t="shared" ref="Q474:Q524" si="87">(SUMIF($17:$17,P474,$18:$18)-SUMIF($17:$17,$P$24,$18:$18)+100)/100</f>
        <v>1</v>
      </c>
      <c r="R474" s="672">
        <f t="shared" ref="R474:R524" si="88">IF(B474="",0,ROUND($R$24*C474*E474*G474*I474*K474*M474*O474*Q474,0))</f>
        <v>0</v>
      </c>
      <c r="S474" s="322">
        <f t="shared" si="79"/>
        <v>0</v>
      </c>
    </row>
    <row r="475" spans="1:19">
      <c r="A475" s="155"/>
      <c r="B475" s="57"/>
      <c r="C475" s="24">
        <f t="shared" si="80"/>
        <v>1</v>
      </c>
      <c r="D475" s="676"/>
      <c r="E475" s="24">
        <f t="shared" si="81"/>
        <v>1</v>
      </c>
      <c r="F475" s="676"/>
      <c r="G475" s="24">
        <f t="shared" si="82"/>
        <v>1</v>
      </c>
      <c r="H475" s="676"/>
      <c r="I475" s="24">
        <f t="shared" si="83"/>
        <v>1</v>
      </c>
      <c r="J475" s="676"/>
      <c r="K475" s="24">
        <f t="shared" si="84"/>
        <v>1</v>
      </c>
      <c r="L475" s="676"/>
      <c r="M475" s="24">
        <f t="shared" si="85"/>
        <v>1</v>
      </c>
      <c r="N475" s="676"/>
      <c r="O475" s="24">
        <f t="shared" si="86"/>
        <v>1</v>
      </c>
      <c r="P475" s="676"/>
      <c r="Q475" s="24">
        <f t="shared" si="87"/>
        <v>1</v>
      </c>
      <c r="R475" s="672">
        <f t="shared" si="88"/>
        <v>0</v>
      </c>
      <c r="S475" s="322">
        <f t="shared" si="79"/>
        <v>0</v>
      </c>
    </row>
    <row r="476" spans="1:19">
      <c r="A476" s="155"/>
      <c r="B476" s="57"/>
      <c r="C476" s="24">
        <f t="shared" si="80"/>
        <v>1</v>
      </c>
      <c r="D476" s="676"/>
      <c r="E476" s="24">
        <f t="shared" si="81"/>
        <v>1</v>
      </c>
      <c r="F476" s="676"/>
      <c r="G476" s="24">
        <f t="shared" si="82"/>
        <v>1</v>
      </c>
      <c r="H476" s="676"/>
      <c r="I476" s="24">
        <f t="shared" si="83"/>
        <v>1</v>
      </c>
      <c r="J476" s="676"/>
      <c r="K476" s="24">
        <f t="shared" si="84"/>
        <v>1</v>
      </c>
      <c r="L476" s="676"/>
      <c r="M476" s="24">
        <f t="shared" si="85"/>
        <v>1</v>
      </c>
      <c r="N476" s="676"/>
      <c r="O476" s="24">
        <f t="shared" si="86"/>
        <v>1</v>
      </c>
      <c r="P476" s="676"/>
      <c r="Q476" s="24">
        <f t="shared" si="87"/>
        <v>1</v>
      </c>
      <c r="R476" s="672">
        <f t="shared" si="88"/>
        <v>0</v>
      </c>
      <c r="S476" s="322">
        <f t="shared" si="79"/>
        <v>0</v>
      </c>
    </row>
    <row r="477" spans="1:19">
      <c r="A477" s="155"/>
      <c r="B477" s="57"/>
      <c r="C477" s="24">
        <f t="shared" si="80"/>
        <v>1</v>
      </c>
      <c r="D477" s="676"/>
      <c r="E477" s="24">
        <f t="shared" si="81"/>
        <v>1</v>
      </c>
      <c r="F477" s="676"/>
      <c r="G477" s="24">
        <f t="shared" si="82"/>
        <v>1</v>
      </c>
      <c r="H477" s="676"/>
      <c r="I477" s="24">
        <f t="shared" si="83"/>
        <v>1</v>
      </c>
      <c r="J477" s="676"/>
      <c r="K477" s="24">
        <f t="shared" si="84"/>
        <v>1</v>
      </c>
      <c r="L477" s="676"/>
      <c r="M477" s="24">
        <f t="shared" si="85"/>
        <v>1</v>
      </c>
      <c r="N477" s="676"/>
      <c r="O477" s="24">
        <f t="shared" si="86"/>
        <v>1</v>
      </c>
      <c r="P477" s="676"/>
      <c r="Q477" s="24">
        <f t="shared" si="87"/>
        <v>1</v>
      </c>
      <c r="R477" s="672">
        <f t="shared" si="88"/>
        <v>0</v>
      </c>
      <c r="S477" s="322">
        <f t="shared" si="79"/>
        <v>0</v>
      </c>
    </row>
    <row r="478" spans="1:19">
      <c r="A478" s="155"/>
      <c r="B478" s="57"/>
      <c r="C478" s="24">
        <f t="shared" si="80"/>
        <v>1</v>
      </c>
      <c r="D478" s="676"/>
      <c r="E478" s="24">
        <f t="shared" si="81"/>
        <v>1</v>
      </c>
      <c r="F478" s="676"/>
      <c r="G478" s="24">
        <f t="shared" si="82"/>
        <v>1</v>
      </c>
      <c r="H478" s="676"/>
      <c r="I478" s="24">
        <f t="shared" si="83"/>
        <v>1</v>
      </c>
      <c r="J478" s="676"/>
      <c r="K478" s="24">
        <f t="shared" si="84"/>
        <v>1</v>
      </c>
      <c r="L478" s="676"/>
      <c r="M478" s="24">
        <f t="shared" si="85"/>
        <v>1</v>
      </c>
      <c r="N478" s="676"/>
      <c r="O478" s="24">
        <f t="shared" si="86"/>
        <v>1</v>
      </c>
      <c r="P478" s="676"/>
      <c r="Q478" s="24">
        <f t="shared" si="87"/>
        <v>1</v>
      </c>
      <c r="R478" s="672">
        <f t="shared" si="88"/>
        <v>0</v>
      </c>
      <c r="S478" s="322">
        <f t="shared" si="79"/>
        <v>0</v>
      </c>
    </row>
    <row r="479" spans="1:19">
      <c r="A479" s="155"/>
      <c r="B479" s="57"/>
      <c r="C479" s="24">
        <f t="shared" si="80"/>
        <v>1</v>
      </c>
      <c r="D479" s="676"/>
      <c r="E479" s="24">
        <f t="shared" si="81"/>
        <v>1</v>
      </c>
      <c r="F479" s="676"/>
      <c r="G479" s="24">
        <f t="shared" si="82"/>
        <v>1</v>
      </c>
      <c r="H479" s="676"/>
      <c r="I479" s="24">
        <f t="shared" si="83"/>
        <v>1</v>
      </c>
      <c r="J479" s="676"/>
      <c r="K479" s="24">
        <f t="shared" si="84"/>
        <v>1</v>
      </c>
      <c r="L479" s="676"/>
      <c r="M479" s="24">
        <f t="shared" si="85"/>
        <v>1</v>
      </c>
      <c r="N479" s="676"/>
      <c r="O479" s="24">
        <f t="shared" si="86"/>
        <v>1</v>
      </c>
      <c r="P479" s="676"/>
      <c r="Q479" s="24">
        <f t="shared" si="87"/>
        <v>1</v>
      </c>
      <c r="R479" s="672">
        <f t="shared" si="88"/>
        <v>0</v>
      </c>
      <c r="S479" s="322">
        <f t="shared" si="79"/>
        <v>0</v>
      </c>
    </row>
    <row r="480" spans="1:19">
      <c r="A480" s="155"/>
      <c r="B480" s="57"/>
      <c r="C480" s="24">
        <f t="shared" si="80"/>
        <v>1</v>
      </c>
      <c r="D480" s="676"/>
      <c r="E480" s="24">
        <f t="shared" si="81"/>
        <v>1</v>
      </c>
      <c r="F480" s="676"/>
      <c r="G480" s="24">
        <f t="shared" si="82"/>
        <v>1</v>
      </c>
      <c r="H480" s="676"/>
      <c r="I480" s="24">
        <f t="shared" si="83"/>
        <v>1</v>
      </c>
      <c r="J480" s="676"/>
      <c r="K480" s="24">
        <f t="shared" si="84"/>
        <v>1</v>
      </c>
      <c r="L480" s="676"/>
      <c r="M480" s="24">
        <f t="shared" si="85"/>
        <v>1</v>
      </c>
      <c r="N480" s="676"/>
      <c r="O480" s="24">
        <f t="shared" si="86"/>
        <v>1</v>
      </c>
      <c r="P480" s="676"/>
      <c r="Q480" s="24">
        <f t="shared" si="87"/>
        <v>1</v>
      </c>
      <c r="R480" s="672">
        <f t="shared" si="88"/>
        <v>0</v>
      </c>
      <c r="S480" s="322">
        <f t="shared" si="79"/>
        <v>0</v>
      </c>
    </row>
    <row r="481" spans="1:19">
      <c r="A481" s="155"/>
      <c r="B481" s="57"/>
      <c r="C481" s="24">
        <f t="shared" si="80"/>
        <v>1</v>
      </c>
      <c r="D481" s="676"/>
      <c r="E481" s="24">
        <f t="shared" si="81"/>
        <v>1</v>
      </c>
      <c r="F481" s="676"/>
      <c r="G481" s="24">
        <f t="shared" si="82"/>
        <v>1</v>
      </c>
      <c r="H481" s="676"/>
      <c r="I481" s="24">
        <f t="shared" si="83"/>
        <v>1</v>
      </c>
      <c r="J481" s="676"/>
      <c r="K481" s="24">
        <f t="shared" si="84"/>
        <v>1</v>
      </c>
      <c r="L481" s="676"/>
      <c r="M481" s="24">
        <f t="shared" si="85"/>
        <v>1</v>
      </c>
      <c r="N481" s="676"/>
      <c r="O481" s="24">
        <f t="shared" si="86"/>
        <v>1</v>
      </c>
      <c r="P481" s="676"/>
      <c r="Q481" s="24">
        <f t="shared" si="87"/>
        <v>1</v>
      </c>
      <c r="R481" s="672">
        <f t="shared" si="88"/>
        <v>0</v>
      </c>
      <c r="S481" s="322">
        <f t="shared" si="79"/>
        <v>0</v>
      </c>
    </row>
    <row r="482" spans="1:19">
      <c r="A482" s="155"/>
      <c r="B482" s="57"/>
      <c r="C482" s="24">
        <f t="shared" si="80"/>
        <v>1</v>
      </c>
      <c r="D482" s="676"/>
      <c r="E482" s="24">
        <f t="shared" si="81"/>
        <v>1</v>
      </c>
      <c r="F482" s="676"/>
      <c r="G482" s="24">
        <f t="shared" si="82"/>
        <v>1</v>
      </c>
      <c r="H482" s="676"/>
      <c r="I482" s="24">
        <f t="shared" si="83"/>
        <v>1</v>
      </c>
      <c r="J482" s="676"/>
      <c r="K482" s="24">
        <f t="shared" si="84"/>
        <v>1</v>
      </c>
      <c r="L482" s="676"/>
      <c r="M482" s="24">
        <f t="shared" si="85"/>
        <v>1</v>
      </c>
      <c r="N482" s="676"/>
      <c r="O482" s="24">
        <f t="shared" si="86"/>
        <v>1</v>
      </c>
      <c r="P482" s="676"/>
      <c r="Q482" s="24">
        <f t="shared" si="87"/>
        <v>1</v>
      </c>
      <c r="R482" s="672">
        <f t="shared" si="88"/>
        <v>0</v>
      </c>
      <c r="S482" s="322">
        <f t="shared" si="79"/>
        <v>0</v>
      </c>
    </row>
    <row r="483" spans="1:19">
      <c r="A483" s="155"/>
      <c r="B483" s="57"/>
      <c r="C483" s="24">
        <f t="shared" si="80"/>
        <v>1</v>
      </c>
      <c r="D483" s="676"/>
      <c r="E483" s="24">
        <f t="shared" si="81"/>
        <v>1</v>
      </c>
      <c r="F483" s="676"/>
      <c r="G483" s="24">
        <f t="shared" si="82"/>
        <v>1</v>
      </c>
      <c r="H483" s="676"/>
      <c r="I483" s="24">
        <f t="shared" si="83"/>
        <v>1</v>
      </c>
      <c r="J483" s="676"/>
      <c r="K483" s="24">
        <f t="shared" si="84"/>
        <v>1</v>
      </c>
      <c r="L483" s="676"/>
      <c r="M483" s="24">
        <f t="shared" si="85"/>
        <v>1</v>
      </c>
      <c r="N483" s="676"/>
      <c r="O483" s="24">
        <f t="shared" si="86"/>
        <v>1</v>
      </c>
      <c r="P483" s="676"/>
      <c r="Q483" s="24">
        <f t="shared" si="87"/>
        <v>1</v>
      </c>
      <c r="R483" s="672">
        <f t="shared" si="88"/>
        <v>0</v>
      </c>
      <c r="S483" s="322">
        <f t="shared" si="79"/>
        <v>0</v>
      </c>
    </row>
    <row r="484" spans="1:19">
      <c r="A484" s="155"/>
      <c r="B484" s="57"/>
      <c r="C484" s="24">
        <f t="shared" si="80"/>
        <v>1</v>
      </c>
      <c r="D484" s="676"/>
      <c r="E484" s="24">
        <f t="shared" si="81"/>
        <v>1</v>
      </c>
      <c r="F484" s="676"/>
      <c r="G484" s="24">
        <f t="shared" si="82"/>
        <v>1</v>
      </c>
      <c r="H484" s="676"/>
      <c r="I484" s="24">
        <f t="shared" si="83"/>
        <v>1</v>
      </c>
      <c r="J484" s="676"/>
      <c r="K484" s="24">
        <f t="shared" si="84"/>
        <v>1</v>
      </c>
      <c r="L484" s="676"/>
      <c r="M484" s="24">
        <f t="shared" si="85"/>
        <v>1</v>
      </c>
      <c r="N484" s="676"/>
      <c r="O484" s="24">
        <f t="shared" si="86"/>
        <v>1</v>
      </c>
      <c r="P484" s="676"/>
      <c r="Q484" s="24">
        <f t="shared" si="87"/>
        <v>1</v>
      </c>
      <c r="R484" s="672">
        <f t="shared" si="88"/>
        <v>0</v>
      </c>
      <c r="S484" s="322">
        <f t="shared" si="79"/>
        <v>0</v>
      </c>
    </row>
    <row r="485" spans="1:19">
      <c r="A485" s="155"/>
      <c r="B485" s="57"/>
      <c r="C485" s="24">
        <f t="shared" si="80"/>
        <v>1</v>
      </c>
      <c r="D485" s="676"/>
      <c r="E485" s="24">
        <f t="shared" si="81"/>
        <v>1</v>
      </c>
      <c r="F485" s="676"/>
      <c r="G485" s="24">
        <f t="shared" si="82"/>
        <v>1</v>
      </c>
      <c r="H485" s="676"/>
      <c r="I485" s="24">
        <f t="shared" si="83"/>
        <v>1</v>
      </c>
      <c r="J485" s="676"/>
      <c r="K485" s="24">
        <f t="shared" si="84"/>
        <v>1</v>
      </c>
      <c r="L485" s="676"/>
      <c r="M485" s="24">
        <f t="shared" si="85"/>
        <v>1</v>
      </c>
      <c r="N485" s="676"/>
      <c r="O485" s="24">
        <f t="shared" si="86"/>
        <v>1</v>
      </c>
      <c r="P485" s="676"/>
      <c r="Q485" s="24">
        <f t="shared" si="87"/>
        <v>1</v>
      </c>
      <c r="R485" s="672">
        <f t="shared" si="88"/>
        <v>0</v>
      </c>
      <c r="S485" s="322">
        <f t="shared" si="79"/>
        <v>0</v>
      </c>
    </row>
    <row r="486" spans="1:19">
      <c r="A486" s="155"/>
      <c r="B486" s="57"/>
      <c r="C486" s="24">
        <f t="shared" si="80"/>
        <v>1</v>
      </c>
      <c r="D486" s="676"/>
      <c r="E486" s="24">
        <f t="shared" si="81"/>
        <v>1</v>
      </c>
      <c r="F486" s="676"/>
      <c r="G486" s="24">
        <f t="shared" si="82"/>
        <v>1</v>
      </c>
      <c r="H486" s="676"/>
      <c r="I486" s="24">
        <f t="shared" si="83"/>
        <v>1</v>
      </c>
      <c r="J486" s="676"/>
      <c r="K486" s="24">
        <f t="shared" si="84"/>
        <v>1</v>
      </c>
      <c r="L486" s="676"/>
      <c r="M486" s="24">
        <f t="shared" si="85"/>
        <v>1</v>
      </c>
      <c r="N486" s="676"/>
      <c r="O486" s="24">
        <f t="shared" si="86"/>
        <v>1</v>
      </c>
      <c r="P486" s="676"/>
      <c r="Q486" s="24">
        <f t="shared" si="87"/>
        <v>1</v>
      </c>
      <c r="R486" s="672">
        <f t="shared" si="88"/>
        <v>0</v>
      </c>
      <c r="S486" s="322">
        <f t="shared" si="79"/>
        <v>0</v>
      </c>
    </row>
    <row r="487" spans="1:19">
      <c r="A487" s="155"/>
      <c r="B487" s="57"/>
      <c r="C487" s="24">
        <f t="shared" si="80"/>
        <v>1</v>
      </c>
      <c r="D487" s="676"/>
      <c r="E487" s="24">
        <f t="shared" si="81"/>
        <v>1</v>
      </c>
      <c r="F487" s="676"/>
      <c r="G487" s="24">
        <f t="shared" si="82"/>
        <v>1</v>
      </c>
      <c r="H487" s="676"/>
      <c r="I487" s="24">
        <f t="shared" si="83"/>
        <v>1</v>
      </c>
      <c r="J487" s="676"/>
      <c r="K487" s="24">
        <f t="shared" si="84"/>
        <v>1</v>
      </c>
      <c r="L487" s="676"/>
      <c r="M487" s="24">
        <f t="shared" si="85"/>
        <v>1</v>
      </c>
      <c r="N487" s="676"/>
      <c r="O487" s="24">
        <f t="shared" si="86"/>
        <v>1</v>
      </c>
      <c r="P487" s="676"/>
      <c r="Q487" s="24">
        <f t="shared" si="87"/>
        <v>1</v>
      </c>
      <c r="R487" s="672">
        <f t="shared" si="88"/>
        <v>0</v>
      </c>
      <c r="S487" s="322">
        <f t="shared" si="79"/>
        <v>0</v>
      </c>
    </row>
    <row r="488" spans="1:19">
      <c r="A488" s="155"/>
      <c r="B488" s="57"/>
      <c r="C488" s="24">
        <f t="shared" si="80"/>
        <v>1</v>
      </c>
      <c r="D488" s="676"/>
      <c r="E488" s="24">
        <f t="shared" si="81"/>
        <v>1</v>
      </c>
      <c r="F488" s="676"/>
      <c r="G488" s="24">
        <f t="shared" si="82"/>
        <v>1</v>
      </c>
      <c r="H488" s="676"/>
      <c r="I488" s="24">
        <f t="shared" si="83"/>
        <v>1</v>
      </c>
      <c r="J488" s="676"/>
      <c r="K488" s="24">
        <f t="shared" si="84"/>
        <v>1</v>
      </c>
      <c r="L488" s="676"/>
      <c r="M488" s="24">
        <f t="shared" si="85"/>
        <v>1</v>
      </c>
      <c r="N488" s="676"/>
      <c r="O488" s="24">
        <f t="shared" si="86"/>
        <v>1</v>
      </c>
      <c r="P488" s="676"/>
      <c r="Q488" s="24">
        <f t="shared" si="87"/>
        <v>1</v>
      </c>
      <c r="R488" s="672">
        <f t="shared" si="88"/>
        <v>0</v>
      </c>
      <c r="S488" s="322">
        <f t="shared" si="79"/>
        <v>0</v>
      </c>
    </row>
    <row r="489" spans="1:19">
      <c r="A489" s="155"/>
      <c r="B489" s="57"/>
      <c r="C489" s="24">
        <f t="shared" si="80"/>
        <v>1</v>
      </c>
      <c r="D489" s="676"/>
      <c r="E489" s="24">
        <f t="shared" si="81"/>
        <v>1</v>
      </c>
      <c r="F489" s="676"/>
      <c r="G489" s="24">
        <f t="shared" si="82"/>
        <v>1</v>
      </c>
      <c r="H489" s="676"/>
      <c r="I489" s="24">
        <f t="shared" si="83"/>
        <v>1</v>
      </c>
      <c r="J489" s="676"/>
      <c r="K489" s="24">
        <f t="shared" si="84"/>
        <v>1</v>
      </c>
      <c r="L489" s="676"/>
      <c r="M489" s="24">
        <f t="shared" si="85"/>
        <v>1</v>
      </c>
      <c r="N489" s="676"/>
      <c r="O489" s="24">
        <f t="shared" si="86"/>
        <v>1</v>
      </c>
      <c r="P489" s="676"/>
      <c r="Q489" s="24">
        <f t="shared" si="87"/>
        <v>1</v>
      </c>
      <c r="R489" s="672">
        <f t="shared" si="88"/>
        <v>0</v>
      </c>
      <c r="S489" s="322">
        <f t="shared" si="79"/>
        <v>0</v>
      </c>
    </row>
    <row r="490" spans="1:19">
      <c r="A490" s="155"/>
      <c r="B490" s="57"/>
      <c r="C490" s="24">
        <f t="shared" si="80"/>
        <v>1</v>
      </c>
      <c r="D490" s="676"/>
      <c r="E490" s="24">
        <f t="shared" si="81"/>
        <v>1</v>
      </c>
      <c r="F490" s="676"/>
      <c r="G490" s="24">
        <f t="shared" si="82"/>
        <v>1</v>
      </c>
      <c r="H490" s="676"/>
      <c r="I490" s="24">
        <f t="shared" si="83"/>
        <v>1</v>
      </c>
      <c r="J490" s="676"/>
      <c r="K490" s="24">
        <f t="shared" si="84"/>
        <v>1</v>
      </c>
      <c r="L490" s="676"/>
      <c r="M490" s="24">
        <f t="shared" si="85"/>
        <v>1</v>
      </c>
      <c r="N490" s="676"/>
      <c r="O490" s="24">
        <f t="shared" si="86"/>
        <v>1</v>
      </c>
      <c r="P490" s="676"/>
      <c r="Q490" s="24">
        <f t="shared" si="87"/>
        <v>1</v>
      </c>
      <c r="R490" s="672">
        <f t="shared" si="88"/>
        <v>0</v>
      </c>
      <c r="S490" s="322">
        <f t="shared" si="79"/>
        <v>0</v>
      </c>
    </row>
    <row r="491" spans="1:19">
      <c r="A491" s="155"/>
      <c r="B491" s="57"/>
      <c r="C491" s="24">
        <f t="shared" si="80"/>
        <v>1</v>
      </c>
      <c r="D491" s="676"/>
      <c r="E491" s="24">
        <f t="shared" si="81"/>
        <v>1</v>
      </c>
      <c r="F491" s="676"/>
      <c r="G491" s="24">
        <f t="shared" si="82"/>
        <v>1</v>
      </c>
      <c r="H491" s="676"/>
      <c r="I491" s="24">
        <f t="shared" si="83"/>
        <v>1</v>
      </c>
      <c r="J491" s="676"/>
      <c r="K491" s="24">
        <f t="shared" si="84"/>
        <v>1</v>
      </c>
      <c r="L491" s="676"/>
      <c r="M491" s="24">
        <f t="shared" si="85"/>
        <v>1</v>
      </c>
      <c r="N491" s="676"/>
      <c r="O491" s="24">
        <f t="shared" si="86"/>
        <v>1</v>
      </c>
      <c r="P491" s="676"/>
      <c r="Q491" s="24">
        <f t="shared" si="87"/>
        <v>1</v>
      </c>
      <c r="R491" s="672">
        <f t="shared" si="88"/>
        <v>0</v>
      </c>
      <c r="S491" s="322">
        <f t="shared" si="79"/>
        <v>0</v>
      </c>
    </row>
    <row r="492" spans="1:19">
      <c r="A492" s="155"/>
      <c r="B492" s="57"/>
      <c r="C492" s="24">
        <f t="shared" si="80"/>
        <v>1</v>
      </c>
      <c r="D492" s="676"/>
      <c r="E492" s="24">
        <f t="shared" si="81"/>
        <v>1</v>
      </c>
      <c r="F492" s="676"/>
      <c r="G492" s="24">
        <f t="shared" si="82"/>
        <v>1</v>
      </c>
      <c r="H492" s="676"/>
      <c r="I492" s="24">
        <f t="shared" si="83"/>
        <v>1</v>
      </c>
      <c r="J492" s="676"/>
      <c r="K492" s="24">
        <f t="shared" si="84"/>
        <v>1</v>
      </c>
      <c r="L492" s="676"/>
      <c r="M492" s="24">
        <f t="shared" si="85"/>
        <v>1</v>
      </c>
      <c r="N492" s="676"/>
      <c r="O492" s="24">
        <f t="shared" si="86"/>
        <v>1</v>
      </c>
      <c r="P492" s="676"/>
      <c r="Q492" s="24">
        <f t="shared" si="87"/>
        <v>1</v>
      </c>
      <c r="R492" s="672">
        <f t="shared" si="88"/>
        <v>0</v>
      </c>
      <c r="S492" s="322">
        <f t="shared" si="79"/>
        <v>0</v>
      </c>
    </row>
    <row r="493" spans="1:19">
      <c r="A493" s="155"/>
      <c r="B493" s="57"/>
      <c r="C493" s="24">
        <f t="shared" si="80"/>
        <v>1</v>
      </c>
      <c r="D493" s="676"/>
      <c r="E493" s="24">
        <f t="shared" si="81"/>
        <v>1</v>
      </c>
      <c r="F493" s="676"/>
      <c r="G493" s="24">
        <f t="shared" si="82"/>
        <v>1</v>
      </c>
      <c r="H493" s="676"/>
      <c r="I493" s="24">
        <f t="shared" si="83"/>
        <v>1</v>
      </c>
      <c r="J493" s="676"/>
      <c r="K493" s="24">
        <f t="shared" si="84"/>
        <v>1</v>
      </c>
      <c r="L493" s="676"/>
      <c r="M493" s="24">
        <f t="shared" si="85"/>
        <v>1</v>
      </c>
      <c r="N493" s="676"/>
      <c r="O493" s="24">
        <f t="shared" si="86"/>
        <v>1</v>
      </c>
      <c r="P493" s="676"/>
      <c r="Q493" s="24">
        <f t="shared" si="87"/>
        <v>1</v>
      </c>
      <c r="R493" s="672">
        <f t="shared" si="88"/>
        <v>0</v>
      </c>
      <c r="S493" s="322">
        <f t="shared" si="79"/>
        <v>0</v>
      </c>
    </row>
    <row r="494" spans="1:19">
      <c r="A494" s="155"/>
      <c r="B494" s="57"/>
      <c r="C494" s="24">
        <f t="shared" si="80"/>
        <v>1</v>
      </c>
      <c r="D494" s="676"/>
      <c r="E494" s="24">
        <f t="shared" si="81"/>
        <v>1</v>
      </c>
      <c r="F494" s="676"/>
      <c r="G494" s="24">
        <f t="shared" si="82"/>
        <v>1</v>
      </c>
      <c r="H494" s="676"/>
      <c r="I494" s="24">
        <f t="shared" si="83"/>
        <v>1</v>
      </c>
      <c r="J494" s="676"/>
      <c r="K494" s="24">
        <f t="shared" si="84"/>
        <v>1</v>
      </c>
      <c r="L494" s="676"/>
      <c r="M494" s="24">
        <f t="shared" si="85"/>
        <v>1</v>
      </c>
      <c r="N494" s="676"/>
      <c r="O494" s="24">
        <f t="shared" si="86"/>
        <v>1</v>
      </c>
      <c r="P494" s="676"/>
      <c r="Q494" s="24">
        <f t="shared" si="87"/>
        <v>1</v>
      </c>
      <c r="R494" s="672">
        <f t="shared" si="88"/>
        <v>0</v>
      </c>
      <c r="S494" s="322">
        <f t="shared" si="79"/>
        <v>0</v>
      </c>
    </row>
    <row r="495" spans="1:19">
      <c r="A495" s="155"/>
      <c r="B495" s="57"/>
      <c r="C495" s="24">
        <f t="shared" si="80"/>
        <v>1</v>
      </c>
      <c r="D495" s="676"/>
      <c r="E495" s="24">
        <f t="shared" si="81"/>
        <v>1</v>
      </c>
      <c r="F495" s="676"/>
      <c r="G495" s="24">
        <f t="shared" si="82"/>
        <v>1</v>
      </c>
      <c r="H495" s="676"/>
      <c r="I495" s="24">
        <f t="shared" si="83"/>
        <v>1</v>
      </c>
      <c r="J495" s="676"/>
      <c r="K495" s="24">
        <f t="shared" si="84"/>
        <v>1</v>
      </c>
      <c r="L495" s="676"/>
      <c r="M495" s="24">
        <f t="shared" si="85"/>
        <v>1</v>
      </c>
      <c r="N495" s="676"/>
      <c r="O495" s="24">
        <f t="shared" si="86"/>
        <v>1</v>
      </c>
      <c r="P495" s="676"/>
      <c r="Q495" s="24">
        <f t="shared" si="87"/>
        <v>1</v>
      </c>
      <c r="R495" s="672">
        <f t="shared" si="88"/>
        <v>0</v>
      </c>
      <c r="S495" s="322">
        <f t="shared" si="79"/>
        <v>0</v>
      </c>
    </row>
    <row r="496" spans="1:19">
      <c r="A496" s="155"/>
      <c r="B496" s="57"/>
      <c r="C496" s="24">
        <f t="shared" si="80"/>
        <v>1</v>
      </c>
      <c r="D496" s="676"/>
      <c r="E496" s="24">
        <f t="shared" si="81"/>
        <v>1</v>
      </c>
      <c r="F496" s="676"/>
      <c r="G496" s="24">
        <f t="shared" si="82"/>
        <v>1</v>
      </c>
      <c r="H496" s="676"/>
      <c r="I496" s="24">
        <f t="shared" si="83"/>
        <v>1</v>
      </c>
      <c r="J496" s="676"/>
      <c r="K496" s="24">
        <f t="shared" si="84"/>
        <v>1</v>
      </c>
      <c r="L496" s="676"/>
      <c r="M496" s="24">
        <f t="shared" si="85"/>
        <v>1</v>
      </c>
      <c r="N496" s="676"/>
      <c r="O496" s="24">
        <f t="shared" si="86"/>
        <v>1</v>
      </c>
      <c r="P496" s="676"/>
      <c r="Q496" s="24">
        <f t="shared" si="87"/>
        <v>1</v>
      </c>
      <c r="R496" s="672">
        <f t="shared" si="88"/>
        <v>0</v>
      </c>
      <c r="S496" s="322">
        <f t="shared" si="79"/>
        <v>0</v>
      </c>
    </row>
    <row r="497" spans="1:19">
      <c r="A497" s="155"/>
      <c r="B497" s="57"/>
      <c r="C497" s="24">
        <f t="shared" si="80"/>
        <v>1</v>
      </c>
      <c r="D497" s="676"/>
      <c r="E497" s="24">
        <f t="shared" si="81"/>
        <v>1</v>
      </c>
      <c r="F497" s="676"/>
      <c r="G497" s="24">
        <f t="shared" si="82"/>
        <v>1</v>
      </c>
      <c r="H497" s="676"/>
      <c r="I497" s="24">
        <f t="shared" si="83"/>
        <v>1</v>
      </c>
      <c r="J497" s="676"/>
      <c r="K497" s="24">
        <f t="shared" si="84"/>
        <v>1</v>
      </c>
      <c r="L497" s="676"/>
      <c r="M497" s="24">
        <f t="shared" si="85"/>
        <v>1</v>
      </c>
      <c r="N497" s="676"/>
      <c r="O497" s="24">
        <f t="shared" si="86"/>
        <v>1</v>
      </c>
      <c r="P497" s="676"/>
      <c r="Q497" s="24">
        <f t="shared" si="87"/>
        <v>1</v>
      </c>
      <c r="R497" s="672">
        <f t="shared" si="88"/>
        <v>0</v>
      </c>
      <c r="S497" s="322">
        <f t="shared" si="79"/>
        <v>0</v>
      </c>
    </row>
    <row r="498" spans="1:19">
      <c r="A498" s="155"/>
      <c r="B498" s="57"/>
      <c r="C498" s="24">
        <f t="shared" si="80"/>
        <v>1</v>
      </c>
      <c r="D498" s="676"/>
      <c r="E498" s="24">
        <f t="shared" si="81"/>
        <v>1</v>
      </c>
      <c r="F498" s="676"/>
      <c r="G498" s="24">
        <f t="shared" si="82"/>
        <v>1</v>
      </c>
      <c r="H498" s="676"/>
      <c r="I498" s="24">
        <f t="shared" si="83"/>
        <v>1</v>
      </c>
      <c r="J498" s="676"/>
      <c r="K498" s="24">
        <f t="shared" si="84"/>
        <v>1</v>
      </c>
      <c r="L498" s="676"/>
      <c r="M498" s="24">
        <f t="shared" si="85"/>
        <v>1</v>
      </c>
      <c r="N498" s="676"/>
      <c r="O498" s="24">
        <f t="shared" si="86"/>
        <v>1</v>
      </c>
      <c r="P498" s="676"/>
      <c r="Q498" s="24">
        <f t="shared" si="87"/>
        <v>1</v>
      </c>
      <c r="R498" s="672">
        <f t="shared" si="88"/>
        <v>0</v>
      </c>
      <c r="S498" s="322">
        <f t="shared" ref="S498:S524" si="89">ROUND(R498*B498/10000,0)</f>
        <v>0</v>
      </c>
    </row>
    <row r="499" spans="1:19">
      <c r="A499" s="155"/>
      <c r="B499" s="57"/>
      <c r="C499" s="24">
        <f t="shared" si="80"/>
        <v>1</v>
      </c>
      <c r="D499" s="676"/>
      <c r="E499" s="24">
        <f t="shared" si="81"/>
        <v>1</v>
      </c>
      <c r="F499" s="676"/>
      <c r="G499" s="24">
        <f t="shared" si="82"/>
        <v>1</v>
      </c>
      <c r="H499" s="676"/>
      <c r="I499" s="24">
        <f t="shared" si="83"/>
        <v>1</v>
      </c>
      <c r="J499" s="676"/>
      <c r="K499" s="24">
        <f t="shared" si="84"/>
        <v>1</v>
      </c>
      <c r="L499" s="676"/>
      <c r="M499" s="24">
        <f t="shared" si="85"/>
        <v>1</v>
      </c>
      <c r="N499" s="676"/>
      <c r="O499" s="24">
        <f t="shared" si="86"/>
        <v>1</v>
      </c>
      <c r="P499" s="676"/>
      <c r="Q499" s="24">
        <f t="shared" si="87"/>
        <v>1</v>
      </c>
      <c r="R499" s="672">
        <f t="shared" si="88"/>
        <v>0</v>
      </c>
      <c r="S499" s="322">
        <f t="shared" si="89"/>
        <v>0</v>
      </c>
    </row>
    <row r="500" spans="1:19">
      <c r="A500" s="155"/>
      <c r="B500" s="57"/>
      <c r="C500" s="24">
        <f t="shared" si="80"/>
        <v>1</v>
      </c>
      <c r="D500" s="676"/>
      <c r="E500" s="24">
        <f t="shared" si="81"/>
        <v>1</v>
      </c>
      <c r="F500" s="676"/>
      <c r="G500" s="24">
        <f t="shared" si="82"/>
        <v>1</v>
      </c>
      <c r="H500" s="676"/>
      <c r="I500" s="24">
        <f t="shared" si="83"/>
        <v>1</v>
      </c>
      <c r="J500" s="676"/>
      <c r="K500" s="24">
        <f t="shared" si="84"/>
        <v>1</v>
      </c>
      <c r="L500" s="676"/>
      <c r="M500" s="24">
        <f t="shared" si="85"/>
        <v>1</v>
      </c>
      <c r="N500" s="676"/>
      <c r="O500" s="24">
        <f t="shared" si="86"/>
        <v>1</v>
      </c>
      <c r="P500" s="676"/>
      <c r="Q500" s="24">
        <f t="shared" si="87"/>
        <v>1</v>
      </c>
      <c r="R500" s="672">
        <f t="shared" si="88"/>
        <v>0</v>
      </c>
      <c r="S500" s="322">
        <f t="shared" si="89"/>
        <v>0</v>
      </c>
    </row>
    <row r="501" spans="1:19">
      <c r="A501" s="155"/>
      <c r="B501" s="57"/>
      <c r="C501" s="24">
        <f t="shared" si="80"/>
        <v>1</v>
      </c>
      <c r="D501" s="676"/>
      <c r="E501" s="24">
        <f t="shared" si="81"/>
        <v>1</v>
      </c>
      <c r="F501" s="676"/>
      <c r="G501" s="24">
        <f t="shared" si="82"/>
        <v>1</v>
      </c>
      <c r="H501" s="676"/>
      <c r="I501" s="24">
        <f t="shared" si="83"/>
        <v>1</v>
      </c>
      <c r="J501" s="676"/>
      <c r="K501" s="24">
        <f t="shared" si="84"/>
        <v>1</v>
      </c>
      <c r="L501" s="676"/>
      <c r="M501" s="24">
        <f t="shared" si="85"/>
        <v>1</v>
      </c>
      <c r="N501" s="676"/>
      <c r="O501" s="24">
        <f t="shared" si="86"/>
        <v>1</v>
      </c>
      <c r="P501" s="676"/>
      <c r="Q501" s="24">
        <f t="shared" si="87"/>
        <v>1</v>
      </c>
      <c r="R501" s="672">
        <f t="shared" si="88"/>
        <v>0</v>
      </c>
      <c r="S501" s="322">
        <f t="shared" si="89"/>
        <v>0</v>
      </c>
    </row>
    <row r="502" spans="1:19">
      <c r="A502" s="155"/>
      <c r="B502" s="57"/>
      <c r="C502" s="24">
        <f t="shared" si="80"/>
        <v>1</v>
      </c>
      <c r="D502" s="676"/>
      <c r="E502" s="24">
        <f t="shared" si="81"/>
        <v>1</v>
      </c>
      <c r="F502" s="676"/>
      <c r="G502" s="24">
        <f t="shared" si="82"/>
        <v>1</v>
      </c>
      <c r="H502" s="676"/>
      <c r="I502" s="24">
        <f t="shared" si="83"/>
        <v>1</v>
      </c>
      <c r="J502" s="676"/>
      <c r="K502" s="24">
        <f t="shared" si="84"/>
        <v>1</v>
      </c>
      <c r="L502" s="676"/>
      <c r="M502" s="24">
        <f t="shared" si="85"/>
        <v>1</v>
      </c>
      <c r="N502" s="676"/>
      <c r="O502" s="24">
        <f t="shared" si="86"/>
        <v>1</v>
      </c>
      <c r="P502" s="676"/>
      <c r="Q502" s="24">
        <f t="shared" si="87"/>
        <v>1</v>
      </c>
      <c r="R502" s="672">
        <f t="shared" si="88"/>
        <v>0</v>
      </c>
      <c r="S502" s="322">
        <f t="shared" si="89"/>
        <v>0</v>
      </c>
    </row>
    <row r="503" spans="1:19">
      <c r="A503" s="155"/>
      <c r="B503" s="57"/>
      <c r="C503" s="24">
        <f t="shared" si="80"/>
        <v>1</v>
      </c>
      <c r="D503" s="676"/>
      <c r="E503" s="24">
        <f t="shared" si="81"/>
        <v>1</v>
      </c>
      <c r="F503" s="676"/>
      <c r="G503" s="24">
        <f t="shared" si="82"/>
        <v>1</v>
      </c>
      <c r="H503" s="676"/>
      <c r="I503" s="24">
        <f t="shared" si="83"/>
        <v>1</v>
      </c>
      <c r="J503" s="676"/>
      <c r="K503" s="24">
        <f t="shared" si="84"/>
        <v>1</v>
      </c>
      <c r="L503" s="676"/>
      <c r="M503" s="24">
        <f t="shared" si="85"/>
        <v>1</v>
      </c>
      <c r="N503" s="676"/>
      <c r="O503" s="24">
        <f t="shared" si="86"/>
        <v>1</v>
      </c>
      <c r="P503" s="676"/>
      <c r="Q503" s="24">
        <f t="shared" si="87"/>
        <v>1</v>
      </c>
      <c r="R503" s="672">
        <f t="shared" si="88"/>
        <v>0</v>
      </c>
      <c r="S503" s="322">
        <f t="shared" si="89"/>
        <v>0</v>
      </c>
    </row>
    <row r="504" spans="1:19">
      <c r="A504" s="155"/>
      <c r="B504" s="57"/>
      <c r="C504" s="24">
        <f t="shared" si="80"/>
        <v>1</v>
      </c>
      <c r="D504" s="676"/>
      <c r="E504" s="24">
        <f t="shared" si="81"/>
        <v>1</v>
      </c>
      <c r="F504" s="676"/>
      <c r="G504" s="24">
        <f t="shared" si="82"/>
        <v>1</v>
      </c>
      <c r="H504" s="676"/>
      <c r="I504" s="24">
        <f t="shared" si="83"/>
        <v>1</v>
      </c>
      <c r="J504" s="676"/>
      <c r="K504" s="24">
        <f t="shared" si="84"/>
        <v>1</v>
      </c>
      <c r="L504" s="676"/>
      <c r="M504" s="24">
        <f t="shared" si="85"/>
        <v>1</v>
      </c>
      <c r="N504" s="676"/>
      <c r="O504" s="24">
        <f t="shared" si="86"/>
        <v>1</v>
      </c>
      <c r="P504" s="676"/>
      <c r="Q504" s="24">
        <f t="shared" si="87"/>
        <v>1</v>
      </c>
      <c r="R504" s="672">
        <f t="shared" si="88"/>
        <v>0</v>
      </c>
      <c r="S504" s="322">
        <f t="shared" si="89"/>
        <v>0</v>
      </c>
    </row>
    <row r="505" spans="1:19">
      <c r="A505" s="155"/>
      <c r="B505" s="57"/>
      <c r="C505" s="24">
        <f t="shared" si="80"/>
        <v>1</v>
      </c>
      <c r="D505" s="676"/>
      <c r="E505" s="24">
        <f t="shared" si="81"/>
        <v>1</v>
      </c>
      <c r="F505" s="676"/>
      <c r="G505" s="24">
        <f t="shared" si="82"/>
        <v>1</v>
      </c>
      <c r="H505" s="676"/>
      <c r="I505" s="24">
        <f t="shared" si="83"/>
        <v>1</v>
      </c>
      <c r="J505" s="676"/>
      <c r="K505" s="24">
        <f t="shared" si="84"/>
        <v>1</v>
      </c>
      <c r="L505" s="676"/>
      <c r="M505" s="24">
        <f t="shared" si="85"/>
        <v>1</v>
      </c>
      <c r="N505" s="676"/>
      <c r="O505" s="24">
        <f t="shared" si="86"/>
        <v>1</v>
      </c>
      <c r="P505" s="676"/>
      <c r="Q505" s="24">
        <f t="shared" si="87"/>
        <v>1</v>
      </c>
      <c r="R505" s="672">
        <f t="shared" si="88"/>
        <v>0</v>
      </c>
      <c r="S505" s="322">
        <f t="shared" si="89"/>
        <v>0</v>
      </c>
    </row>
    <row r="506" spans="1:19">
      <c r="A506" s="155"/>
      <c r="B506" s="57"/>
      <c r="C506" s="24">
        <f t="shared" si="80"/>
        <v>1</v>
      </c>
      <c r="D506" s="676"/>
      <c r="E506" s="24">
        <f t="shared" si="81"/>
        <v>1</v>
      </c>
      <c r="F506" s="676"/>
      <c r="G506" s="24">
        <f t="shared" si="82"/>
        <v>1</v>
      </c>
      <c r="H506" s="676"/>
      <c r="I506" s="24">
        <f t="shared" si="83"/>
        <v>1</v>
      </c>
      <c r="J506" s="676"/>
      <c r="K506" s="24">
        <f t="shared" si="84"/>
        <v>1</v>
      </c>
      <c r="L506" s="676"/>
      <c r="M506" s="24">
        <f t="shared" si="85"/>
        <v>1</v>
      </c>
      <c r="N506" s="676"/>
      <c r="O506" s="24">
        <f t="shared" si="86"/>
        <v>1</v>
      </c>
      <c r="P506" s="676"/>
      <c r="Q506" s="24">
        <f t="shared" si="87"/>
        <v>1</v>
      </c>
      <c r="R506" s="672">
        <f t="shared" si="88"/>
        <v>0</v>
      </c>
      <c r="S506" s="322">
        <f t="shared" si="89"/>
        <v>0</v>
      </c>
    </row>
    <row r="507" spans="1:19">
      <c r="A507" s="155"/>
      <c r="B507" s="57"/>
      <c r="C507" s="24">
        <f t="shared" si="80"/>
        <v>1</v>
      </c>
      <c r="D507" s="676"/>
      <c r="E507" s="24">
        <f t="shared" si="81"/>
        <v>1</v>
      </c>
      <c r="F507" s="676"/>
      <c r="G507" s="24">
        <f t="shared" si="82"/>
        <v>1</v>
      </c>
      <c r="H507" s="676"/>
      <c r="I507" s="24">
        <f t="shared" si="83"/>
        <v>1</v>
      </c>
      <c r="J507" s="676"/>
      <c r="K507" s="24">
        <f t="shared" si="84"/>
        <v>1</v>
      </c>
      <c r="L507" s="676"/>
      <c r="M507" s="24">
        <f t="shared" si="85"/>
        <v>1</v>
      </c>
      <c r="N507" s="676"/>
      <c r="O507" s="24">
        <f t="shared" si="86"/>
        <v>1</v>
      </c>
      <c r="P507" s="676"/>
      <c r="Q507" s="24">
        <f t="shared" si="87"/>
        <v>1</v>
      </c>
      <c r="R507" s="672">
        <f t="shared" si="88"/>
        <v>0</v>
      </c>
      <c r="S507" s="322">
        <f t="shared" si="89"/>
        <v>0</v>
      </c>
    </row>
    <row r="508" spans="1:19">
      <c r="A508" s="155"/>
      <c r="B508" s="57"/>
      <c r="C508" s="24">
        <f t="shared" si="80"/>
        <v>1</v>
      </c>
      <c r="D508" s="676"/>
      <c r="E508" s="24">
        <f t="shared" si="81"/>
        <v>1</v>
      </c>
      <c r="F508" s="676"/>
      <c r="G508" s="24">
        <f t="shared" si="82"/>
        <v>1</v>
      </c>
      <c r="H508" s="676"/>
      <c r="I508" s="24">
        <f t="shared" si="83"/>
        <v>1</v>
      </c>
      <c r="J508" s="676"/>
      <c r="K508" s="24">
        <f t="shared" si="84"/>
        <v>1</v>
      </c>
      <c r="L508" s="676"/>
      <c r="M508" s="24">
        <f t="shared" si="85"/>
        <v>1</v>
      </c>
      <c r="N508" s="676"/>
      <c r="O508" s="24">
        <f t="shared" si="86"/>
        <v>1</v>
      </c>
      <c r="P508" s="676"/>
      <c r="Q508" s="24">
        <f t="shared" si="87"/>
        <v>1</v>
      </c>
      <c r="R508" s="672">
        <f t="shared" si="88"/>
        <v>0</v>
      </c>
      <c r="S508" s="322">
        <f t="shared" si="89"/>
        <v>0</v>
      </c>
    </row>
    <row r="509" spans="1:19">
      <c r="A509" s="155"/>
      <c r="B509" s="57"/>
      <c r="C509" s="24">
        <f t="shared" si="80"/>
        <v>1</v>
      </c>
      <c r="D509" s="676"/>
      <c r="E509" s="24">
        <f t="shared" si="81"/>
        <v>1</v>
      </c>
      <c r="F509" s="676"/>
      <c r="G509" s="24">
        <f t="shared" si="82"/>
        <v>1</v>
      </c>
      <c r="H509" s="676"/>
      <c r="I509" s="24">
        <f t="shared" si="83"/>
        <v>1</v>
      </c>
      <c r="J509" s="676"/>
      <c r="K509" s="24">
        <f t="shared" si="84"/>
        <v>1</v>
      </c>
      <c r="L509" s="676"/>
      <c r="M509" s="24">
        <f t="shared" si="85"/>
        <v>1</v>
      </c>
      <c r="N509" s="676"/>
      <c r="O509" s="24">
        <f t="shared" si="86"/>
        <v>1</v>
      </c>
      <c r="P509" s="676"/>
      <c r="Q509" s="24">
        <f t="shared" si="87"/>
        <v>1</v>
      </c>
      <c r="R509" s="672">
        <f t="shared" si="88"/>
        <v>0</v>
      </c>
      <c r="S509" s="322">
        <f t="shared" si="89"/>
        <v>0</v>
      </c>
    </row>
    <row r="510" spans="1:19">
      <c r="A510" s="155"/>
      <c r="B510" s="57"/>
      <c r="C510" s="24">
        <f t="shared" si="80"/>
        <v>1</v>
      </c>
      <c r="D510" s="676"/>
      <c r="E510" s="24">
        <f t="shared" si="81"/>
        <v>1</v>
      </c>
      <c r="F510" s="676"/>
      <c r="G510" s="24">
        <f t="shared" si="82"/>
        <v>1</v>
      </c>
      <c r="H510" s="676"/>
      <c r="I510" s="24">
        <f t="shared" si="83"/>
        <v>1</v>
      </c>
      <c r="J510" s="676"/>
      <c r="K510" s="24">
        <f t="shared" si="84"/>
        <v>1</v>
      </c>
      <c r="L510" s="676"/>
      <c r="M510" s="24">
        <f t="shared" si="85"/>
        <v>1</v>
      </c>
      <c r="N510" s="676"/>
      <c r="O510" s="24">
        <f t="shared" si="86"/>
        <v>1</v>
      </c>
      <c r="P510" s="676"/>
      <c r="Q510" s="24">
        <f t="shared" si="87"/>
        <v>1</v>
      </c>
      <c r="R510" s="672">
        <f t="shared" si="88"/>
        <v>0</v>
      </c>
      <c r="S510" s="322">
        <f t="shared" si="89"/>
        <v>0</v>
      </c>
    </row>
    <row r="511" spans="1:19">
      <c r="A511" s="155"/>
      <c r="B511" s="57"/>
      <c r="C511" s="24">
        <f t="shared" si="80"/>
        <v>1</v>
      </c>
      <c r="D511" s="676"/>
      <c r="E511" s="24">
        <f t="shared" si="81"/>
        <v>1</v>
      </c>
      <c r="F511" s="676"/>
      <c r="G511" s="24">
        <f t="shared" si="82"/>
        <v>1</v>
      </c>
      <c r="H511" s="676"/>
      <c r="I511" s="24">
        <f t="shared" si="83"/>
        <v>1</v>
      </c>
      <c r="J511" s="676"/>
      <c r="K511" s="24">
        <f t="shared" si="84"/>
        <v>1</v>
      </c>
      <c r="L511" s="676"/>
      <c r="M511" s="24">
        <f t="shared" si="85"/>
        <v>1</v>
      </c>
      <c r="N511" s="676"/>
      <c r="O511" s="24">
        <f t="shared" si="86"/>
        <v>1</v>
      </c>
      <c r="P511" s="676"/>
      <c r="Q511" s="24">
        <f t="shared" si="87"/>
        <v>1</v>
      </c>
      <c r="R511" s="672">
        <f t="shared" si="88"/>
        <v>0</v>
      </c>
      <c r="S511" s="322">
        <f t="shared" si="89"/>
        <v>0</v>
      </c>
    </row>
    <row r="512" spans="1:19">
      <c r="A512" s="155"/>
      <c r="B512" s="57"/>
      <c r="C512" s="24">
        <f t="shared" si="80"/>
        <v>1</v>
      </c>
      <c r="D512" s="676"/>
      <c r="E512" s="24">
        <f t="shared" si="81"/>
        <v>1</v>
      </c>
      <c r="F512" s="676"/>
      <c r="G512" s="24">
        <f t="shared" si="82"/>
        <v>1</v>
      </c>
      <c r="H512" s="676"/>
      <c r="I512" s="24">
        <f t="shared" si="83"/>
        <v>1</v>
      </c>
      <c r="J512" s="676"/>
      <c r="K512" s="24">
        <f t="shared" si="84"/>
        <v>1</v>
      </c>
      <c r="L512" s="676"/>
      <c r="M512" s="24">
        <f t="shared" si="85"/>
        <v>1</v>
      </c>
      <c r="N512" s="676"/>
      <c r="O512" s="24">
        <f t="shared" si="86"/>
        <v>1</v>
      </c>
      <c r="P512" s="676"/>
      <c r="Q512" s="24">
        <f t="shared" si="87"/>
        <v>1</v>
      </c>
      <c r="R512" s="672">
        <f t="shared" si="88"/>
        <v>0</v>
      </c>
      <c r="S512" s="322">
        <f t="shared" si="89"/>
        <v>0</v>
      </c>
    </row>
    <row r="513" spans="1:19">
      <c r="A513" s="155"/>
      <c r="B513" s="57"/>
      <c r="C513" s="24">
        <f t="shared" si="80"/>
        <v>1</v>
      </c>
      <c r="D513" s="676"/>
      <c r="E513" s="24">
        <f t="shared" si="81"/>
        <v>1</v>
      </c>
      <c r="F513" s="676"/>
      <c r="G513" s="24">
        <f t="shared" si="82"/>
        <v>1</v>
      </c>
      <c r="H513" s="676"/>
      <c r="I513" s="24">
        <f t="shared" si="83"/>
        <v>1</v>
      </c>
      <c r="J513" s="676"/>
      <c r="K513" s="24">
        <f t="shared" si="84"/>
        <v>1</v>
      </c>
      <c r="L513" s="676"/>
      <c r="M513" s="24">
        <f t="shared" si="85"/>
        <v>1</v>
      </c>
      <c r="N513" s="676"/>
      <c r="O513" s="24">
        <f t="shared" si="86"/>
        <v>1</v>
      </c>
      <c r="P513" s="676"/>
      <c r="Q513" s="24">
        <f t="shared" si="87"/>
        <v>1</v>
      </c>
      <c r="R513" s="672">
        <f t="shared" si="88"/>
        <v>0</v>
      </c>
      <c r="S513" s="322">
        <f t="shared" si="89"/>
        <v>0</v>
      </c>
    </row>
    <row r="514" spans="1:19">
      <c r="A514" s="155"/>
      <c r="B514" s="57"/>
      <c r="C514" s="24">
        <f t="shared" si="80"/>
        <v>1</v>
      </c>
      <c r="D514" s="676"/>
      <c r="E514" s="24">
        <f t="shared" si="81"/>
        <v>1</v>
      </c>
      <c r="F514" s="676"/>
      <c r="G514" s="24">
        <f t="shared" si="82"/>
        <v>1</v>
      </c>
      <c r="H514" s="676"/>
      <c r="I514" s="24">
        <f t="shared" si="83"/>
        <v>1</v>
      </c>
      <c r="J514" s="676"/>
      <c r="K514" s="24">
        <f t="shared" si="84"/>
        <v>1</v>
      </c>
      <c r="L514" s="676"/>
      <c r="M514" s="24">
        <f t="shared" si="85"/>
        <v>1</v>
      </c>
      <c r="N514" s="676"/>
      <c r="O514" s="24">
        <f t="shared" si="86"/>
        <v>1</v>
      </c>
      <c r="P514" s="676"/>
      <c r="Q514" s="24">
        <f t="shared" si="87"/>
        <v>1</v>
      </c>
      <c r="R514" s="672">
        <f t="shared" si="88"/>
        <v>0</v>
      </c>
      <c r="S514" s="322">
        <f t="shared" si="89"/>
        <v>0</v>
      </c>
    </row>
    <row r="515" spans="1:19">
      <c r="A515" s="155"/>
      <c r="B515" s="57"/>
      <c r="C515" s="24">
        <f t="shared" si="80"/>
        <v>1</v>
      </c>
      <c r="D515" s="676"/>
      <c r="E515" s="24">
        <f t="shared" si="81"/>
        <v>1</v>
      </c>
      <c r="F515" s="676"/>
      <c r="G515" s="24">
        <f t="shared" si="82"/>
        <v>1</v>
      </c>
      <c r="H515" s="676"/>
      <c r="I515" s="24">
        <f t="shared" si="83"/>
        <v>1</v>
      </c>
      <c r="J515" s="676"/>
      <c r="K515" s="24">
        <f t="shared" si="84"/>
        <v>1</v>
      </c>
      <c r="L515" s="676"/>
      <c r="M515" s="24">
        <f t="shared" si="85"/>
        <v>1</v>
      </c>
      <c r="N515" s="676"/>
      <c r="O515" s="24">
        <f t="shared" si="86"/>
        <v>1</v>
      </c>
      <c r="P515" s="676"/>
      <c r="Q515" s="24">
        <f t="shared" si="87"/>
        <v>1</v>
      </c>
      <c r="R515" s="672">
        <f t="shared" si="88"/>
        <v>0</v>
      </c>
      <c r="S515" s="322">
        <f t="shared" si="89"/>
        <v>0</v>
      </c>
    </row>
    <row r="516" spans="1:19">
      <c r="A516" s="155"/>
      <c r="B516" s="57"/>
      <c r="C516" s="24">
        <f t="shared" si="80"/>
        <v>1</v>
      </c>
      <c r="D516" s="676"/>
      <c r="E516" s="24">
        <f t="shared" si="81"/>
        <v>1</v>
      </c>
      <c r="F516" s="676"/>
      <c r="G516" s="24">
        <f t="shared" si="82"/>
        <v>1</v>
      </c>
      <c r="H516" s="676"/>
      <c r="I516" s="24">
        <f t="shared" si="83"/>
        <v>1</v>
      </c>
      <c r="J516" s="676"/>
      <c r="K516" s="24">
        <f t="shared" si="84"/>
        <v>1</v>
      </c>
      <c r="L516" s="676"/>
      <c r="M516" s="24">
        <f t="shared" si="85"/>
        <v>1</v>
      </c>
      <c r="N516" s="676"/>
      <c r="O516" s="24">
        <f t="shared" si="86"/>
        <v>1</v>
      </c>
      <c r="P516" s="676"/>
      <c r="Q516" s="24">
        <f t="shared" si="87"/>
        <v>1</v>
      </c>
      <c r="R516" s="672">
        <f t="shared" si="88"/>
        <v>0</v>
      </c>
      <c r="S516" s="322">
        <f t="shared" si="89"/>
        <v>0</v>
      </c>
    </row>
    <row r="517" spans="1:19">
      <c r="A517" s="155"/>
      <c r="B517" s="57"/>
      <c r="C517" s="24">
        <f t="shared" si="80"/>
        <v>1</v>
      </c>
      <c r="D517" s="676"/>
      <c r="E517" s="24">
        <f t="shared" si="81"/>
        <v>1</v>
      </c>
      <c r="F517" s="676"/>
      <c r="G517" s="24">
        <f t="shared" si="82"/>
        <v>1</v>
      </c>
      <c r="H517" s="676"/>
      <c r="I517" s="24">
        <f t="shared" si="83"/>
        <v>1</v>
      </c>
      <c r="J517" s="676"/>
      <c r="K517" s="24">
        <f t="shared" si="84"/>
        <v>1</v>
      </c>
      <c r="L517" s="676"/>
      <c r="M517" s="24">
        <f t="shared" si="85"/>
        <v>1</v>
      </c>
      <c r="N517" s="676"/>
      <c r="O517" s="24">
        <f t="shared" si="86"/>
        <v>1</v>
      </c>
      <c r="P517" s="676"/>
      <c r="Q517" s="24">
        <f t="shared" si="87"/>
        <v>1</v>
      </c>
      <c r="R517" s="672">
        <f t="shared" si="88"/>
        <v>0</v>
      </c>
      <c r="S517" s="322">
        <f t="shared" si="89"/>
        <v>0</v>
      </c>
    </row>
    <row r="518" spans="1:19">
      <c r="A518" s="155"/>
      <c r="B518" s="57"/>
      <c r="C518" s="24">
        <f t="shared" si="80"/>
        <v>1</v>
      </c>
      <c r="D518" s="676"/>
      <c r="E518" s="24">
        <f t="shared" si="81"/>
        <v>1</v>
      </c>
      <c r="F518" s="676"/>
      <c r="G518" s="24">
        <f t="shared" si="82"/>
        <v>1</v>
      </c>
      <c r="H518" s="676"/>
      <c r="I518" s="24">
        <f t="shared" si="83"/>
        <v>1</v>
      </c>
      <c r="J518" s="676"/>
      <c r="K518" s="24">
        <f t="shared" si="84"/>
        <v>1</v>
      </c>
      <c r="L518" s="676"/>
      <c r="M518" s="24">
        <f t="shared" si="85"/>
        <v>1</v>
      </c>
      <c r="N518" s="676"/>
      <c r="O518" s="24">
        <f t="shared" si="86"/>
        <v>1</v>
      </c>
      <c r="P518" s="676"/>
      <c r="Q518" s="24">
        <f t="shared" si="87"/>
        <v>1</v>
      </c>
      <c r="R518" s="672">
        <f t="shared" si="88"/>
        <v>0</v>
      </c>
      <c r="S518" s="322">
        <f t="shared" si="89"/>
        <v>0</v>
      </c>
    </row>
    <row r="519" spans="1:19">
      <c r="A519" s="155"/>
      <c r="B519" s="57"/>
      <c r="C519" s="24">
        <f t="shared" si="80"/>
        <v>1</v>
      </c>
      <c r="D519" s="676"/>
      <c r="E519" s="24">
        <f t="shared" si="81"/>
        <v>1</v>
      </c>
      <c r="F519" s="676"/>
      <c r="G519" s="24">
        <f t="shared" si="82"/>
        <v>1</v>
      </c>
      <c r="H519" s="676"/>
      <c r="I519" s="24">
        <f t="shared" si="83"/>
        <v>1</v>
      </c>
      <c r="J519" s="676"/>
      <c r="K519" s="24">
        <f t="shared" si="84"/>
        <v>1</v>
      </c>
      <c r="L519" s="676"/>
      <c r="M519" s="24">
        <f t="shared" si="85"/>
        <v>1</v>
      </c>
      <c r="N519" s="676"/>
      <c r="O519" s="24">
        <f t="shared" si="86"/>
        <v>1</v>
      </c>
      <c r="P519" s="676"/>
      <c r="Q519" s="24">
        <f t="shared" si="87"/>
        <v>1</v>
      </c>
      <c r="R519" s="672">
        <f t="shared" si="88"/>
        <v>0</v>
      </c>
      <c r="S519" s="322">
        <f t="shared" si="89"/>
        <v>0</v>
      </c>
    </row>
    <row r="520" spans="1:19">
      <c r="A520" s="155"/>
      <c r="B520" s="57"/>
      <c r="C520" s="24">
        <f t="shared" si="80"/>
        <v>1</v>
      </c>
      <c r="D520" s="676"/>
      <c r="E520" s="24">
        <f t="shared" si="81"/>
        <v>1</v>
      </c>
      <c r="F520" s="676"/>
      <c r="G520" s="24">
        <f t="shared" si="82"/>
        <v>1</v>
      </c>
      <c r="H520" s="676"/>
      <c r="I520" s="24">
        <f t="shared" si="83"/>
        <v>1</v>
      </c>
      <c r="J520" s="676"/>
      <c r="K520" s="24">
        <f t="shared" si="84"/>
        <v>1</v>
      </c>
      <c r="L520" s="676"/>
      <c r="M520" s="24">
        <f t="shared" si="85"/>
        <v>1</v>
      </c>
      <c r="N520" s="676"/>
      <c r="O520" s="24">
        <f t="shared" si="86"/>
        <v>1</v>
      </c>
      <c r="P520" s="676"/>
      <c r="Q520" s="24">
        <f t="shared" si="87"/>
        <v>1</v>
      </c>
      <c r="R520" s="672">
        <f t="shared" si="88"/>
        <v>0</v>
      </c>
      <c r="S520" s="322">
        <f t="shared" si="89"/>
        <v>0</v>
      </c>
    </row>
    <row r="521" spans="1:19">
      <c r="A521" s="155"/>
      <c r="B521" s="57"/>
      <c r="C521" s="24">
        <f t="shared" si="80"/>
        <v>1</v>
      </c>
      <c r="D521" s="676"/>
      <c r="E521" s="24">
        <f t="shared" si="81"/>
        <v>1</v>
      </c>
      <c r="F521" s="676"/>
      <c r="G521" s="24">
        <f t="shared" si="82"/>
        <v>1</v>
      </c>
      <c r="H521" s="676"/>
      <c r="I521" s="24">
        <f t="shared" si="83"/>
        <v>1</v>
      </c>
      <c r="J521" s="676"/>
      <c r="K521" s="24">
        <f t="shared" si="84"/>
        <v>1</v>
      </c>
      <c r="L521" s="676"/>
      <c r="M521" s="24">
        <f t="shared" si="85"/>
        <v>1</v>
      </c>
      <c r="N521" s="676"/>
      <c r="O521" s="24">
        <f t="shared" si="86"/>
        <v>1</v>
      </c>
      <c r="P521" s="676"/>
      <c r="Q521" s="24">
        <f t="shared" si="87"/>
        <v>1</v>
      </c>
      <c r="R521" s="672">
        <f t="shared" si="88"/>
        <v>0</v>
      </c>
      <c r="S521" s="322">
        <f t="shared" si="89"/>
        <v>0</v>
      </c>
    </row>
    <row r="522" spans="1:19">
      <c r="A522" s="155"/>
      <c r="B522" s="57"/>
      <c r="C522" s="24">
        <f t="shared" si="80"/>
        <v>1</v>
      </c>
      <c r="D522" s="676"/>
      <c r="E522" s="24">
        <f t="shared" si="81"/>
        <v>1</v>
      </c>
      <c r="F522" s="676"/>
      <c r="G522" s="24">
        <f t="shared" si="82"/>
        <v>1</v>
      </c>
      <c r="H522" s="676"/>
      <c r="I522" s="24">
        <f t="shared" si="83"/>
        <v>1</v>
      </c>
      <c r="J522" s="676"/>
      <c r="K522" s="24">
        <f t="shared" si="84"/>
        <v>1</v>
      </c>
      <c r="L522" s="676"/>
      <c r="M522" s="24">
        <f t="shared" si="85"/>
        <v>1</v>
      </c>
      <c r="N522" s="676"/>
      <c r="O522" s="24">
        <f t="shared" si="86"/>
        <v>1</v>
      </c>
      <c r="P522" s="676"/>
      <c r="Q522" s="24">
        <f t="shared" si="87"/>
        <v>1</v>
      </c>
      <c r="R522" s="672">
        <f t="shared" si="88"/>
        <v>0</v>
      </c>
      <c r="S522" s="322">
        <f t="shared" si="89"/>
        <v>0</v>
      </c>
    </row>
    <row r="523" spans="1:19">
      <c r="A523" s="155"/>
      <c r="B523" s="57"/>
      <c r="C523" s="24">
        <f t="shared" si="80"/>
        <v>1</v>
      </c>
      <c r="D523" s="676"/>
      <c r="E523" s="24">
        <f t="shared" si="81"/>
        <v>1</v>
      </c>
      <c r="F523" s="676"/>
      <c r="G523" s="24">
        <f t="shared" si="82"/>
        <v>1</v>
      </c>
      <c r="H523" s="676"/>
      <c r="I523" s="24">
        <f t="shared" si="83"/>
        <v>1</v>
      </c>
      <c r="J523" s="676"/>
      <c r="K523" s="24">
        <f t="shared" si="84"/>
        <v>1</v>
      </c>
      <c r="L523" s="676"/>
      <c r="M523" s="24">
        <f t="shared" si="85"/>
        <v>1</v>
      </c>
      <c r="N523" s="676"/>
      <c r="O523" s="24">
        <f t="shared" si="86"/>
        <v>1</v>
      </c>
      <c r="P523" s="676"/>
      <c r="Q523" s="24">
        <f t="shared" si="87"/>
        <v>1</v>
      </c>
      <c r="R523" s="672">
        <f t="shared" si="88"/>
        <v>0</v>
      </c>
      <c r="S523" s="322">
        <f t="shared" si="89"/>
        <v>0</v>
      </c>
    </row>
    <row r="524" spans="1:19">
      <c r="A524" s="155"/>
      <c r="B524" s="57"/>
      <c r="C524" s="24">
        <f t="shared" si="80"/>
        <v>1</v>
      </c>
      <c r="D524" s="676"/>
      <c r="E524" s="24">
        <f t="shared" si="81"/>
        <v>1</v>
      </c>
      <c r="F524" s="676"/>
      <c r="G524" s="24">
        <f t="shared" si="82"/>
        <v>1</v>
      </c>
      <c r="H524" s="676"/>
      <c r="I524" s="24">
        <f t="shared" si="83"/>
        <v>1</v>
      </c>
      <c r="J524" s="676"/>
      <c r="K524" s="24">
        <f t="shared" si="84"/>
        <v>1</v>
      </c>
      <c r="L524" s="676"/>
      <c r="M524" s="24">
        <f t="shared" si="85"/>
        <v>1</v>
      </c>
      <c r="N524" s="676"/>
      <c r="O524" s="24">
        <f t="shared" si="86"/>
        <v>1</v>
      </c>
      <c r="P524" s="676"/>
      <c r="Q524" s="24">
        <f t="shared" si="87"/>
        <v>1</v>
      </c>
      <c r="R524" s="672">
        <f t="shared" si="88"/>
        <v>0</v>
      </c>
      <c r="S524" s="322">
        <f t="shared" si="89"/>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3000-000000000000}">
      <formula1>一修多修正项2</formula1>
    </dataValidation>
    <dataValidation type="list" allowBlank="1" showInputMessage="1" showErrorMessage="1" sqref="F24:F524" xr:uid="{00000000-0002-0000-3000-000001000000}">
      <formula1>一修多修正项3</formula1>
    </dataValidation>
    <dataValidation type="list" allowBlank="1" showInputMessage="1" showErrorMessage="1" sqref="H24:H524" xr:uid="{00000000-0002-0000-3000-000002000000}">
      <formula1>一修多修正项4</formula1>
    </dataValidation>
    <dataValidation type="list" allowBlank="1" showInputMessage="1" showErrorMessage="1" sqref="J24:J524" xr:uid="{00000000-0002-0000-3000-000003000000}">
      <formula1>一修多修正项5</formula1>
    </dataValidation>
    <dataValidation type="list" allowBlank="1" showInputMessage="1" showErrorMessage="1" sqref="L24:L524" xr:uid="{00000000-0002-0000-3000-000004000000}">
      <formula1>一修多修正项6</formula1>
    </dataValidation>
    <dataValidation type="list" allowBlank="1" showInputMessage="1" showErrorMessage="1" sqref="N24:N524" xr:uid="{00000000-0002-0000-3000-000005000000}">
      <formula1>一修多修正项7</formula1>
    </dataValidation>
    <dataValidation type="list" allowBlank="1" showInputMessage="1" showErrorMessage="1" sqref="P24:P524" xr:uid="{00000000-0002-0000-3000-000006000000}">
      <formula1>一修多修正项8</formula1>
    </dataValidation>
    <dataValidation type="list" allowBlank="1" showInputMessage="1" showErrorMessage="1" sqref="D20" xr:uid="{00000000-0002-0000-3000-000007000000}">
      <formula1>"需扣减承租人权益,——"</formula1>
    </dataValidation>
    <dataValidation type="list" allowBlank="1" showInputMessage="1" showErrorMessage="1" sqref="H20" xr:uid="{00000000-0002-0000-3000-000008000000}">
      <formula1>估价方法</formula1>
    </dataValidation>
  </dataValidations>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41820</v>
      </c>
      <c r="C2" s="2" t="s">
        <v>133</v>
      </c>
      <c r="D2" s="205"/>
      <c r="E2" s="205"/>
      <c r="F2" s="205"/>
      <c r="G2" s="205"/>
    </row>
    <row r="3" spans="1:7" s="206" customFormat="1" ht="18" customHeight="1" thickBot="1">
      <c r="A3" s="209" t="s">
        <v>85</v>
      </c>
      <c r="B3" s="210">
        <f ca="1">ROUND(B2*10000/'数据-汇总表'!E3,0)</f>
        <v>8769</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954</v>
      </c>
      <c r="D10" s="954">
        <f>'数据-汇总表'!E6</f>
        <v>47689.05</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954</v>
      </c>
      <c r="D19" s="958">
        <f>'数据-汇总表'!E3</f>
        <v>47689.05</v>
      </c>
      <c r="E19" s="217">
        <f>'数据-取费表'!B31</f>
        <v>200</v>
      </c>
      <c r="F19" s="237"/>
      <c r="G19" s="1" t="s">
        <v>1042</v>
      </c>
    </row>
    <row r="20" spans="1:7" s="220" customFormat="1" ht="13.5" customHeight="1">
      <c r="A20" s="885" t="s">
        <v>1025</v>
      </c>
      <c r="B20" s="216" t="s">
        <v>104</v>
      </c>
      <c r="C20" s="238">
        <f>ROUND((C5+C19)*F20,0)</f>
        <v>431</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2347</v>
      </c>
      <c r="D22" s="241">
        <f ca="1">C26</f>
        <v>1.1000000000000001E-3</v>
      </c>
      <c r="E22" s="242" t="s">
        <v>126</v>
      </c>
      <c r="F22" s="243">
        <f ca="1">'数据-取费表'!B40</f>
        <v>5.2499999999999998E-2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2221</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103</v>
      </c>
      <c r="D24" s="244"/>
      <c r="E24" s="244"/>
      <c r="F24" s="245"/>
      <c r="G24" s="246" t="s">
        <v>109</v>
      </c>
    </row>
    <row r="25" spans="1:7" s="220" customFormat="1" ht="24">
      <c r="A25" s="888" t="s">
        <v>793</v>
      </c>
      <c r="B25" s="221" t="s">
        <v>1026</v>
      </c>
      <c r="C25" s="1265">
        <f ca="1">ROUND(IF('数据-取费表'!B22&lt;=1,C20*F22*'数据-取费表'!B23/2,C20*(POWER((1+F22),'数据-取费表'!B23/2)-1)),0)</f>
        <v>23</v>
      </c>
      <c r="D25" s="244"/>
      <c r="E25" s="247"/>
      <c r="F25" s="245"/>
      <c r="G25" s="248" t="s">
        <v>110</v>
      </c>
    </row>
    <row r="26" spans="1:7" s="220" customFormat="1">
      <c r="A26" s="888" t="s">
        <v>795</v>
      </c>
      <c r="B26" s="221" t="s">
        <v>1028</v>
      </c>
      <c r="C26" s="244">
        <f ca="1">ROUND(IF('数据-取费表'!B22&lt;=1,F21*F22*'数据-取费表'!B23/2,F21*(POWER((1+F22),'数据-取费表'!B23/2)-1)),4)</f>
        <v>1.1000000000000001E-3</v>
      </c>
      <c r="D26" s="244"/>
      <c r="E26" s="247"/>
      <c r="F26" s="245"/>
      <c r="G26" s="249"/>
    </row>
    <row r="27" spans="1:7" s="220" customFormat="1" ht="24.75">
      <c r="A27" s="885" t="s">
        <v>787</v>
      </c>
      <c r="B27" s="250" t="s">
        <v>112</v>
      </c>
      <c r="C27" s="251">
        <f>C28</f>
        <v>4179</v>
      </c>
      <c r="D27" s="241">
        <f>C29</f>
        <v>3.8E-3</v>
      </c>
      <c r="E27" s="242" t="s">
        <v>126</v>
      </c>
      <c r="F27" s="252">
        <f>'数据-取费表'!Q16</f>
        <v>0.19</v>
      </c>
      <c r="G27" s="253" t="s">
        <v>1037</v>
      </c>
    </row>
    <row r="28" spans="1:7" s="220" customFormat="1" ht="13.5" customHeight="1">
      <c r="A28" s="888" t="s">
        <v>794</v>
      </c>
      <c r="B28" s="254" t="s">
        <v>1030</v>
      </c>
      <c r="C28" s="255">
        <f>ROUND((C5+C19+C20)*F27*'数据-取费表'!B21/'数据-取费表'!B20,0)</f>
        <v>4179</v>
      </c>
      <c r="D28" s="241"/>
      <c r="E28" s="242"/>
      <c r="F28" s="252"/>
      <c r="G28" s="253"/>
    </row>
    <row r="29" spans="1:7" s="220" customFormat="1" ht="13.5" customHeight="1">
      <c r="A29" s="888" t="s">
        <v>792</v>
      </c>
      <c r="B29" s="254" t="s">
        <v>1031</v>
      </c>
      <c r="C29" s="244">
        <f>ROUND(C21*F27*'数据-取费表'!B21/'数据-取费表'!B20,4)</f>
        <v>3.8E-3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30942</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9889</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8550</v>
      </c>
      <c r="D34" s="223"/>
      <c r="E34" s="226"/>
      <c r="F34" s="263">
        <f>IF('数据-取费表'!B24=0,1,'数据-取费表'!N16)</f>
        <v>1</v>
      </c>
      <c r="G34" s="225" t="s">
        <v>116</v>
      </c>
    </row>
    <row r="35" spans="1:7" ht="13.5" customHeight="1">
      <c r="A35" s="888" t="s">
        <v>796</v>
      </c>
      <c r="B35" s="221" t="s">
        <v>60</v>
      </c>
      <c r="C35" s="226">
        <f>ROUND(C34*F35,0)</f>
        <v>257</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954</v>
      </c>
      <c r="D37" s="223">
        <f>'数据-汇总表'!E3</f>
        <v>47689.05</v>
      </c>
      <c r="E37" s="255">
        <f>'数据-取费表'!B35</f>
        <v>200</v>
      </c>
      <c r="F37" s="265"/>
      <c r="G37" s="267" t="s">
        <v>119</v>
      </c>
    </row>
    <row r="38" spans="1:7" ht="13.5" customHeight="1">
      <c r="A38" s="888" t="s">
        <v>799</v>
      </c>
      <c r="B38" s="221" t="s">
        <v>63</v>
      </c>
      <c r="C38" s="226">
        <f>ROUND(C34*F38,0)</f>
        <v>128</v>
      </c>
      <c r="D38" s="226"/>
      <c r="E38" s="226"/>
      <c r="F38" s="265">
        <f>'数据-取费表'!B36</f>
        <v>1.4999999999999999E-2</v>
      </c>
      <c r="G38" s="225" t="s">
        <v>117</v>
      </c>
    </row>
    <row r="39" spans="1:7" s="220" customFormat="1" ht="13.5" customHeight="1">
      <c r="A39" s="885" t="s">
        <v>783</v>
      </c>
      <c r="B39" s="216" t="s">
        <v>104</v>
      </c>
      <c r="C39" s="238">
        <f>ROUND(C33*F20,0)</f>
        <v>198</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529</v>
      </c>
      <c r="D41" s="241">
        <f ca="1">C44</f>
        <v>1.1000000000000001E-3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519</v>
      </c>
      <c r="D42" s="244"/>
      <c r="E42" s="244"/>
      <c r="F42" s="245"/>
      <c r="G42" s="3732" t="s">
        <v>121</v>
      </c>
    </row>
    <row r="43" spans="1:7" ht="13.5" customHeight="1">
      <c r="A43" s="888" t="s">
        <v>792</v>
      </c>
      <c r="B43" s="221" t="s">
        <v>1032</v>
      </c>
      <c r="C43" s="244">
        <f ca="1">ROUND(IF('数据-取费表'!B22&lt;=1,C39*F22*'数据-取费表'!B21/2,C39*(POWER((1+F22),'数据-取费表'!B21/2)-1)),0)</f>
        <v>10</v>
      </c>
      <c r="D43" s="244"/>
      <c r="E43" s="244"/>
      <c r="F43" s="245"/>
      <c r="G43" s="3733"/>
    </row>
    <row r="44" spans="1:7" ht="13.5" customHeight="1">
      <c r="A44" s="888" t="s">
        <v>793</v>
      </c>
      <c r="B44" s="221" t="s">
        <v>1034</v>
      </c>
      <c r="C44" s="244">
        <f ca="1">ROUND(IF('数据-取费表'!B22&lt;=1,C40*F22*'数据-取费表'!B21/2,C40*(POWER((1+F22),'数据-取费表'!B21/2)-1)),4)</f>
        <v>1.1000000000000001E-3</v>
      </c>
      <c r="D44" s="244"/>
      <c r="E44" s="244"/>
      <c r="F44" s="245"/>
      <c r="G44" s="3734"/>
    </row>
    <row r="45" spans="1:7" s="220" customFormat="1" ht="13.5" customHeight="1">
      <c r="A45" s="885" t="s">
        <v>786</v>
      </c>
      <c r="B45" s="250" t="s">
        <v>112</v>
      </c>
      <c r="C45" s="251">
        <f>C46</f>
        <v>1917</v>
      </c>
      <c r="D45" s="241">
        <f>C47</f>
        <v>3.8E-3</v>
      </c>
      <c r="E45" s="242" t="s">
        <v>129</v>
      </c>
      <c r="F45" s="252"/>
      <c r="G45" s="253" t="s">
        <v>1040</v>
      </c>
    </row>
    <row r="46" spans="1:7" s="220" customFormat="1" ht="13.5" customHeight="1">
      <c r="A46" s="888" t="s">
        <v>794</v>
      </c>
      <c r="B46" s="254" t="s">
        <v>1033</v>
      </c>
      <c r="C46" s="255">
        <f>ROUND((C33+C39)*F27,0)</f>
        <v>1917</v>
      </c>
      <c r="D46" s="269"/>
      <c r="E46" s="242"/>
      <c r="F46" s="252"/>
      <c r="G46" s="253"/>
    </row>
    <row r="47" spans="1:7" s="220" customFormat="1" ht="13.5" customHeight="1">
      <c r="A47" s="888" t="s">
        <v>792</v>
      </c>
      <c r="B47" s="254" t="s">
        <v>1035</v>
      </c>
      <c r="C47" s="244">
        <f>ROUND(C40*F27,4)</f>
        <v>3.8E-3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13597</v>
      </c>
      <c r="D49" s="238"/>
      <c r="E49" s="238"/>
      <c r="F49" s="270"/>
      <c r="G49" s="240" t="s">
        <v>1041</v>
      </c>
    </row>
    <row r="50" spans="1:7" s="264" customFormat="1" ht="24">
      <c r="A50" s="885" t="s">
        <v>789</v>
      </c>
      <c r="B50" s="216" t="s">
        <v>124</v>
      </c>
      <c r="C50" s="238"/>
      <c r="D50" s="238"/>
      <c r="E50" s="238"/>
      <c r="F50" s="270">
        <f>IF('数据-取费表'!B24=0,'数据-取费表'!N16,1)</f>
        <v>0.8</v>
      </c>
      <c r="G50" s="253" t="s">
        <v>125</v>
      </c>
    </row>
    <row r="51" spans="1:7" ht="16.5" customHeight="1">
      <c r="A51" s="885" t="s">
        <v>790</v>
      </c>
      <c r="B51" s="216" t="s">
        <v>132</v>
      </c>
      <c r="C51" s="238">
        <f ca="1">ROUND(C49*F50,0)</f>
        <v>10878</v>
      </c>
      <c r="D51" s="238"/>
      <c r="E51" s="238"/>
      <c r="F51" s="270"/>
      <c r="G51" s="240" t="s">
        <v>64</v>
      </c>
    </row>
    <row r="52" spans="1:7" s="214" customFormat="1" ht="16.5" thickBot="1">
      <c r="A52" s="271" t="s">
        <v>65</v>
      </c>
      <c r="B52" s="272"/>
      <c r="C52" s="273">
        <f ca="1">C31+C51</f>
        <v>41820</v>
      </c>
      <c r="D52" s="272"/>
      <c r="E52" s="272"/>
      <c r="F52" s="272"/>
      <c r="G52" s="274"/>
    </row>
    <row r="55" spans="1:7" ht="15">
      <c r="B55" s="276" t="s">
        <v>66</v>
      </c>
      <c r="C55" s="277"/>
    </row>
    <row r="56" spans="1:7">
      <c r="B56" s="279" t="s">
        <v>67</v>
      </c>
      <c r="C56" s="280">
        <f ca="1">ROUND(C51/C52,3)</f>
        <v>0.26</v>
      </c>
    </row>
    <row r="57" spans="1:7">
      <c r="B57" s="279" t="s">
        <v>68</v>
      </c>
      <c r="C57" s="281">
        <f ca="1">1-C56</f>
        <v>0.74</v>
      </c>
    </row>
  </sheetData>
  <mergeCells count="1">
    <mergeCell ref="G42:G44"/>
  </mergeCells>
  <phoneticPr fontId="19" type="noConversion"/>
  <dataValidations count="2">
    <dataValidation type="list" allowBlank="1" showInputMessage="1" showErrorMessage="1" sqref="G19" xr:uid="{00000000-0002-0000-3100-000000000000}">
      <formula1>"已包含在土地取得成本中,未包含在土地取得成本中"</formula1>
    </dataValidation>
    <dataValidation type="list" allowBlank="1" showInputMessage="1" showErrorMessage="1" sqref="G8" xr:uid="{00000000-0002-0000-31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961" t="s">
        <v>156</v>
      </c>
      <c r="B1" s="3961"/>
      <c r="C1" s="3961"/>
      <c r="D1" s="3961"/>
      <c r="E1" s="3961"/>
      <c r="F1" s="3961"/>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962" t="s">
        <v>169</v>
      </c>
      <c r="B2" s="3962"/>
      <c r="C2" s="3962"/>
      <c r="D2" s="3962"/>
      <c r="E2" s="3962"/>
      <c r="F2" s="3962"/>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963"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964"/>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961" t="s">
        <v>839</v>
      </c>
      <c r="B1" s="3961"/>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7"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IW68"/>
  <sheetViews>
    <sheetView workbookViewId="0">
      <selection activeCell="D24" sqref="D24"/>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42914</v>
      </c>
      <c r="D1" s="1470" t="s">
        <v>1268</v>
      </c>
      <c r="E1" s="1465">
        <f>'数据-取费表'!B22</f>
        <v>2</v>
      </c>
      <c r="F1" s="1470" t="s">
        <v>1269</v>
      </c>
      <c r="G1" s="1466">
        <f ca="1">INDIRECT("d"&amp;$K$1)/100</f>
        <v>4.7500000000000001E-2</v>
      </c>
      <c r="H1" s="1470" t="s">
        <v>1299</v>
      </c>
      <c r="I1" s="1466">
        <f ca="1">F4/100</f>
        <v>1.4999999999999999E-2</v>
      </c>
      <c r="J1" s="1471">
        <f>IF(C1&gt;C13,0,MATCH(C1,C$13:C$105,-1))+IF(SUMIF(C13:C105,C1,D13:D105)=0,13,12)</f>
        <v>18</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4.3499999999999996</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4.3499999999999996</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4.75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4.75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4.9000000000000004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0">
        <v>43941</v>
      </c>
      <c r="D13" s="3051">
        <v>3.85</v>
      </c>
      <c r="E13" s="3051">
        <v>3.85</v>
      </c>
      <c r="F13" s="3051">
        <v>3.85</v>
      </c>
      <c r="G13" s="3051">
        <v>3.85</v>
      </c>
      <c r="H13" s="3051">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6"/>
      <c r="C14" s="3047">
        <v>43881</v>
      </c>
      <c r="D14" s="3046">
        <v>4.05</v>
      </c>
      <c r="E14" s="3046">
        <v>4.05</v>
      </c>
      <c r="F14" s="3046">
        <v>4.05</v>
      </c>
      <c r="G14" s="3046">
        <v>4.05</v>
      </c>
      <c r="H14" s="3046">
        <v>4.75</v>
      </c>
      <c r="I14" s="3046"/>
      <c r="J14" s="3046"/>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6"/>
      <c r="C15" s="3047">
        <v>43789</v>
      </c>
      <c r="D15" s="3046">
        <v>4.1500000000000004</v>
      </c>
      <c r="E15" s="3046">
        <v>4.1500000000000004</v>
      </c>
      <c r="F15" s="3046">
        <v>4.1500000000000004</v>
      </c>
      <c r="G15" s="3046">
        <v>4.1500000000000004</v>
      </c>
      <c r="H15" s="3046">
        <v>4.8</v>
      </c>
      <c r="I15" s="3046"/>
      <c r="J15" s="3046"/>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6"/>
      <c r="C16" s="3047">
        <v>43728</v>
      </c>
      <c r="D16" s="3046">
        <v>4.2</v>
      </c>
      <c r="E16" s="3046">
        <v>4.2</v>
      </c>
      <c r="F16" s="3046">
        <v>4.2</v>
      </c>
      <c r="G16" s="3046">
        <v>4.2</v>
      </c>
      <c r="H16" s="3046">
        <v>4.8499999999999996</v>
      </c>
      <c r="I16" s="3046"/>
      <c r="J16" s="3046"/>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5" t="s">
        <v>3054</v>
      </c>
      <c r="C17" s="3048">
        <v>43697</v>
      </c>
      <c r="D17" s="3049">
        <v>4.25</v>
      </c>
      <c r="E17" s="3049">
        <v>4.25</v>
      </c>
      <c r="F17" s="3049">
        <v>4.25</v>
      </c>
      <c r="G17" s="3049">
        <v>4.25</v>
      </c>
      <c r="H17" s="3049">
        <v>4.8499999999999996</v>
      </c>
      <c r="I17" s="3049"/>
      <c r="J17" s="3049"/>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7" customFormat="1" ht="15">
      <c r="A18" s="3052"/>
      <c r="B18" s="3053"/>
      <c r="C18" s="3054">
        <v>42301</v>
      </c>
      <c r="D18" s="3055">
        <v>4.3499999999999996</v>
      </c>
      <c r="E18" s="3055">
        <v>4.3499999999999996</v>
      </c>
      <c r="F18" s="3055">
        <v>4.75</v>
      </c>
      <c r="G18" s="3055">
        <v>4.75</v>
      </c>
      <c r="H18" s="3055">
        <v>4.9000000000000004</v>
      </c>
      <c r="I18" s="3055"/>
      <c r="J18" s="3055"/>
      <c r="K18" s="1446"/>
      <c r="L18" s="3055"/>
      <c r="M18" s="3054">
        <v>41965</v>
      </c>
      <c r="N18" s="3055">
        <v>0.35</v>
      </c>
      <c r="O18" s="3055">
        <v>2.35</v>
      </c>
      <c r="P18" s="3055">
        <v>2.5499999999999998</v>
      </c>
      <c r="Q18" s="3055">
        <v>2.75</v>
      </c>
      <c r="R18" s="3055">
        <v>3.35</v>
      </c>
      <c r="S18" s="3055">
        <v>4</v>
      </c>
      <c r="T18" s="3055">
        <v>4.75</v>
      </c>
      <c r="U18" s="3056">
        <v>2.35</v>
      </c>
      <c r="V18" s="3056">
        <v>2.5499999999999998</v>
      </c>
      <c r="W18" s="3056">
        <v>2.75</v>
      </c>
      <c r="X18" s="3055"/>
      <c r="Y18" s="3056">
        <v>0.8</v>
      </c>
      <c r="Z18" s="3056">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1"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1"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525" t="s">
        <v>1627</v>
      </c>
      <c r="B1" s="3525"/>
      <c r="C1" s="3525"/>
      <c r="D1" s="3525"/>
    </row>
    <row r="2" spans="1:4" ht="18">
      <c r="A2" s="3526" t="s">
        <v>1611</v>
      </c>
      <c r="B2" s="3526"/>
      <c r="C2" s="3526"/>
      <c r="D2" s="3526"/>
    </row>
    <row r="3" spans="1:4" ht="18.75">
      <c r="A3" s="1694" t="s">
        <v>1612</v>
      </c>
      <c r="B3" s="1694" t="s">
        <v>1613</v>
      </c>
      <c r="C3" s="1694" t="s">
        <v>1614</v>
      </c>
      <c r="D3" s="1694" t="s">
        <v>1615</v>
      </c>
    </row>
    <row r="4" spans="1:4" ht="56.25" customHeight="1">
      <c r="A4" s="1695" t="str">
        <f>项目基本情况!B4</f>
        <v>梁津</v>
      </c>
      <c r="B4" s="1696">
        <f ca="1">项目基本情况!C4</f>
        <v>1119970066</v>
      </c>
      <c r="C4" s="1697"/>
      <c r="D4" s="1698" t="s">
        <v>1616</v>
      </c>
    </row>
    <row r="5" spans="1:4" ht="56.25" customHeight="1">
      <c r="A5" s="1695" t="str">
        <f>项目基本情况!D4</f>
        <v>陈颖</v>
      </c>
      <c r="B5" s="1696">
        <f ca="1">项目基本情况!E4</f>
        <v>0</v>
      </c>
      <c r="C5" s="1699"/>
      <c r="D5" s="1698" t="s">
        <v>1616</v>
      </c>
    </row>
    <row r="6" spans="1:4" ht="18">
      <c r="A6" s="3526" t="s">
        <v>1617</v>
      </c>
      <c r="B6" s="3526"/>
      <c r="C6" s="3526"/>
      <c r="D6" s="3526"/>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527" t="s">
        <v>1620</v>
      </c>
      <c r="B11" s="3528"/>
      <c r="C11" s="3528"/>
      <c r="D11" s="3528"/>
    </row>
    <row r="12" spans="1:4" ht="15.75">
      <c r="A12" s="35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29"/>
      <c r="C12" s="3529"/>
      <c r="D12" s="3529"/>
    </row>
    <row r="13" spans="1:4" ht="30" customHeight="1">
      <c r="A13" s="3528" t="str">
        <f>IF(项目基本情况!B8="抵押","3.抵押双方在办理抵押登记手续时，应使用本公司出具的正式《房地产评估报告》，特提醒报告使用者注意。","——")</f>
        <v>——</v>
      </c>
      <c r="B13" s="3529"/>
      <c r="C13" s="3529"/>
      <c r="D13" s="3529"/>
    </row>
    <row r="14" spans="1:4" ht="15.75" customHeight="1">
      <c r="A14" s="3528" t="str">
        <f>IF(项目基本情况!B8="抵押","4.本次评估估价师所知悉的法定优先受偿款情况说明如下：","——")</f>
        <v>——</v>
      </c>
      <c r="B14" s="3529"/>
      <c r="C14" s="3529"/>
      <c r="D14" s="3529"/>
    </row>
    <row r="15" spans="1:4" ht="42" customHeight="1">
      <c r="A15" s="3528" t="str">
        <f>IF(项目基本情况!B8="抵押","（1）"&amp;CONCATENATE(项目基本情况!L20,项目基本情况!L21,项目基本情况!L22),"——")</f>
        <v>——</v>
      </c>
      <c r="B15" s="3528"/>
      <c r="C15" s="3528"/>
      <c r="D15" s="3528"/>
    </row>
    <row r="16" spans="1:4" ht="30" customHeight="1">
      <c r="A16" s="3531" t="s">
        <v>1621</v>
      </c>
      <c r="B16" s="3531"/>
      <c r="C16" s="3531"/>
      <c r="D16" s="3531"/>
    </row>
    <row r="17" spans="1:4" ht="144" customHeight="1">
      <c r="A17" s="3531" t="s">
        <v>1622</v>
      </c>
      <c r="B17" s="3531"/>
      <c r="C17" s="3531"/>
      <c r="D17" s="3531"/>
    </row>
    <row r="18" spans="1:4" ht="15.75" customHeight="1">
      <c r="A18" s="3528" t="str">
        <f>IF(项目基本情况!B8="抵押",结果表!K120,"——")</f>
        <v>——</v>
      </c>
      <c r="B18" s="3528"/>
      <c r="C18" s="3528"/>
      <c r="D18" s="3528"/>
    </row>
    <row r="19" spans="1:4" ht="46.5" customHeight="1">
      <c r="A19" s="35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28"/>
      <c r="C19" s="3528"/>
      <c r="D19" s="3528"/>
    </row>
    <row r="20" spans="1:4" ht="57.75" customHeight="1">
      <c r="A20" s="352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8"/>
      <c r="C20" s="3528"/>
      <c r="D20" s="3528"/>
    </row>
    <row r="21" spans="1:4" ht="57.75" customHeight="1">
      <c r="A21" s="353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32"/>
      <c r="C21" s="3532"/>
      <c r="D21" s="3532"/>
    </row>
    <row r="22" spans="1:4" ht="18.75" customHeight="1">
      <c r="A22" s="3533" t="s">
        <v>1623</v>
      </c>
      <c r="B22" s="3533"/>
      <c r="C22" s="3533"/>
      <c r="D22" s="3533"/>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530">
        <v>42551</v>
      </c>
      <c r="D31" s="353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539" t="s">
        <v>1634</v>
      </c>
      <c r="B15" s="3534" t="s">
        <v>136</v>
      </c>
      <c r="C15" s="3535"/>
    </row>
    <row r="16" spans="1:7" ht="13.5">
      <c r="A16" s="3540"/>
      <c r="B16" s="3534" t="s">
        <v>69</v>
      </c>
      <c r="C16" s="3535"/>
    </row>
    <row r="17" spans="1:3" ht="13.5">
      <c r="A17" s="3540"/>
      <c r="B17" s="3537" t="s">
        <v>1635</v>
      </c>
      <c r="C17" s="1717" t="s">
        <v>1634</v>
      </c>
    </row>
    <row r="18" spans="1:3" ht="13.5">
      <c r="A18" s="3540"/>
      <c r="B18" s="3537"/>
      <c r="C18" s="1717" t="s">
        <v>1636</v>
      </c>
    </row>
    <row r="19" spans="1:3" ht="13.5">
      <c r="A19" s="3540"/>
      <c r="B19" s="3537"/>
      <c r="C19" s="1717" t="s">
        <v>1637</v>
      </c>
    </row>
    <row r="20" spans="1:3" ht="13.5">
      <c r="A20" s="3541"/>
      <c r="B20" s="3536" t="s">
        <v>1638</v>
      </c>
      <c r="C20" s="3535"/>
    </row>
    <row r="21" spans="1:3" ht="13.5">
      <c r="A21" s="1718" t="s">
        <v>1639</v>
      </c>
      <c r="B21" s="1719"/>
      <c r="C21" s="1720"/>
    </row>
    <row r="22" spans="1:3" ht="13.5">
      <c r="A22" s="3538" t="s">
        <v>1640</v>
      </c>
      <c r="B22" s="3536" t="s">
        <v>1641</v>
      </c>
      <c r="C22" s="3535"/>
    </row>
    <row r="23" spans="1:3" ht="13.5">
      <c r="A23" s="3538"/>
      <c r="B23" s="3536" t="s">
        <v>1642</v>
      </c>
      <c r="C23" s="3535"/>
    </row>
    <row r="24" spans="1:3" ht="13.5">
      <c r="A24" s="3538"/>
      <c r="B24" s="3536" t="s">
        <v>1643</v>
      </c>
      <c r="C24" s="3535"/>
    </row>
    <row r="25" spans="1:3" ht="13.5">
      <c r="A25" s="3538"/>
      <c r="B25" s="3537" t="s">
        <v>1644</v>
      </c>
      <c r="C25" s="1717" t="s">
        <v>1645</v>
      </c>
    </row>
    <row r="26" spans="1:3" ht="13.5">
      <c r="A26" s="3538"/>
      <c r="B26" s="3537"/>
      <c r="C26" s="1717" t="s">
        <v>1646</v>
      </c>
    </row>
    <row r="27" spans="1:3" ht="13.5">
      <c r="A27" s="3538"/>
      <c r="B27" s="3537"/>
      <c r="C27" s="1717" t="s">
        <v>1647</v>
      </c>
    </row>
    <row r="28" spans="1:3" ht="13.5">
      <c r="A28" s="3538"/>
      <c r="B28" s="3537"/>
      <c r="C28" s="1717" t="s">
        <v>1648</v>
      </c>
    </row>
    <row r="29" spans="1:3" ht="13.5">
      <c r="A29" s="3538"/>
      <c r="B29" s="3537"/>
      <c r="C29" s="1717" t="s">
        <v>1649</v>
      </c>
    </row>
    <row r="30" spans="1:3" ht="13.5">
      <c r="A30" s="3538"/>
      <c r="B30" s="3537"/>
      <c r="C30" s="1717" t="s">
        <v>1650</v>
      </c>
    </row>
    <row r="31" spans="1:3" ht="13.5">
      <c r="A31" s="3538"/>
      <c r="B31" s="3537"/>
      <c r="C31" s="1717" t="s">
        <v>1651</v>
      </c>
    </row>
    <row r="32" spans="1:3" ht="13.5">
      <c r="A32" s="3538"/>
      <c r="B32" s="3537"/>
      <c r="C32" s="1717" t="s">
        <v>1652</v>
      </c>
    </row>
    <row r="33" spans="1:3" ht="13.5">
      <c r="A33" s="3538"/>
      <c r="B33" s="3537"/>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2878</v>
      </c>
      <c r="B2" s="2562">
        <f ca="1">TODAY()</f>
        <v>44567</v>
      </c>
      <c r="C2" s="2563" t="s">
        <v>2879</v>
      </c>
      <c r="D2" s="2563"/>
      <c r="E2" s="2563"/>
      <c r="F2" s="2559"/>
      <c r="G2" s="2559"/>
      <c r="H2" s="2559"/>
    </row>
    <row r="3" spans="1:8" ht="24" customHeight="1">
      <c r="A3" s="2564" t="s">
        <v>2880</v>
      </c>
      <c r="B3" s="2565" t="s">
        <v>2881</v>
      </c>
      <c r="C3" s="2565" t="s">
        <v>2882</v>
      </c>
      <c r="D3" s="2566" t="s">
        <v>2883</v>
      </c>
      <c r="E3" s="2567" t="s">
        <v>2884</v>
      </c>
      <c r="F3" s="1472" t="s">
        <v>2885</v>
      </c>
      <c r="G3" s="2565" t="s">
        <v>2882</v>
      </c>
      <c r="H3" s="2566" t="s">
        <v>2886</v>
      </c>
    </row>
    <row r="4" spans="1:8" ht="24" customHeight="1">
      <c r="A4" s="1472" t="s">
        <v>2887</v>
      </c>
      <c r="B4" s="1472">
        <f ca="1">IF(C4&lt;B2,"已过期",1119970066)</f>
        <v>1119970066</v>
      </c>
      <c r="C4" s="2568">
        <v>44876</v>
      </c>
      <c r="D4" s="2569" t="str">
        <f ca="1">A4&amp;"（注册号："&amp;B4&amp;"）"</f>
        <v>梁津（注册号：1119970066）</v>
      </c>
      <c r="E4" s="2570" t="s">
        <v>2887</v>
      </c>
      <c r="F4" s="1472">
        <f ca="1">IF(G4&lt;B2,"已过期",96010014)</f>
        <v>96010014</v>
      </c>
      <c r="G4" s="2571">
        <v>47118</v>
      </c>
      <c r="H4" s="2572" t="str">
        <f ca="1">E4&amp;"（注册号："&amp;F4&amp;"）"</f>
        <v>梁津（注册号：96010014）</v>
      </c>
    </row>
    <row r="5" spans="1:8" ht="24" customHeight="1">
      <c r="A5" s="1472" t="s">
        <v>2888</v>
      </c>
      <c r="B5" s="1472">
        <f ca="1">IF(C5&lt;B2,"已过期",1119970111)</f>
        <v>1119970111</v>
      </c>
      <c r="C5" s="2568">
        <v>44876</v>
      </c>
      <c r="D5" s="2569" t="str">
        <f t="shared" ref="D5:D15" ca="1" si="0">A5&amp;"（注册号："&amp;B5&amp;"）"</f>
        <v>叶凌（注册号：1119970111）</v>
      </c>
      <c r="E5" s="2570" t="s">
        <v>2888</v>
      </c>
      <c r="F5" s="1472">
        <f ca="1">IF(G5&lt;B2,"已过期",94010078)</f>
        <v>94010078</v>
      </c>
      <c r="G5" s="2571">
        <v>46387</v>
      </c>
      <c r="H5" s="2572" t="str">
        <f t="shared" ref="H5:H16" ca="1" si="1">E5&amp;"（注册号："&amp;F5&amp;"）"</f>
        <v>叶凌（注册号：94010078）</v>
      </c>
    </row>
    <row r="6" spans="1:8" ht="24" customHeight="1">
      <c r="A6" s="1472" t="s">
        <v>2889</v>
      </c>
      <c r="B6" s="1472" t="str">
        <f ca="1">IF(C6&lt;B2,"已过期",1120050019)</f>
        <v>已过期</v>
      </c>
      <c r="C6" s="2568">
        <v>44395</v>
      </c>
      <c r="D6" s="2569" t="str">
        <f t="shared" ca="1" si="0"/>
        <v>王鹏（注册号：已过期）</v>
      </c>
      <c r="E6" s="2570" t="s">
        <v>2889</v>
      </c>
      <c r="F6" s="1472">
        <f ca="1">IF(G6&lt;B2,"已过期",2002110030)</f>
        <v>2002110030</v>
      </c>
      <c r="G6" s="2571">
        <v>46387</v>
      </c>
      <c r="H6" s="2572" t="str">
        <f t="shared" ca="1" si="1"/>
        <v>王鹏（注册号：2002110030）</v>
      </c>
    </row>
    <row r="7" spans="1:8" ht="24" customHeight="1">
      <c r="A7" s="1472" t="s">
        <v>2890</v>
      </c>
      <c r="B7" s="1472">
        <f ca="1">IF(C7&lt;B2,"已过期",1120000080)</f>
        <v>1120000080</v>
      </c>
      <c r="C7" s="2568">
        <v>44876</v>
      </c>
      <c r="D7" s="2569" t="str">
        <f t="shared" ca="1" si="0"/>
        <v>欧红伟（注册号：1120000080）</v>
      </c>
      <c r="E7" s="2570" t="s">
        <v>2890</v>
      </c>
      <c r="F7" s="1472">
        <f ca="1">IF(G7&lt;B2,"已过期",2000110082)</f>
        <v>2000110082</v>
      </c>
      <c r="G7" s="2571">
        <v>46387</v>
      </c>
      <c r="H7" s="2572" t="str">
        <f t="shared" ca="1" si="1"/>
        <v>欧红伟（注册号：2000110082）</v>
      </c>
    </row>
    <row r="8" spans="1:8" ht="24" customHeight="1">
      <c r="A8" s="1472" t="s">
        <v>2891</v>
      </c>
      <c r="B8" s="1472">
        <f ca="1">IF(C8&lt;B2,"已过期",1419970001)</f>
        <v>1419970001</v>
      </c>
      <c r="C8" s="2568">
        <v>44899</v>
      </c>
      <c r="D8" s="2569" t="str">
        <f t="shared" ca="1" si="0"/>
        <v>吴薇（注册号：1419970001）</v>
      </c>
      <c r="E8" s="2570" t="s">
        <v>2891</v>
      </c>
      <c r="F8" s="1472">
        <f ca="1">IF(G8&lt;B2,"已过期",2002110125)</f>
        <v>2002110125</v>
      </c>
      <c r="G8" s="2571">
        <v>47118</v>
      </c>
      <c r="H8" s="2572" t="str">
        <f t="shared" ca="1" si="1"/>
        <v>吴薇（注册号：2002110125）</v>
      </c>
    </row>
    <row r="9" spans="1:8" ht="24" customHeight="1">
      <c r="A9" s="1472" t="s">
        <v>2892</v>
      </c>
      <c r="B9" s="1472" t="str">
        <f ca="1">IF(C9&lt;B2,"已过期",1120060040)</f>
        <v>已过期</v>
      </c>
      <c r="C9" s="2573">
        <v>44554</v>
      </c>
      <c r="D9" s="2569" t="str">
        <f t="shared" ca="1" si="0"/>
        <v>陈颖（注册号：已过期）</v>
      </c>
      <c r="E9" s="2570" t="s">
        <v>2892</v>
      </c>
      <c r="F9" s="1472">
        <f ca="1">IF(G9&lt;B2,"已过期",2004110096)</f>
        <v>2004110096</v>
      </c>
      <c r="G9" s="2571">
        <v>47118</v>
      </c>
      <c r="H9" s="2572" t="str">
        <f t="shared" ca="1" si="1"/>
        <v>陈颖（注册号：2004110096）</v>
      </c>
    </row>
    <row r="10" spans="1:8" ht="24" customHeight="1">
      <c r="A10" s="1472" t="s">
        <v>2893</v>
      </c>
      <c r="B10" s="1472">
        <f ca="1">IF(C10&lt;B2,"已过期",1120100036)</f>
        <v>1120100036</v>
      </c>
      <c r="C10" s="2573">
        <v>44675</v>
      </c>
      <c r="D10" s="2569" t="str">
        <f t="shared" ca="1" si="0"/>
        <v>崔锴（注册号：1120100036）</v>
      </c>
      <c r="E10" s="2570" t="s">
        <v>2893</v>
      </c>
      <c r="F10" s="1472">
        <f ca="1">IF(G10&lt;B2,"已过期",2010110070)</f>
        <v>2010110070</v>
      </c>
      <c r="G10" s="2571">
        <v>47907</v>
      </c>
      <c r="H10" s="2572" t="str">
        <f t="shared" ca="1" si="1"/>
        <v>崔锴（注册号：2010110070）</v>
      </c>
    </row>
    <row r="11" spans="1:8" ht="24" customHeight="1">
      <c r="A11" s="1472" t="s">
        <v>2894</v>
      </c>
      <c r="B11" s="1472">
        <f ca="1">IF(C11&lt;B2,"已过期",1120070131)</f>
        <v>1120070131</v>
      </c>
      <c r="C11" s="2568">
        <v>44849</v>
      </c>
      <c r="D11" s="2569" t="str">
        <f t="shared" ca="1" si="0"/>
        <v>郑燚（注册号：1120070131）</v>
      </c>
      <c r="E11" s="2570" t="s">
        <v>2894</v>
      </c>
      <c r="F11" s="1472">
        <f ca="1">IF(G11&lt;B2,"已过期",2014110011)</f>
        <v>2014110011</v>
      </c>
      <c r="G11" s="2571">
        <v>49302</v>
      </c>
      <c r="H11" s="2572" t="str">
        <f t="shared" ca="1" si="1"/>
        <v>郑燚（注册号：2014110011）</v>
      </c>
    </row>
    <row r="12" spans="1:8" ht="24" customHeight="1">
      <c r="A12" s="1472" t="s">
        <v>2895</v>
      </c>
      <c r="B12" s="1472">
        <f ca="1">IF(C12&lt;B2,"已过期",1120040230)</f>
        <v>1120040230</v>
      </c>
      <c r="C12" s="2573">
        <v>44864</v>
      </c>
      <c r="D12" s="2569" t="str">
        <f t="shared" ca="1" si="0"/>
        <v>苏海（注册号：1120040230）</v>
      </c>
      <c r="E12" s="2570" t="s">
        <v>2895</v>
      </c>
      <c r="F12" s="1472">
        <f ca="1">IF(G12&lt;B2,"已过期",98030020)</f>
        <v>98030020</v>
      </c>
      <c r="G12" s="2571">
        <v>47118</v>
      </c>
      <c r="H12" s="2572" t="str">
        <f t="shared" ca="1" si="1"/>
        <v>苏海（注册号：98030020）</v>
      </c>
    </row>
    <row r="13" spans="1:8" ht="24" customHeight="1">
      <c r="A13" s="1472" t="s">
        <v>2896</v>
      </c>
      <c r="B13" s="1472" t="str">
        <f ca="1">IF(C13&lt;B2,"已过期",1120020033)</f>
        <v>已过期</v>
      </c>
      <c r="C13" s="2568">
        <v>44339</v>
      </c>
      <c r="D13" s="2569" t="str">
        <f t="shared" ca="1" si="0"/>
        <v>刘敬东（注册号：已过期）</v>
      </c>
      <c r="E13" s="2570" t="s">
        <v>2896</v>
      </c>
      <c r="F13" s="1472">
        <f ca="1">IF(G13&lt;B2,"已过期",2000110137)</f>
        <v>2000110137</v>
      </c>
      <c r="G13" s="2571">
        <v>46387</v>
      </c>
      <c r="H13" s="2572" t="str">
        <f t="shared" ca="1" si="1"/>
        <v>刘敬东（注册号：2000110137）</v>
      </c>
    </row>
    <row r="14" spans="1:8" ht="24" customHeight="1">
      <c r="A14" s="1472" t="s">
        <v>2897</v>
      </c>
      <c r="B14" s="1472">
        <f ca="1">IF(C14&lt;B2,"已过期",1119980106)</f>
        <v>1119980106</v>
      </c>
      <c r="C14" s="2573">
        <v>44969</v>
      </c>
      <c r="D14" s="2569" t="str">
        <f t="shared" ca="1" si="0"/>
        <v>刘俊财（注册号：1119980106）</v>
      </c>
      <c r="E14" s="2570" t="s">
        <v>2897</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2898</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542" t="s">
        <v>2899</v>
      </c>
      <c r="B17" s="3542"/>
      <c r="C17" s="3542"/>
      <c r="D17" s="3542"/>
      <c r="E17" s="3542"/>
      <c r="F17" s="3542"/>
      <c r="G17" s="3542"/>
      <c r="H17" s="3542"/>
    </row>
    <row r="18" spans="1:8" ht="24" customHeight="1">
      <c r="A18" s="3543" t="s">
        <v>2900</v>
      </c>
      <c r="B18" s="3543"/>
      <c r="C18" s="3543"/>
      <c r="D18" s="2566"/>
      <c r="E18" s="3544" t="s">
        <v>2901</v>
      </c>
      <c r="F18" s="3543"/>
      <c r="G18" s="3543"/>
    </row>
    <row r="19" spans="1:8" s="2577" customFormat="1" ht="24" customHeight="1">
      <c r="A19" s="2576" t="s">
        <v>2902</v>
      </c>
      <c r="B19" s="2565" t="s">
        <v>2903</v>
      </c>
      <c r="C19" s="2565" t="s">
        <v>2882</v>
      </c>
      <c r="D19" s="2566"/>
      <c r="E19" s="2570" t="s">
        <v>2902</v>
      </c>
      <c r="F19" s="2565" t="s">
        <v>2903</v>
      </c>
      <c r="G19" s="2565" t="s">
        <v>2882</v>
      </c>
    </row>
    <row r="20" spans="1:8" s="2577" customFormat="1" ht="24" customHeight="1">
      <c r="A20" s="2578" t="s">
        <v>2904</v>
      </c>
      <c r="B20" s="2578" t="s">
        <v>2905</v>
      </c>
      <c r="C20" s="2571">
        <v>44820</v>
      </c>
      <c r="D20" s="2579"/>
      <c r="E20" s="2580" t="s">
        <v>2906</v>
      </c>
      <c r="F20" s="2578" t="s">
        <v>2907</v>
      </c>
      <c r="G20" s="2581">
        <v>44377</v>
      </c>
    </row>
    <row r="21" spans="1:8" s="2577" customFormat="1" ht="24" customHeight="1">
      <c r="A21" s="2578"/>
      <c r="B21" s="2578"/>
      <c r="C21" s="2582"/>
      <c r="D21" s="2583"/>
      <c r="E21" s="2580" t="s">
        <v>2908</v>
      </c>
      <c r="F21" s="2584" t="s">
        <v>2909</v>
      </c>
      <c r="G21" s="2585">
        <v>44012</v>
      </c>
    </row>
    <row r="22" spans="1:8" ht="24" customHeight="1">
      <c r="C22" s="2586"/>
      <c r="D22" s="2586"/>
      <c r="E22" s="2587"/>
      <c r="F22" s="2588"/>
      <c r="G22" s="2589" t="s">
        <v>2910</v>
      </c>
    </row>
  </sheetData>
  <sheetProtection password="CEE9" sheet="1" objects="1" scenarios="1"/>
  <mergeCells count="3">
    <mergeCell ref="A17:H17"/>
    <mergeCell ref="A18:C18"/>
    <mergeCell ref="E18:G18"/>
  </mergeCells>
  <phoneticPr fontId="86" type="noConversion"/>
  <conditionalFormatting sqref="D16 C4:D5 D7:D12 C13:D13 C12">
    <cfRule type="expression" dxfId="295" priority="51">
      <formula>AND($C4-TODAY()&lt;30,TODAY()&lt;$C4)</formula>
    </cfRule>
  </conditionalFormatting>
  <conditionalFormatting sqref="C20:D20">
    <cfRule type="expression" dxfId="294" priority="50">
      <formula>AND($C20-TODAY()&lt;30,TODAY()&lt;$C20)</formula>
    </cfRule>
  </conditionalFormatting>
  <conditionalFormatting sqref="C20:D20 G4 C4:D5 C13:D13">
    <cfRule type="cellIs" dxfId="293" priority="52" stopIfTrue="1" operator="lessThan">
      <formula>$B$2</formula>
    </cfRule>
  </conditionalFormatting>
  <conditionalFormatting sqref="G5 G7 G9">
    <cfRule type="cellIs" dxfId="292" priority="49" stopIfTrue="1" operator="lessThan">
      <formula>$B$2</formula>
    </cfRule>
  </conditionalFormatting>
  <conditionalFormatting sqref="C6:D6 D14 D16">
    <cfRule type="expression" dxfId="291" priority="47">
      <formula>AND($C6-TODAY()&lt;30,TODAY()&lt;$C6)</formula>
    </cfRule>
  </conditionalFormatting>
  <conditionalFormatting sqref="G6 G8 G10 C6:D6 D7:D12 D14 D16">
    <cfRule type="cellIs" dxfId="290" priority="48" stopIfTrue="1" operator="lessThan">
      <formula>$B$2</formula>
    </cfRule>
  </conditionalFormatting>
  <conditionalFormatting sqref="D12">
    <cfRule type="expression" dxfId="289" priority="45">
      <formula>AND($C12-TODAY()&lt;30,TODAY()&lt;$C12)</formula>
    </cfRule>
  </conditionalFormatting>
  <conditionalFormatting sqref="D12">
    <cfRule type="cellIs" dxfId="288" priority="46" stopIfTrue="1" operator="lessThan">
      <formula>$B$2</formula>
    </cfRule>
  </conditionalFormatting>
  <conditionalFormatting sqref="C13:D13">
    <cfRule type="expression" dxfId="287" priority="43">
      <formula>AND($C13-TODAY()&lt;30,TODAY()&lt;$C13)</formula>
    </cfRule>
  </conditionalFormatting>
  <conditionalFormatting sqref="C13:D13">
    <cfRule type="cellIs" dxfId="286" priority="44" stopIfTrue="1" operator="lessThan">
      <formula>$B$2</formula>
    </cfRule>
  </conditionalFormatting>
  <conditionalFormatting sqref="D14">
    <cfRule type="expression" dxfId="285" priority="41">
      <formula>AND($C14-TODAY()&lt;30,TODAY()&lt;$C14)</formula>
    </cfRule>
  </conditionalFormatting>
  <conditionalFormatting sqref="D14">
    <cfRule type="cellIs" dxfId="284" priority="42" stopIfTrue="1" operator="lessThan">
      <formula>$B$2</formula>
    </cfRule>
  </conditionalFormatting>
  <conditionalFormatting sqref="G13">
    <cfRule type="cellIs" dxfId="283" priority="40" stopIfTrue="1" operator="lessThan">
      <formula>$B$2</formula>
    </cfRule>
  </conditionalFormatting>
  <conditionalFormatting sqref="B4:B11 F4:F11 B13 F13:F14">
    <cfRule type="cellIs" dxfId="282" priority="39" stopIfTrue="1" operator="equal">
      <formula>"已过期"</formula>
    </cfRule>
  </conditionalFormatting>
  <conditionalFormatting sqref="G20">
    <cfRule type="expression" dxfId="281" priority="37">
      <formula>AND($E20-TODAY()&lt;30,TODAY()&lt;$E20)</formula>
    </cfRule>
  </conditionalFormatting>
  <conditionalFormatting sqref="G20">
    <cfRule type="cellIs" dxfId="280" priority="38" stopIfTrue="1" operator="lessThan">
      <formula>$B$2</formula>
    </cfRule>
  </conditionalFormatting>
  <conditionalFormatting sqref="C7">
    <cfRule type="expression" dxfId="279" priority="35">
      <formula>AND($C7-TODAY()&lt;30,TODAY()&lt;$C7)</formula>
    </cfRule>
  </conditionalFormatting>
  <conditionalFormatting sqref="C7">
    <cfRule type="cellIs" dxfId="278" priority="36" stopIfTrue="1" operator="lessThan">
      <formula>$B$2</formula>
    </cfRule>
  </conditionalFormatting>
  <conditionalFormatting sqref="C8">
    <cfRule type="expression" dxfId="277" priority="33">
      <formula>AND($C8-TODAY()&lt;30,TODAY()&lt;$C8)</formula>
    </cfRule>
  </conditionalFormatting>
  <conditionalFormatting sqref="C8">
    <cfRule type="cellIs" dxfId="276" priority="34" stopIfTrue="1" operator="lessThan">
      <formula>$B$2</formula>
    </cfRule>
  </conditionalFormatting>
  <conditionalFormatting sqref="C11">
    <cfRule type="expression" dxfId="275" priority="31">
      <formula>AND($C11-TODAY()&lt;30,TODAY()&lt;$C11)</formula>
    </cfRule>
  </conditionalFormatting>
  <conditionalFormatting sqref="C11">
    <cfRule type="cellIs" dxfId="274" priority="32" stopIfTrue="1" operator="lessThan">
      <formula>$B$2</formula>
    </cfRule>
  </conditionalFormatting>
  <conditionalFormatting sqref="A16:C16">
    <cfRule type="cellIs" dxfId="273" priority="30" stopIfTrue="1" operator="equal">
      <formula>"已过期"</formula>
    </cfRule>
  </conditionalFormatting>
  <conditionalFormatting sqref="E16:G16">
    <cfRule type="cellIs" dxfId="272" priority="29" stopIfTrue="1" operator="equal">
      <formula>"已过期"</formula>
    </cfRule>
  </conditionalFormatting>
  <conditionalFormatting sqref="G11">
    <cfRule type="cellIs" dxfId="271" priority="28" stopIfTrue="1" operator="lessThan">
      <formula>$B$2</formula>
    </cfRule>
  </conditionalFormatting>
  <conditionalFormatting sqref="F12">
    <cfRule type="cellIs" dxfId="270" priority="27" stopIfTrue="1" operator="equal">
      <formula>"已过期"</formula>
    </cfRule>
  </conditionalFormatting>
  <conditionalFormatting sqref="G12">
    <cfRule type="cellIs" dxfId="269" priority="26" stopIfTrue="1" operator="lessThan">
      <formula>$B$2</formula>
    </cfRule>
  </conditionalFormatting>
  <conditionalFormatting sqref="C12">
    <cfRule type="cellIs" dxfId="268" priority="25" stopIfTrue="1" operator="lessThan">
      <formula>$B$2</formula>
    </cfRule>
  </conditionalFormatting>
  <conditionalFormatting sqref="C12">
    <cfRule type="expression" dxfId="267" priority="23">
      <formula>AND($C12-TODAY()&lt;30,TODAY()&lt;$C12)</formula>
    </cfRule>
  </conditionalFormatting>
  <conditionalFormatting sqref="C12">
    <cfRule type="cellIs" dxfId="266" priority="24" stopIfTrue="1" operator="lessThan">
      <formula>$B$2</formula>
    </cfRule>
  </conditionalFormatting>
  <conditionalFormatting sqref="B12">
    <cfRule type="cellIs" dxfId="265" priority="22" stopIfTrue="1" operator="equal">
      <formula>"已过期"</formula>
    </cfRule>
  </conditionalFormatting>
  <conditionalFormatting sqref="C9:C10">
    <cfRule type="expression" dxfId="264" priority="20">
      <formula>AND($C9-TODAY()&lt;30,TODAY()&lt;$C9)</formula>
    </cfRule>
  </conditionalFormatting>
  <conditionalFormatting sqref="C9:C10">
    <cfRule type="cellIs" dxfId="263" priority="21" stopIfTrue="1" operator="lessThan">
      <formula>$B$2</formula>
    </cfRule>
  </conditionalFormatting>
  <conditionalFormatting sqref="G21">
    <cfRule type="expression" dxfId="262" priority="18" stopIfTrue="1">
      <formula>AND(#REF!-TODAY()&lt;30,TODAY()&lt;#REF!)</formula>
    </cfRule>
  </conditionalFormatting>
  <conditionalFormatting sqref="G21">
    <cfRule type="cellIs" dxfId="261" priority="19" stopIfTrue="1" operator="lessThan">
      <formula>$B$2</formula>
    </cfRule>
  </conditionalFormatting>
  <conditionalFormatting sqref="C14">
    <cfRule type="expression" dxfId="260" priority="16">
      <formula>AND($C14-TODAY()&lt;30,TODAY()&lt;$C14)</formula>
    </cfRule>
  </conditionalFormatting>
  <conditionalFormatting sqref="C14">
    <cfRule type="cellIs" dxfId="259" priority="17" stopIfTrue="1" operator="lessThan">
      <formula>$B$2</formula>
    </cfRule>
  </conditionalFormatting>
  <conditionalFormatting sqref="C14">
    <cfRule type="expression" dxfId="258" priority="14">
      <formula>AND($C14-TODAY()&lt;30,TODAY()&lt;$C14)</formula>
    </cfRule>
  </conditionalFormatting>
  <conditionalFormatting sqref="C14">
    <cfRule type="cellIs" dxfId="257" priority="15" stopIfTrue="1" operator="lessThan">
      <formula>$B$2</formula>
    </cfRule>
  </conditionalFormatting>
  <conditionalFormatting sqref="B14">
    <cfRule type="cellIs" dxfId="256" priority="13" stopIfTrue="1" operator="equal">
      <formula>"已过期"</formula>
    </cfRule>
  </conditionalFormatting>
  <conditionalFormatting sqref="G14">
    <cfRule type="cellIs" dxfId="255" priority="12" stopIfTrue="1" operator="lessThan">
      <formula>$B$2</formula>
    </cfRule>
  </conditionalFormatting>
  <conditionalFormatting sqref="D15">
    <cfRule type="expression" dxfId="254" priority="10">
      <formula>AND($C15-TODAY()&lt;30,TODAY()&lt;$C15)</formula>
    </cfRule>
  </conditionalFormatting>
  <conditionalFormatting sqref="D15">
    <cfRule type="cellIs" dxfId="253" priority="11" stopIfTrue="1" operator="lessThan">
      <formula>$B$2</formula>
    </cfRule>
  </conditionalFormatting>
  <conditionalFormatting sqref="D15">
    <cfRule type="expression" dxfId="252" priority="8">
      <formula>AND($C15-TODAY()&lt;30,TODAY()&lt;$C15)</formula>
    </cfRule>
  </conditionalFormatting>
  <conditionalFormatting sqref="D15">
    <cfRule type="cellIs" dxfId="251" priority="9" stopIfTrue="1" operator="lessThan">
      <formula>$B$2</formula>
    </cfRule>
  </conditionalFormatting>
  <conditionalFormatting sqref="F15">
    <cfRule type="cellIs" dxfId="250" priority="7" stopIfTrue="1" operator="equal">
      <formula>"已过期"</formula>
    </cfRule>
  </conditionalFormatting>
  <conditionalFormatting sqref="C15">
    <cfRule type="expression" dxfId="249" priority="5">
      <formula>AND($C15-TODAY()&lt;30,TODAY()&lt;$C15)</formula>
    </cfRule>
  </conditionalFormatting>
  <conditionalFormatting sqref="C15">
    <cfRule type="cellIs" dxfId="248" priority="6" stopIfTrue="1" operator="lessThan">
      <formula>$B$2</formula>
    </cfRule>
  </conditionalFormatting>
  <conditionalFormatting sqref="C15">
    <cfRule type="expression" dxfId="247" priority="3">
      <formula>AND($C15-TODAY()&lt;30,TODAY()&lt;$C15)</formula>
    </cfRule>
  </conditionalFormatting>
  <conditionalFormatting sqref="C15">
    <cfRule type="cellIs" dxfId="246" priority="4" stopIfTrue="1" operator="lessThan">
      <formula>$B$2</formula>
    </cfRule>
  </conditionalFormatting>
  <conditionalFormatting sqref="B15">
    <cfRule type="cellIs" dxfId="245" priority="2" stopIfTrue="1" operator="equal">
      <formula>"已过期"</formula>
    </cfRule>
  </conditionalFormatting>
  <conditionalFormatting sqref="G15">
    <cfRule type="cellIs" dxfId="244" priority="1"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198</vt:i4>
      </vt:variant>
    </vt:vector>
  </HeadingPairs>
  <TitlesOfParts>
    <vt:vector size="25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结果一览表</vt:lpstr>
      <vt:lpstr>结果表</vt:lpstr>
      <vt:lpstr>成本法</vt:lpstr>
      <vt:lpstr>成本法 (元)</vt:lpstr>
      <vt:lpstr>假设开发法</vt:lpstr>
      <vt:lpstr>收益法 (元)</vt:lpstr>
      <vt:lpstr>收益法（汇总）</vt:lpstr>
      <vt:lpstr>酒店收入计算</vt:lpstr>
      <vt:lpstr>比较法-住宅</vt:lpstr>
      <vt:lpstr>比较法-工业</vt:lpstr>
      <vt:lpstr>比较法-仓储</vt:lpstr>
      <vt:lpstr>土地比较法-住宅、综合</vt:lpstr>
      <vt:lpstr>土地比较法-工业</vt:lpstr>
      <vt:lpstr>基准地价（汇总）</vt:lpstr>
      <vt:lpstr>基准地价修正-办公</vt:lpstr>
      <vt:lpstr>修正</vt:lpstr>
      <vt:lpstr>容积率修正</vt:lpstr>
      <vt:lpstr>基准地价修正-商业</vt:lpstr>
      <vt:lpstr>收益法</vt:lpstr>
      <vt:lpstr>比较法-商业</vt:lpstr>
      <vt:lpstr>比较法-大宗交易</vt:lpstr>
      <vt:lpstr>比较法-商业租金</vt:lpstr>
      <vt:lpstr>比较法-地下商业租金</vt:lpstr>
      <vt:lpstr>比较法租金-办公</vt:lpstr>
      <vt:lpstr>比较法-车位租金</vt:lpstr>
      <vt:lpstr>面积表及结果</vt:lpstr>
      <vt:lpstr>案例-租金</vt:lpstr>
      <vt:lpstr>案例-销售</vt:lpstr>
      <vt:lpstr>Sheet1</vt:lpstr>
      <vt:lpstr>市场走势</vt:lpstr>
      <vt:lpstr>Sheet2</vt:lpstr>
      <vt:lpstr>地价</vt:lpstr>
      <vt:lpstr>典型户型修正</vt:lpstr>
      <vt:lpstr>成本法（废）</vt:lpstr>
      <vt:lpstr>区片价</vt:lpstr>
      <vt:lpstr>因素修正幅度</vt:lpstr>
      <vt:lpstr>存贷款利率</vt:lpstr>
      <vt:lpstr>区片价（范围）</vt:lpstr>
      <vt:lpstr>'比较法-仓储'!Print_Area</vt:lpstr>
      <vt:lpstr>'比较法-车位租金'!Print_Area</vt:lpstr>
      <vt:lpstr>'比较法-大宗交易'!Print_Area</vt:lpstr>
      <vt:lpstr>'比较法-地下商业租金'!Print_Area</vt:lpstr>
      <vt:lpstr>'比较法-工业'!Print_Area</vt:lpstr>
      <vt:lpstr>'比较法-商业'!Print_Area</vt:lpstr>
      <vt:lpstr>'比较法-商业租金'!Print_Area</vt:lpstr>
      <vt:lpstr>'比较法-住宅'!Print_Area</vt:lpstr>
      <vt:lpstr>'比较法租金-办公'!Print_Area</vt:lpstr>
      <vt:lpstr>成本法!Print_Area</vt:lpstr>
      <vt:lpstr>'成本法 (元)'!Print_Area</vt:lpstr>
      <vt:lpstr>估价对象房地状况!Print_Area</vt:lpstr>
      <vt:lpstr>估价师及机构信息!Print_Area</vt:lpstr>
      <vt:lpstr>'基准地价（汇总）'!Print_Area</vt:lpstr>
      <vt:lpstr>'基准地价修正-办公'!Print_Area</vt:lpstr>
      <vt:lpstr>'基准地价修正-商业'!Print_Area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'比较法-大宗交易'!办公层高</vt:lpstr>
      <vt:lpstr>办公层高</vt:lpstr>
      <vt:lpstr>'比较法-大宗交易'!办公朝向</vt:lpstr>
      <vt:lpstr>办公朝向</vt:lpstr>
      <vt:lpstr>'比较法-大宗交易'!办公道路级别</vt:lpstr>
      <vt:lpstr>办公道路级别</vt:lpstr>
      <vt:lpstr>'比较法-大宗交易'!办公公共部分装修</vt:lpstr>
      <vt:lpstr>办公公共部分装修</vt:lpstr>
      <vt:lpstr>'比较法-大宗交易'!办公基础设施水平</vt:lpstr>
      <vt:lpstr>办公基础设施水平</vt:lpstr>
      <vt:lpstr>办公集聚程度</vt:lpstr>
      <vt:lpstr>'比较法-大宗交易'!办公建筑结构</vt:lpstr>
      <vt:lpstr>办公建筑结构</vt:lpstr>
      <vt:lpstr>'比较法-大宗交易'!办公建筑类型</vt:lpstr>
      <vt:lpstr>办公建筑类型</vt:lpstr>
      <vt:lpstr>'比较法-大宗交易'!办公交易情况</vt:lpstr>
      <vt:lpstr>办公交易情况</vt:lpstr>
      <vt:lpstr>'比较法-大宗交易'!办公楼层</vt:lpstr>
      <vt:lpstr>办公楼层</vt:lpstr>
      <vt:lpstr>'比较法-大宗交易'!办公内部装修</vt:lpstr>
      <vt:lpstr>办公内部装修</vt:lpstr>
      <vt:lpstr>'比较法-大宗交易'!办公物业管理</vt:lpstr>
      <vt:lpstr>办公物业管理</vt:lpstr>
      <vt:lpstr>'比较法-大宗交易'!办公用途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'比较法-地下商业租金'!商业层高</vt:lpstr>
      <vt:lpstr>'比较法-商业'!商业层高</vt:lpstr>
      <vt:lpstr>商业层高</vt:lpstr>
      <vt:lpstr>'比较法-地下商业租金'!商业成新度</vt:lpstr>
      <vt:lpstr>'比较法-商业'!商业成新度</vt:lpstr>
      <vt:lpstr>商业成新度</vt:lpstr>
      <vt:lpstr>商业繁华度</vt:lpstr>
      <vt:lpstr>'比较法-地下商业租金'!商业公共部分装修</vt:lpstr>
      <vt:lpstr>'比较法-商业'!商业公共部分装修</vt:lpstr>
      <vt:lpstr>商业公共部分装修</vt:lpstr>
      <vt:lpstr>'比较法-地下商业租金'!商业基础设施水平</vt:lpstr>
      <vt:lpstr>'比较法-商业'!商业基础设施水平</vt:lpstr>
      <vt:lpstr>商业基础设施水平</vt:lpstr>
      <vt:lpstr>'比较法-地下商业租金'!商业建筑结构</vt:lpstr>
      <vt:lpstr>'比较法-商业'!商业建筑结构</vt:lpstr>
      <vt:lpstr>商业建筑结构</vt:lpstr>
      <vt:lpstr>'比较法-地下商业租金'!商业交易情况</vt:lpstr>
      <vt:lpstr>'比较法-商业'!商业交易情况</vt:lpstr>
      <vt:lpstr>商业交易情况</vt:lpstr>
      <vt:lpstr>商业街名称</vt:lpstr>
      <vt:lpstr>'比较法-地下商业租金'!商业进深比</vt:lpstr>
      <vt:lpstr>'比较法-商业'!商业进深比</vt:lpstr>
      <vt:lpstr>商业进深比</vt:lpstr>
      <vt:lpstr>'比较法-地下商业租金'!商业类型</vt:lpstr>
      <vt:lpstr>'比较法-商业'!商业类型</vt:lpstr>
      <vt:lpstr>商业类型</vt:lpstr>
      <vt:lpstr>'比较法-地下商业租金'!商业临街状况</vt:lpstr>
      <vt:lpstr>'比较法-商业'!商业临街状况</vt:lpstr>
      <vt:lpstr>商业临街状况</vt:lpstr>
      <vt:lpstr>'比较法-地下商业租金'!商业楼层</vt:lpstr>
      <vt:lpstr>'比较法-商业'!商业楼层</vt:lpstr>
      <vt:lpstr>商业楼层</vt:lpstr>
      <vt:lpstr>'比较法-地下商业租金'!商业内部装修</vt:lpstr>
      <vt:lpstr>'比较法-商业'!商业内部装修</vt:lpstr>
      <vt:lpstr>商业内部装修</vt:lpstr>
      <vt:lpstr>'比较法-地下商业租金'!商业人流量</vt:lpstr>
      <vt:lpstr>'比较法-商业'!商业人流量</vt:lpstr>
      <vt:lpstr>商业人流量</vt:lpstr>
      <vt:lpstr>'比较法-地下商业租金'!商业业态</vt:lpstr>
      <vt:lpstr>'比较法-商业'!商业业态</vt:lpstr>
      <vt:lpstr>商业业态</vt:lpstr>
      <vt:lpstr>'比较法-地下商业租金'!商业用途</vt:lpstr>
      <vt:lpstr>'比较法-商业'!商业用途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'比较法-大宗交易'!写字楼等级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2022-01-06T02:56:00Z</dcterms:modified>
</cp:coreProperties>
</file>