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2.司法\2021-1-0472盈地大厦\"/>
    </mc:Choice>
  </mc:AlternateContent>
  <xr:revisionPtr revIDLastSave="0" documentId="13_ncr:1_{9840DCED-62F4-4D46-811E-5D2A897597C0}" xr6:coauthVersionLast="45" xr6:coauthVersionMax="45" xr10:uidLastSave="{00000000-0000-0000-0000-000000000000}"/>
  <bookViews>
    <workbookView xWindow="-120" yWindow="-120" windowWidth="21840" windowHeight="13140" tabRatio="899" firstSheet="14"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一览表" sheetId="78" state="hidden" r:id="rId18"/>
    <sheet name="结果表" sheetId="9" state="hidden"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工业" sheetId="37"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基准地价修正-办公" sheetId="43" state="hidden" r:id="rId32"/>
    <sheet name="修正" sheetId="45" state="hidden" r:id="rId33"/>
    <sheet name="容积率修正" sheetId="46" state="hidden" r:id="rId34"/>
    <sheet name="基准地价修正-商业" sheetId="77" state="hidden" r:id="rId35"/>
    <sheet name="收益法" sheetId="15" state="hidden" r:id="rId36"/>
    <sheet name="比较法-商业" sheetId="80" state="hidden" r:id="rId37"/>
    <sheet name="比较法-大宗交易" sheetId="81" r:id="rId38"/>
    <sheet name="比较法-商业租金" sheetId="33" r:id="rId39"/>
    <sheet name="比较法-地下商业租金" sheetId="85" r:id="rId40"/>
    <sheet name="比较法租金-办公" sheetId="34" r:id="rId41"/>
    <sheet name="比较法-车位租金" sheetId="35" r:id="rId42"/>
    <sheet name="面积表及结果" sheetId="83" r:id="rId43"/>
    <sheet name="案例-租金" sheetId="79" r:id="rId44"/>
    <sheet name="案例-销售" sheetId="82" r:id="rId45"/>
    <sheet name="Sheet1" sheetId="86" r:id="rId46"/>
    <sheet name="市场走势" sheetId="84" r:id="rId47"/>
    <sheet name="Sheet2" sheetId="87"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s>
  <definedNames>
    <definedName name="_xlnm._FilterDatabase" localSheetId="43" hidden="1">'案例-租金'!$A$1:$R$130</definedName>
    <definedName name="_xlnm._FilterDatabase" localSheetId="27" hidden="1">'比较法-仓储'!$A$1:$L$37</definedName>
    <definedName name="_xlnm._FilterDatabase" localSheetId="41" hidden="1">'比较法-车位租金'!$A$1:$L$39</definedName>
    <definedName name="_xlnm._FilterDatabase" localSheetId="37" hidden="1">'比较法-大宗交易'!$A$1:$L$50</definedName>
    <definedName name="_xlnm._FilterDatabase" localSheetId="39" hidden="1">'比较法-地下商业租金'!$A$1:$L$49</definedName>
    <definedName name="_xlnm._FilterDatabase" localSheetId="26" hidden="1">'比较法-工业'!$A$1:$L$43</definedName>
    <definedName name="_xlnm._FilterDatabase" localSheetId="36" hidden="1">'比较法-商业'!$A$1:$L$49</definedName>
    <definedName name="_xlnm._FilterDatabase" localSheetId="38" hidden="1">'比较法-商业租金'!$A$1:$L$49</definedName>
    <definedName name="_xlnm._FilterDatabase" localSheetId="25" hidden="1">'比较法-住宅'!$A$1:$L$49</definedName>
    <definedName name="_xlnm._FilterDatabase" localSheetId="40" hidden="1">'比较法租金-办公'!$A$1:$L$50</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7">'比较法-仓储'!$A$1:$K$42,'比较法-仓储'!$A$45:$M$96</definedName>
    <definedName name="_xlnm.Print_Area" localSheetId="41">'比较法-车位租金'!$A$1:$K$44,'比较法-车位租金'!$A$47:$M$102</definedName>
    <definedName name="_xlnm.Print_Area" localSheetId="37">'比较法-大宗交易'!$A$1:$K$55,'比较法-大宗交易'!$A$58:$M$132</definedName>
    <definedName name="_xlnm.Print_Area" localSheetId="39">'比较法-地下商业租金'!$A$1:$K$54,'比较法-地下商业租金'!$A$57:$M$131</definedName>
    <definedName name="_xlnm.Print_Area" localSheetId="26">'比较法-工业'!$A$1:$K$48,'比较法-工业'!$A$51:$M$113</definedName>
    <definedName name="_xlnm.Print_Area" localSheetId="36">'比较法-商业'!$A$1:$K$54,'比较法-商业'!$A$57:$M$131</definedName>
    <definedName name="_xlnm.Print_Area" localSheetId="38">'比较法-商业租金'!$A$1:$K$54,'比较法-商业租金'!$A$57:$M$131</definedName>
    <definedName name="_xlnm.Print_Area" localSheetId="25">'比较法-住宅'!$A$1:$K$54,'比较法-住宅'!$A$57:$M$131</definedName>
    <definedName name="_xlnm.Print_Area" localSheetId="40">'比较法租金-办公'!$A$1:$K$55,'比较法租金-办公'!$A$58:$M$132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'基准地价修正-办公'!$A$1:$J$41,'基准地价修正-办公'!$A$45:$H$88,'基准地价修正-办公'!$R$1:$V$16</definedName>
    <definedName name="_xlnm.Print_Area" localSheetId="34">'基准地价修正-商业'!$A$1:$J$41,'基准地价修正-商业'!$A$45:$H$88,'基准地价修正-商业'!$R$1:$V$16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7">'比较法-大宗交易'!$B$119:$M$119</definedName>
    <definedName name="办公层高" localSheetId="17">'[1]比较法-办公'!$B$119:$M$119</definedName>
    <definedName name="办公层高">'比较法租金-办公'!$B$119:$M$119</definedName>
    <definedName name="办公朝向" localSheetId="37">'比较法-大宗交易'!$B$91:$M$91</definedName>
    <definedName name="办公朝向" localSheetId="17">'[1]比较法-办公'!$B$91:$M$91</definedName>
    <definedName name="办公朝向">'比较法租金-办公'!$B$91:$M$91</definedName>
    <definedName name="办公道路级别" localSheetId="37">'比较法-大宗交易'!$B$87:$M$87</definedName>
    <definedName name="办公道路级别" localSheetId="17">'[1]比较法-办公'!$B$87:$M$87</definedName>
    <definedName name="办公道路级别">'比较法租金-办公'!$B$87:$M$87</definedName>
    <definedName name="办公公共部分装修" localSheetId="37">'比较法-大宗交易'!$B$108:$M$108</definedName>
    <definedName name="办公公共部分装修" localSheetId="17">'[1]比较法-办公'!$B$108:$M$108</definedName>
    <definedName name="办公公共部分装修">'比较法租金-办公'!$B$108:$M$108</definedName>
    <definedName name="办公基础设施水平" localSheetId="37">'比较法-大宗交易'!$B$117:$M$117</definedName>
    <definedName name="办公基础设施水平" localSheetId="17">'[1]比较法-办公'!$B$117:$M$117</definedName>
    <definedName name="办公基础设施水平">'比较法租金-办公'!$B$117:$M$117</definedName>
    <definedName name="办公集聚程度" localSheetId="17">[1]定义!$M$1:$M$6</definedName>
    <definedName name="办公集聚程度">定义!$M$1:$M$6</definedName>
    <definedName name="办公建筑结构" localSheetId="37">'比较法-大宗交易'!$B$106:$M$106</definedName>
    <definedName name="办公建筑结构" localSheetId="17">'[1]比较法-办公'!$B$106:$M$106</definedName>
    <definedName name="办公建筑结构">'比较法租金-办公'!$B$106:$M$106</definedName>
    <definedName name="办公建筑类型" localSheetId="37">'比较法-大宗交易'!$B$101:$M$101</definedName>
    <definedName name="办公建筑类型" localSheetId="17">'[1]比较法-办公'!$B$101:$M$101</definedName>
    <definedName name="办公建筑类型">'比较法租金-办公'!$B$101:$M$101</definedName>
    <definedName name="办公交易情况" localSheetId="37">'比较法-大宗交易'!$A$62:$M$62</definedName>
    <definedName name="办公交易情况" localSheetId="17">'[1]比较法-办公'!$A$62:$M$62</definedName>
    <definedName name="办公交易情况">'比较法租金-办公'!$A$62:$M$62</definedName>
    <definedName name="办公楼层" localSheetId="37">'比较法-大宗交易'!$B$89:$M$89</definedName>
    <definedName name="办公楼层" localSheetId="17">'[1]比较法-办公'!$B$89:$M$89</definedName>
    <definedName name="办公楼层">'比较法租金-办公'!$B$89:$M$89</definedName>
    <definedName name="办公内部装修" localSheetId="37">'比较法-大宗交易'!$B$123:$M$123</definedName>
    <definedName name="办公内部装修" localSheetId="17">'[1]比较法-办公'!$B$123:$M$123</definedName>
    <definedName name="办公内部装修">'比较法租金-办公'!$B$123:$M$123</definedName>
    <definedName name="办公物业管理" localSheetId="37">'比较法-大宗交易'!$B$115:$M$115</definedName>
    <definedName name="办公物业管理" localSheetId="17">'[1]比较法-办公'!$B$115:$M$115</definedName>
    <definedName name="办公物业管理">'比较法租金-办公'!$B$115:$M$115</definedName>
    <definedName name="办公用途" localSheetId="37">'比较法-大宗交易'!$B$64:$M$64</definedName>
    <definedName name="办公用途" localSheetId="17">'[1]比较法-办公'!$B$64:$M$64</definedName>
    <definedName name="办公用途">'比较法租金-办公'!$B$64:$M$64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'比较法-车位租金'!$B$83:$M$83</definedName>
    <definedName name="车位交易情况" localSheetId="17">'[1]比较法-车位'!$A$51:$M$51</definedName>
    <definedName name="车位交易情况">'比较法-车位租金'!$A$51:$M$51</definedName>
    <definedName name="车位类型" localSheetId="17">'[1]比较法-车位'!$B$93:$M$93</definedName>
    <definedName name="车位类型">'比较法-车位租金'!$B$93:$M$93</definedName>
    <definedName name="车位楼层" localSheetId="17">'[1]比较法-车位'!$B$71:$M$71</definedName>
    <definedName name="车位楼层">'比较法-车位租金'!$B$71:$M$71</definedName>
    <definedName name="车位配套类型" localSheetId="17">'[1]比较法-车位'!$B$79:$M$79</definedName>
    <definedName name="车位配套类型">'比较法-车位租金'!$B$79:$M$79</definedName>
    <definedName name="车位物业等级" localSheetId="17">'[1]比较法-车位'!$B$88:$M$88</definedName>
    <definedName name="车位物业等级">'比较法-车位租金'!$B$88:$M$88</definedName>
    <definedName name="车位用途" localSheetId="17">'[1]比较法-车位'!$B$53:$M$53</definedName>
    <definedName name="车位用途">'比较法-车位租金'!$B$53:$M$53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34">'基准地价修正-商业'!$Q$19:$AD$19</definedName>
    <definedName name="季度">'基准地价修正-办公'!$Q$19:$AD$19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39">'比较法-地下商业租金'!$B$116:$M$116</definedName>
    <definedName name="商业层高" localSheetId="36">'比较法-商业'!$B$116:$M$116</definedName>
    <definedName name="商业层高" localSheetId="17">'[1]比较法-商业'!$B$116:$M$116</definedName>
    <definedName name="商业层高">'比较法-商业租金'!$B$116:$M$116</definedName>
    <definedName name="商业成新度" localSheetId="39">'比较法-地下商业租金'!$B$109:$M$109</definedName>
    <definedName name="商业成新度" localSheetId="36">'比较法-商业'!$B$109:$M$109</definedName>
    <definedName name="商业成新度">'比较法-商业租金'!$B$109:$M$109</definedName>
    <definedName name="商业繁华度" localSheetId="17">[1]定义!$L$1:$L$6</definedName>
    <definedName name="商业繁华度">定义!$L$1:$L$6</definedName>
    <definedName name="商业公共部分装修" localSheetId="39">'比较法-地下商业租金'!$B$107:$M$107</definedName>
    <definedName name="商业公共部分装修" localSheetId="36">'比较法-商业'!$B$107:$M$107</definedName>
    <definedName name="商业公共部分装修" localSheetId="17">'[1]比较法-商业'!$B$107:$M$107</definedName>
    <definedName name="商业公共部分装修">'比较法-商业租金'!$B$107:$M$107</definedName>
    <definedName name="商业基础设施水平" localSheetId="39">'比较法-地下商业租金'!$B$112:$M$112</definedName>
    <definedName name="商业基础设施水平" localSheetId="36">'比较法-商业'!$B$112:$M$112</definedName>
    <definedName name="商业基础设施水平" localSheetId="17">'[1]比较法-商业'!$B$112:$M$112</definedName>
    <definedName name="商业基础设施水平">'比较法-商业租金'!$B$112:$M$112</definedName>
    <definedName name="商业建筑结构" localSheetId="39">'比较法-地下商业租金'!$B$105:$M$105</definedName>
    <definedName name="商业建筑结构" localSheetId="36">'比较法-商业'!$B$105:$M$105</definedName>
    <definedName name="商业建筑结构" localSheetId="17">'[1]比较法-商业'!$B$105:$M$105</definedName>
    <definedName name="商业建筑结构">'比较法-商业租金'!$B$105:$M$105</definedName>
    <definedName name="商业交易情况" localSheetId="39">'比较法-地下商业租金'!$A$61:$M$61</definedName>
    <definedName name="商业交易情况" localSheetId="36">'比较法-商业'!$A$61:$M$61</definedName>
    <definedName name="商业交易情况" localSheetId="17">'[1]比较法-商业'!$A$61:$M$61</definedName>
    <definedName name="商业交易情况">'比较法-商业租金'!$A$61:$M$61</definedName>
    <definedName name="商业街名称" localSheetId="17">[1]修正!$C$59:$C$119</definedName>
    <definedName name="商业街名称">修正!$C$59:$C$119</definedName>
    <definedName name="商业进深比" localSheetId="39">'比较法-地下商业租金'!$B$120:$M$120</definedName>
    <definedName name="商业进深比" localSheetId="36">'比较法-商业'!$B$120:$M$120</definedName>
    <definedName name="商业进深比" localSheetId="17">'[1]比较法-商业'!$B$120:$M$120</definedName>
    <definedName name="商业进深比">'比较法-商业租金'!$B$120:$M$120</definedName>
    <definedName name="商业类型" localSheetId="39">'比较法-地下商业租金'!$B$100:$M$100</definedName>
    <definedName name="商业类型" localSheetId="36">'比较法-商业'!$B$100:$M$100</definedName>
    <definedName name="商业类型" localSheetId="17">'[1]比较法-商业'!$B$100:$M$100</definedName>
    <definedName name="商业类型">'比较法-商业租金'!$B$100:$M$100</definedName>
    <definedName name="商业临街状况" localSheetId="39">'比较法-地下商业租金'!$B$86:$M$86</definedName>
    <definedName name="商业临街状况" localSheetId="36">'比较法-商业'!$B$86:$M$86</definedName>
    <definedName name="商业临街状况" localSheetId="17">'[1]比较法-商业'!$B$86:$M$86</definedName>
    <definedName name="商业临街状况">'比较法-商业租金'!$B$86:$M$86</definedName>
    <definedName name="商业楼层" localSheetId="39">'比较法-地下商业租金'!$B$92:$M$92</definedName>
    <definedName name="商业楼层" localSheetId="36">'比较法-商业'!$B$92:$M$92</definedName>
    <definedName name="商业楼层" localSheetId="17">'[1]比较法-商业'!$B$92:$M$92</definedName>
    <definedName name="商业楼层">'比较法-商业租金'!$B$92:$M$92</definedName>
    <definedName name="商业内部装修" localSheetId="39">'比较法-地下商业租金'!$B$122:$M$122</definedName>
    <definedName name="商业内部装修" localSheetId="36">'比较法-商业'!$B$122:$M$122</definedName>
    <definedName name="商业内部装修" localSheetId="17">'[1]比较法-商业'!$B$122:$M$122</definedName>
    <definedName name="商业内部装修">'比较法-商业租金'!$B$122:$M$122</definedName>
    <definedName name="商业人流量" localSheetId="39">'比较法-地下商业租金'!$B$90:$M$90</definedName>
    <definedName name="商业人流量" localSheetId="36">'比较法-商业'!$B$90:$M$90</definedName>
    <definedName name="商业人流量" localSheetId="17">'[1]比较法-商业'!$B$90:$M$90</definedName>
    <definedName name="商业人流量">'比较法-商业租金'!$B$90:$M$90</definedName>
    <definedName name="商业业态" localSheetId="39">'比较法-地下商业租金'!$B$114:$M$114</definedName>
    <definedName name="商业业态" localSheetId="36">'比较法-商业'!$B$114:$M$114</definedName>
    <definedName name="商业业态" localSheetId="17">'[1]比较法-商业'!$B$114:$M$114</definedName>
    <definedName name="商业业态">'比较法-商业租金'!$B$114:$M$114</definedName>
    <definedName name="商业用途" localSheetId="39">'比较法-地下商业租金'!$B$63:$M$63</definedName>
    <definedName name="商业用途" localSheetId="36">'比较法-商业'!$B$63:$M$63</definedName>
    <definedName name="商业用途" localSheetId="17">'[1]比较法-商业'!$B$63:$M$63</definedName>
    <definedName name="商业用途">'比较法-商业租金'!$B$63:$M$63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'比较法-车位租金'!$B$95:$M$95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37">'比较法-大宗交易'!$B$113:$M$113</definedName>
    <definedName name="写字楼等级" localSheetId="17">'[1]比较法-办公'!$B$113:$M$113</definedName>
    <definedName name="写字楼等级">'比较法租金-办公'!$B$113:$M$113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2" i="83" l="1"/>
  <c r="AC14" i="83" l="1"/>
  <c r="AC15" i="83"/>
  <c r="AC13" i="83"/>
  <c r="AA13" i="83"/>
  <c r="T63" i="84"/>
  <c r="T62" i="84"/>
  <c r="T61" i="84"/>
  <c r="T60" i="84"/>
  <c r="AB13" i="83"/>
  <c r="Q79" i="84" l="1"/>
  <c r="Q80" i="84"/>
  <c r="Q81" i="84"/>
  <c r="Q82" i="84"/>
  <c r="Q83" i="84"/>
  <c r="Q84" i="84"/>
  <c r="Q85" i="84"/>
  <c r="Q86" i="84"/>
  <c r="Q87" i="84"/>
  <c r="Q88" i="84"/>
  <c r="Q89" i="84"/>
  <c r="Q90" i="84"/>
  <c r="Q91" i="84"/>
  <c r="Q92" i="84"/>
  <c r="Q93" i="84"/>
  <c r="Q94" i="84"/>
  <c r="Q95" i="84"/>
  <c r="Q96" i="84"/>
  <c r="Q78" i="84"/>
  <c r="AA55" i="84"/>
  <c r="AA56" i="84"/>
  <c r="AA57" i="84"/>
  <c r="AA58" i="84"/>
  <c r="AA59" i="84"/>
  <c r="AA60" i="84"/>
  <c r="AA61" i="84"/>
  <c r="AA62" i="84"/>
  <c r="AA63" i="84"/>
  <c r="AA64" i="84"/>
  <c r="AA65" i="84"/>
  <c r="AA66" i="84"/>
  <c r="AA67" i="84"/>
  <c r="AA68" i="84"/>
  <c r="AA69" i="84"/>
  <c r="AA70" i="84"/>
  <c r="AA71" i="84"/>
  <c r="AA72" i="84"/>
  <c r="AA54" i="84"/>
  <c r="AA79" i="84"/>
  <c r="AA80" i="84"/>
  <c r="AA81" i="84"/>
  <c r="AA82" i="84"/>
  <c r="AA83" i="84"/>
  <c r="AA84" i="84"/>
  <c r="AA85" i="84"/>
  <c r="AA86" i="84"/>
  <c r="AA87" i="84"/>
  <c r="AA88" i="84"/>
  <c r="AA89" i="84"/>
  <c r="AA90" i="84"/>
  <c r="AA91" i="84"/>
  <c r="AA92" i="84"/>
  <c r="AA93" i="84"/>
  <c r="AA94" i="84"/>
  <c r="AA95" i="84"/>
  <c r="AA96" i="84"/>
  <c r="AA78" i="84"/>
  <c r="AA104" i="84"/>
  <c r="AA105" i="84"/>
  <c r="AA106" i="84"/>
  <c r="AA107" i="84"/>
  <c r="AA108" i="84"/>
  <c r="AA109" i="84"/>
  <c r="AA110" i="84"/>
  <c r="AA111" i="84"/>
  <c r="AA112" i="84"/>
  <c r="AA113" i="84"/>
  <c r="AA114" i="84"/>
  <c r="AA115" i="84"/>
  <c r="AA116" i="84"/>
  <c r="AA117" i="84"/>
  <c r="AA118" i="84"/>
  <c r="AA119" i="84"/>
  <c r="AA120" i="84"/>
  <c r="AA121" i="84"/>
  <c r="AA103" i="84"/>
  <c r="M79" i="84"/>
  <c r="M80" i="84"/>
  <c r="M81" i="84"/>
  <c r="M82" i="84"/>
  <c r="M83" i="84"/>
  <c r="M84" i="84"/>
  <c r="M85" i="84"/>
  <c r="M86" i="84"/>
  <c r="M87" i="84"/>
  <c r="M88" i="84"/>
  <c r="M89" i="84"/>
  <c r="M90" i="84"/>
  <c r="M91" i="84"/>
  <c r="M92" i="84"/>
  <c r="M93" i="84"/>
  <c r="M94" i="84"/>
  <c r="M95" i="84"/>
  <c r="M96" i="84"/>
  <c r="M78" i="84"/>
  <c r="W55" i="84"/>
  <c r="W56" i="84"/>
  <c r="W57" i="84"/>
  <c r="W58" i="84"/>
  <c r="W59" i="84"/>
  <c r="W60" i="84"/>
  <c r="W61" i="84"/>
  <c r="W62" i="84"/>
  <c r="W63" i="84"/>
  <c r="W64" i="84"/>
  <c r="W65" i="84"/>
  <c r="W66" i="84"/>
  <c r="W67" i="84"/>
  <c r="W68" i="84"/>
  <c r="W69" i="84"/>
  <c r="W70" i="84"/>
  <c r="W71" i="84"/>
  <c r="W72" i="84"/>
  <c r="W54" i="84"/>
  <c r="W79" i="84"/>
  <c r="W80" i="84"/>
  <c r="W81" i="84"/>
  <c r="W82" i="84"/>
  <c r="W83" i="84"/>
  <c r="W84" i="84"/>
  <c r="W85" i="84"/>
  <c r="W86" i="84"/>
  <c r="W87" i="84"/>
  <c r="W88" i="84"/>
  <c r="W89" i="84"/>
  <c r="W90" i="84"/>
  <c r="W91" i="84"/>
  <c r="W92" i="84"/>
  <c r="W93" i="84"/>
  <c r="W94" i="84"/>
  <c r="W95" i="84"/>
  <c r="W96" i="84"/>
  <c r="W78" i="84"/>
  <c r="W104" i="84"/>
  <c r="W105" i="84"/>
  <c r="W106" i="84"/>
  <c r="W107" i="84"/>
  <c r="W108" i="84"/>
  <c r="W109" i="84"/>
  <c r="W110" i="84"/>
  <c r="W111" i="84"/>
  <c r="W112" i="84"/>
  <c r="W113" i="84"/>
  <c r="W114" i="84"/>
  <c r="W115" i="84"/>
  <c r="W116" i="84"/>
  <c r="W117" i="84"/>
  <c r="W118" i="84"/>
  <c r="W119" i="84"/>
  <c r="W120" i="84"/>
  <c r="W121" i="84"/>
  <c r="W103" i="84"/>
  <c r="X104" i="84"/>
  <c r="V104" i="84"/>
  <c r="V105" i="84"/>
  <c r="V106" i="84"/>
  <c r="V107" i="84"/>
  <c r="V108" i="84"/>
  <c r="V109" i="84"/>
  <c r="V110" i="84"/>
  <c r="V111" i="84"/>
  <c r="V112" i="84"/>
  <c r="V113" i="84"/>
  <c r="V114" i="84"/>
  <c r="V115" i="84"/>
  <c r="V116" i="84"/>
  <c r="V117" i="84"/>
  <c r="V118" i="84"/>
  <c r="V119" i="84"/>
  <c r="V120" i="84"/>
  <c r="V121" i="84"/>
  <c r="V103" i="84"/>
  <c r="Y121" i="84"/>
  <c r="Y120" i="84"/>
  <c r="Y119" i="84"/>
  <c r="Y118" i="84"/>
  <c r="Y117" i="84"/>
  <c r="Y116" i="84"/>
  <c r="Y115" i="84"/>
  <c r="Y114" i="84"/>
  <c r="Y113" i="84"/>
  <c r="Y112" i="84"/>
  <c r="Y111" i="84"/>
  <c r="Y110" i="84"/>
  <c r="Y109" i="84"/>
  <c r="Y108" i="84"/>
  <c r="Y107" i="84"/>
  <c r="Y106" i="84"/>
  <c r="Y105" i="84"/>
  <c r="Y104" i="84"/>
  <c r="Y103" i="84"/>
  <c r="L78" i="84"/>
  <c r="R79" i="84" s="1"/>
  <c r="L79" i="84"/>
  <c r="L80" i="84"/>
  <c r="L81" i="84"/>
  <c r="L82" i="84"/>
  <c r="R83" i="84" s="1"/>
  <c r="L83" i="84"/>
  <c r="L84" i="84"/>
  <c r="R85" i="84" s="1"/>
  <c r="L85" i="84"/>
  <c r="L86" i="84"/>
  <c r="L87" i="84"/>
  <c r="L88" i="84"/>
  <c r="L89" i="84"/>
  <c r="L90" i="84"/>
  <c r="L91" i="84"/>
  <c r="L92" i="84"/>
  <c r="R93" i="84" s="1"/>
  <c r="L93" i="84"/>
  <c r="L94" i="84"/>
  <c r="R95" i="84" s="1"/>
  <c r="L95" i="84"/>
  <c r="L96" i="84"/>
  <c r="R81" i="84"/>
  <c r="R91" i="84"/>
  <c r="V79" i="84"/>
  <c r="V80" i="84"/>
  <c r="V81" i="84"/>
  <c r="V82" i="84"/>
  <c r="V83" i="84"/>
  <c r="V84" i="84"/>
  <c r="V85" i="84"/>
  <c r="V86" i="84"/>
  <c r="V87" i="84"/>
  <c r="V88" i="84"/>
  <c r="V89" i="84"/>
  <c r="V90" i="84"/>
  <c r="V91" i="84"/>
  <c r="V92" i="84"/>
  <c r="V93" i="84"/>
  <c r="V94" i="84"/>
  <c r="V95" i="84"/>
  <c r="V96" i="84"/>
  <c r="V78" i="84"/>
  <c r="Y96" i="84"/>
  <c r="X96" i="84"/>
  <c r="Y95" i="84"/>
  <c r="X95" i="84"/>
  <c r="Y94" i="84"/>
  <c r="X94" i="84"/>
  <c r="Y93" i="84"/>
  <c r="X93" i="84"/>
  <c r="Y92" i="84"/>
  <c r="X92" i="84"/>
  <c r="Y91" i="84"/>
  <c r="X91" i="84"/>
  <c r="Y90" i="84"/>
  <c r="X90" i="84"/>
  <c r="Y89" i="84"/>
  <c r="X89" i="84"/>
  <c r="Y88" i="84"/>
  <c r="X88" i="84"/>
  <c r="Y87" i="84"/>
  <c r="X87" i="84"/>
  <c r="Y86" i="84"/>
  <c r="X86" i="84"/>
  <c r="Y85" i="84"/>
  <c r="X85" i="84"/>
  <c r="Y84" i="84"/>
  <c r="X84" i="84"/>
  <c r="Y83" i="84"/>
  <c r="X83" i="84"/>
  <c r="Y82" i="84"/>
  <c r="X82" i="84"/>
  <c r="Y81" i="84"/>
  <c r="X81" i="84"/>
  <c r="Y80" i="84"/>
  <c r="X80" i="84"/>
  <c r="Y79" i="84"/>
  <c r="X79" i="84"/>
  <c r="V54" i="84"/>
  <c r="V55" i="84"/>
  <c r="V56" i="84"/>
  <c r="V57" i="84"/>
  <c r="V58" i="84"/>
  <c r="V59" i="84"/>
  <c r="V60" i="84"/>
  <c r="V61" i="84"/>
  <c r="V62" i="84"/>
  <c r="V63" i="84"/>
  <c r="V64" i="84"/>
  <c r="V65" i="84"/>
  <c r="V66" i="84"/>
  <c r="V67" i="84"/>
  <c r="V68" i="84"/>
  <c r="V69" i="84"/>
  <c r="V70" i="84"/>
  <c r="V71" i="84"/>
  <c r="V72" i="84"/>
  <c r="Y72" i="84"/>
  <c r="X72" i="84"/>
  <c r="Y71" i="84"/>
  <c r="Y70" i="84"/>
  <c r="X70" i="84"/>
  <c r="Y69" i="84"/>
  <c r="Y68" i="84"/>
  <c r="X68" i="84"/>
  <c r="Y67" i="84"/>
  <c r="Y66" i="84"/>
  <c r="X66" i="84"/>
  <c r="Y65" i="84"/>
  <c r="Y64" i="84"/>
  <c r="X64" i="84"/>
  <c r="Y63" i="84"/>
  <c r="Y62" i="84"/>
  <c r="X62" i="84"/>
  <c r="Y61" i="84"/>
  <c r="Y60" i="84"/>
  <c r="X60" i="84"/>
  <c r="Y59" i="84"/>
  <c r="Y58" i="84"/>
  <c r="X58" i="84"/>
  <c r="Y57" i="84"/>
  <c r="Y56" i="84"/>
  <c r="X56" i="84"/>
  <c r="Y55" i="84"/>
  <c r="Y54" i="84"/>
  <c r="R87" i="84"/>
  <c r="R96" i="84"/>
  <c r="O96" i="84"/>
  <c r="N96" i="84"/>
  <c r="O95" i="84"/>
  <c r="R94" i="84"/>
  <c r="O94" i="84"/>
  <c r="N94" i="84"/>
  <c r="O93" i="84"/>
  <c r="R92" i="84"/>
  <c r="O92" i="84"/>
  <c r="N92" i="84"/>
  <c r="O91" i="84"/>
  <c r="O90" i="84"/>
  <c r="O89" i="84"/>
  <c r="R88" i="84"/>
  <c r="O88" i="84"/>
  <c r="N88" i="84"/>
  <c r="O87" i="84"/>
  <c r="R86" i="84"/>
  <c r="O86" i="84"/>
  <c r="N86" i="84"/>
  <c r="O85" i="84"/>
  <c r="R84" i="84"/>
  <c r="O84" i="84"/>
  <c r="N84" i="84"/>
  <c r="O83" i="84"/>
  <c r="R82" i="84"/>
  <c r="O82" i="84"/>
  <c r="N82" i="84"/>
  <c r="O81" i="84"/>
  <c r="R80" i="84"/>
  <c r="O80" i="84"/>
  <c r="N80" i="84"/>
  <c r="O79" i="84"/>
  <c r="O78" i="84"/>
  <c r="X105" i="84" l="1"/>
  <c r="X106" i="84"/>
  <c r="X107" i="84"/>
  <c r="X108" i="84"/>
  <c r="X109" i="84"/>
  <c r="X110" i="84"/>
  <c r="X111" i="84"/>
  <c r="X112" i="84"/>
  <c r="X113" i="84"/>
  <c r="X114" i="84"/>
  <c r="X115" i="84"/>
  <c r="X116" i="84"/>
  <c r="X117" i="84"/>
  <c r="X118" i="84"/>
  <c r="X119" i="84"/>
  <c r="X120" i="84"/>
  <c r="X121" i="84"/>
  <c r="X55" i="84"/>
  <c r="X57" i="84"/>
  <c r="X59" i="84"/>
  <c r="X61" i="84"/>
  <c r="X63" i="84"/>
  <c r="X65" i="84"/>
  <c r="X67" i="84"/>
  <c r="X69" i="84"/>
  <c r="X71" i="84"/>
  <c r="N79" i="84"/>
  <c r="N81" i="84"/>
  <c r="N83" i="84"/>
  <c r="N85" i="84"/>
  <c r="N87" i="84"/>
  <c r="R90" i="84"/>
  <c r="N91" i="84"/>
  <c r="N93" i="84"/>
  <c r="N95" i="84"/>
  <c r="N78" i="84"/>
  <c r="N89" i="84"/>
  <c r="R89" i="84"/>
  <c r="N90" i="84"/>
  <c r="P2" i="83"/>
  <c r="G2" i="83" l="1"/>
  <c r="H2" i="83"/>
  <c r="R20" i="83"/>
  <c r="O26" i="79" l="1"/>
  <c r="O28" i="79"/>
  <c r="O25" i="79"/>
  <c r="L65" i="84" l="1"/>
  <c r="R66" i="84" s="1"/>
  <c r="M65" i="84"/>
  <c r="R72" i="84"/>
  <c r="O72" i="84"/>
  <c r="N72" i="84"/>
  <c r="R71" i="84"/>
  <c r="O71" i="84"/>
  <c r="N71" i="84"/>
  <c r="R70" i="84"/>
  <c r="O70" i="84"/>
  <c r="N70" i="84"/>
  <c r="R69" i="84"/>
  <c r="O69" i="84"/>
  <c r="N69" i="84"/>
  <c r="R68" i="84"/>
  <c r="O68" i="84"/>
  <c r="N68" i="84"/>
  <c r="R67" i="84"/>
  <c r="O67" i="84"/>
  <c r="N67" i="84"/>
  <c r="O66" i="84"/>
  <c r="O65" i="84"/>
  <c r="R64" i="84"/>
  <c r="O64" i="84"/>
  <c r="N64" i="84"/>
  <c r="R63" i="84"/>
  <c r="O63" i="84"/>
  <c r="N63" i="84"/>
  <c r="R62" i="84"/>
  <c r="O62" i="84"/>
  <c r="N62" i="84"/>
  <c r="R61" i="84"/>
  <c r="O61" i="84"/>
  <c r="N61" i="84"/>
  <c r="R60" i="84"/>
  <c r="O60" i="84"/>
  <c r="N60" i="84"/>
  <c r="R59" i="84"/>
  <c r="O59" i="84"/>
  <c r="N59" i="84"/>
  <c r="R58" i="84"/>
  <c r="O58" i="84"/>
  <c r="N58" i="84"/>
  <c r="R57" i="84"/>
  <c r="O57" i="84"/>
  <c r="N57" i="84"/>
  <c r="R56" i="84"/>
  <c r="O56" i="84"/>
  <c r="N56" i="84"/>
  <c r="R55" i="84"/>
  <c r="O55" i="84"/>
  <c r="N55" i="84"/>
  <c r="R54" i="84"/>
  <c r="O54" i="84"/>
  <c r="N54" i="84"/>
  <c r="N65" i="84" l="1"/>
  <c r="N66" i="84"/>
  <c r="R65" i="84"/>
  <c r="I78" i="84"/>
  <c r="I96" i="84"/>
  <c r="F96" i="84"/>
  <c r="E96" i="84"/>
  <c r="I95" i="84"/>
  <c r="F95" i="84"/>
  <c r="E95" i="84"/>
  <c r="I94" i="84"/>
  <c r="F94" i="84"/>
  <c r="E94" i="84"/>
  <c r="F93" i="84"/>
  <c r="E93" i="84"/>
  <c r="I92" i="84"/>
  <c r="F92" i="84"/>
  <c r="E92" i="84"/>
  <c r="I91" i="84"/>
  <c r="F91" i="84"/>
  <c r="E91" i="84"/>
  <c r="I90" i="84"/>
  <c r="F90" i="84"/>
  <c r="E90" i="84"/>
  <c r="F89" i="84"/>
  <c r="E89" i="84"/>
  <c r="I88" i="84"/>
  <c r="F88" i="84"/>
  <c r="E88" i="84"/>
  <c r="I87" i="84"/>
  <c r="F87" i="84"/>
  <c r="E87" i="84"/>
  <c r="I86" i="84"/>
  <c r="F86" i="84"/>
  <c r="E86" i="84"/>
  <c r="F85" i="84"/>
  <c r="E85" i="84"/>
  <c r="I84" i="84"/>
  <c r="F84" i="84"/>
  <c r="E84" i="84"/>
  <c r="I83" i="84"/>
  <c r="F83" i="84"/>
  <c r="E83" i="84"/>
  <c r="I82" i="84"/>
  <c r="E82" i="84"/>
  <c r="F81" i="84"/>
  <c r="E81" i="84"/>
  <c r="I80" i="84"/>
  <c r="E80" i="84"/>
  <c r="I79" i="84"/>
  <c r="F79" i="84"/>
  <c r="E79" i="84"/>
  <c r="O108" i="79"/>
  <c r="N108" i="79"/>
  <c r="M108" i="79"/>
  <c r="O107" i="79"/>
  <c r="N107" i="79"/>
  <c r="M107" i="79"/>
  <c r="O106" i="79"/>
  <c r="N106" i="79"/>
  <c r="M106" i="79"/>
  <c r="O105" i="79"/>
  <c r="N105" i="79"/>
  <c r="M105" i="79"/>
  <c r="O104" i="79"/>
  <c r="N104" i="79"/>
  <c r="P104" i="79" s="1"/>
  <c r="M104" i="79"/>
  <c r="P108" i="79" l="1"/>
  <c r="P105" i="79"/>
  <c r="F82" i="84"/>
  <c r="F80" i="84"/>
  <c r="P107" i="79"/>
  <c r="P106" i="79"/>
  <c r="T20" i="83"/>
  <c r="T19" i="83"/>
  <c r="F27" i="83"/>
  <c r="E19" i="83" l="1"/>
  <c r="E13" i="83"/>
  <c r="E20" i="83" s="1"/>
  <c r="H17" i="83"/>
  <c r="H5" i="83"/>
  <c r="G15" i="85" l="1"/>
  <c r="I15" i="85" s="1"/>
  <c r="C40" i="85"/>
  <c r="F118" i="85" s="1"/>
  <c r="AA18" i="82" l="1"/>
  <c r="L40" i="82" l="1"/>
  <c r="X36" i="82"/>
  <c r="AA34" i="82"/>
  <c r="X33" i="82"/>
  <c r="X34" i="82"/>
  <c r="X35" i="82"/>
  <c r="X32" i="82"/>
  <c r="X29" i="82"/>
  <c r="X30" i="82"/>
  <c r="X31" i="82"/>
  <c r="X28" i="82"/>
  <c r="X27" i="82"/>
  <c r="X24" i="82"/>
  <c r="X25" i="82"/>
  <c r="X26" i="82"/>
  <c r="X23" i="82"/>
  <c r="X21" i="82"/>
  <c r="X22" i="82"/>
  <c r="X20" i="82"/>
  <c r="X19" i="82"/>
  <c r="X18" i="82"/>
  <c r="X17" i="82"/>
  <c r="X16" i="82"/>
  <c r="AA15" i="82"/>
  <c r="X15" i="82"/>
  <c r="L11" i="82"/>
  <c r="M11" i="82" s="1"/>
  <c r="N11" i="82" l="1"/>
  <c r="X11" i="83" l="1"/>
  <c r="Y11" i="83"/>
  <c r="Z11" i="83"/>
  <c r="W11" i="83"/>
  <c r="G48" i="81"/>
  <c r="G34" i="81"/>
  <c r="E34" i="81"/>
  <c r="G5" i="81" l="1"/>
  <c r="E5" i="81"/>
  <c r="O21" i="79" l="1"/>
  <c r="I34" i="82" l="1"/>
  <c r="G17" i="33"/>
  <c r="G17" i="85" s="1"/>
  <c r="I17" i="85" s="1"/>
  <c r="M45" i="34"/>
  <c r="G25" i="83"/>
  <c r="M2" i="82"/>
  <c r="G12" i="83" l="1"/>
  <c r="G7" i="83"/>
  <c r="I34" i="81"/>
  <c r="M8" i="82"/>
  <c r="I48" i="81" s="1"/>
  <c r="G13" i="83" l="1"/>
  <c r="G20" i="83" s="1"/>
  <c r="S24" i="83" s="1"/>
  <c r="G21" i="83"/>
  <c r="G22" i="83" s="1"/>
  <c r="D2" i="86"/>
  <c r="I5" i="81"/>
  <c r="N10" i="82"/>
  <c r="J9" i="82"/>
  <c r="O20" i="79"/>
  <c r="N8" i="82"/>
  <c r="M7" i="82"/>
  <c r="J7" i="82"/>
  <c r="N7" i="82" s="1"/>
  <c r="N6" i="82"/>
  <c r="M6" i="82"/>
  <c r="E48" i="81" s="1"/>
  <c r="K6" i="82"/>
  <c r="N5" i="82"/>
  <c r="M5" i="82"/>
  <c r="N4" i="82"/>
  <c r="M4" i="82"/>
  <c r="N3" i="82"/>
  <c r="I3" i="82"/>
  <c r="M3" i="82" s="1"/>
  <c r="Y15" i="82" s="1"/>
  <c r="N2" i="82"/>
  <c r="K2" i="82"/>
  <c r="E27" i="83" l="1"/>
  <c r="H14" i="83"/>
  <c r="H12" i="83"/>
  <c r="H11" i="83"/>
  <c r="H10" i="83"/>
  <c r="H8" i="83"/>
  <c r="H7" i="83"/>
  <c r="D110" i="79"/>
  <c r="D111" i="79"/>
  <c r="D118" i="79"/>
  <c r="C117" i="79"/>
  <c r="D117" i="79" s="1"/>
  <c r="C116" i="79"/>
  <c r="D116" i="79" s="1"/>
  <c r="D6" i="86"/>
  <c r="D7" i="86" s="1"/>
  <c r="F11" i="86" s="1"/>
  <c r="H120" i="79" l="1"/>
  <c r="L118" i="79"/>
  <c r="H121" i="79"/>
  <c r="H21" i="83"/>
  <c r="H13" i="83"/>
  <c r="H20" i="83" s="1"/>
  <c r="L117" i="79"/>
  <c r="L116" i="79"/>
  <c r="G11" i="86"/>
  <c r="E11" i="86"/>
  <c r="D11" i="86"/>
  <c r="C34" i="81" l="1"/>
  <c r="T24" i="83"/>
  <c r="I118" i="79"/>
  <c r="C33" i="33"/>
  <c r="C40" i="33" s="1"/>
  <c r="F118" i="33" s="1"/>
  <c r="I40" i="35"/>
  <c r="G40" i="35"/>
  <c r="E40" i="35"/>
  <c r="E21" i="35"/>
  <c r="E17" i="35"/>
  <c r="E15" i="35"/>
  <c r="E5" i="35"/>
  <c r="I37" i="35"/>
  <c r="E37" i="35"/>
  <c r="AB3" i="83"/>
  <c r="M29" i="79"/>
  <c r="M28" i="79"/>
  <c r="M27" i="79"/>
  <c r="M26" i="79"/>
  <c r="M25" i="79"/>
  <c r="I5" i="85"/>
  <c r="G5" i="85"/>
  <c r="G47" i="33" l="1"/>
  <c r="I47" i="33"/>
  <c r="G19" i="33"/>
  <c r="G19" i="85" s="1"/>
  <c r="I19" i="85" s="1"/>
  <c r="G23" i="33"/>
  <c r="G23" i="85" s="1"/>
  <c r="I23" i="85" s="1"/>
  <c r="I23" i="33"/>
  <c r="I17" i="33"/>
  <c r="I19" i="33"/>
  <c r="M21" i="79"/>
  <c r="M20" i="79"/>
  <c r="M19" i="79"/>
  <c r="M18" i="79"/>
  <c r="M17" i="79"/>
  <c r="M16" i="79"/>
  <c r="M8" i="79"/>
  <c r="M7" i="79"/>
  <c r="M6" i="79"/>
  <c r="M5" i="79"/>
  <c r="B130" i="85" l="1"/>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H28" i="85" s="1"/>
  <c r="AB28" i="85" s="1"/>
  <c r="D91" i="85"/>
  <c r="E91" i="85" s="1"/>
  <c r="F91" i="85" s="1"/>
  <c r="G91" i="85" s="1"/>
  <c r="H91" i="85" s="1"/>
  <c r="I91" i="85" s="1"/>
  <c r="J91" i="85" s="1"/>
  <c r="K91" i="85" s="1"/>
  <c r="L91" i="85" s="1"/>
  <c r="M91" i="85" s="1"/>
  <c r="B90"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U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N59" i="85"/>
  <c r="M59" i="85"/>
  <c r="L59" i="85"/>
  <c r="K59" i="85"/>
  <c r="J59" i="85"/>
  <c r="I59" i="85"/>
  <c r="H59" i="85"/>
  <c r="G59" i="85"/>
  <c r="F59" i="85"/>
  <c r="E59" i="85"/>
  <c r="D59" i="85"/>
  <c r="P49" i="85"/>
  <c r="P48" i="85"/>
  <c r="K48"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F36" i="85"/>
  <c r="AA36" i="85" s="1"/>
  <c r="Q35" i="85"/>
  <c r="Z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W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F28" i="85"/>
  <c r="AA28" i="85" s="1"/>
  <c r="Q27" i="85"/>
  <c r="Z27" i="85" s="1"/>
  <c r="J27" i="85"/>
  <c r="AC27" i="85" s="1"/>
  <c r="H27" i="85"/>
  <c r="F27" i="85"/>
  <c r="AA27" i="85" s="1"/>
  <c r="Q26" i="85"/>
  <c r="Z26" i="85" s="1"/>
  <c r="J26" i="85"/>
  <c r="AC26" i="85" s="1"/>
  <c r="H26" i="85"/>
  <c r="AB26" i="85" s="1"/>
  <c r="F26" i="85"/>
  <c r="AA26" i="85" s="1"/>
  <c r="Q25" i="85"/>
  <c r="Z25" i="85" s="1"/>
  <c r="H25" i="85"/>
  <c r="AB25" i="85" s="1"/>
  <c r="Q23" i="85"/>
  <c r="Z23" i="85" s="1"/>
  <c r="J23" i="85"/>
  <c r="AC23" i="85" s="1"/>
  <c r="H23" i="85"/>
  <c r="AB23" i="85" s="1"/>
  <c r="F23" i="85"/>
  <c r="AA23" i="85" s="1"/>
  <c r="C23" i="85"/>
  <c r="Q21" i="85"/>
  <c r="Z21" i="85" s="1"/>
  <c r="J21" i="85"/>
  <c r="AC21" i="85" s="1"/>
  <c r="H21" i="85"/>
  <c r="AB21" i="85" s="1"/>
  <c r="F21" i="85"/>
  <c r="S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M34" i="79"/>
  <c r="L34" i="79"/>
  <c r="I5" i="35" s="1"/>
  <c r="L33" i="79"/>
  <c r="G5" i="35" s="1"/>
  <c r="D2" i="85"/>
  <c r="U30" i="85" l="1"/>
  <c r="F25" i="85"/>
  <c r="AA25" i="85" s="1"/>
  <c r="J25" i="85"/>
  <c r="AC25" i="85" s="1"/>
  <c r="W27" i="85"/>
  <c r="AC31" i="85"/>
  <c r="F108" i="85"/>
  <c r="G108" i="85" s="1"/>
  <c r="H108" i="85" s="1"/>
  <c r="I108" i="85" s="1"/>
  <c r="J108" i="85" s="1"/>
  <c r="K108" i="85" s="1"/>
  <c r="L108" i="85" s="1"/>
  <c r="M108" i="85" s="1"/>
  <c r="J35" i="85"/>
  <c r="AC35" i="85" s="1"/>
  <c r="H35" i="85"/>
  <c r="U35" i="85" s="1"/>
  <c r="F35" i="85"/>
  <c r="AA35" i="85" s="1"/>
  <c r="U8" i="85"/>
  <c r="AA8" i="85"/>
  <c r="AC8" i="85"/>
  <c r="U11" i="85"/>
  <c r="S12" i="85"/>
  <c r="W12" i="85"/>
  <c r="AB13" i="85"/>
  <c r="W15" i="85"/>
  <c r="S17" i="85"/>
  <c r="W17" i="85"/>
  <c r="S19" i="85"/>
  <c r="W19" i="85"/>
  <c r="W21" i="85"/>
  <c r="AA21" i="85"/>
  <c r="S23" i="85"/>
  <c r="W23" i="85"/>
  <c r="U25" i="85"/>
  <c r="S26" i="85"/>
  <c r="W26" i="85"/>
  <c r="AB27" i="85"/>
  <c r="U27" i="85"/>
  <c r="S29" i="85"/>
  <c r="S34" i="85"/>
  <c r="AB36" i="85"/>
  <c r="U36" i="85"/>
  <c r="U9" i="85"/>
  <c r="S10" i="85"/>
  <c r="W10" i="85"/>
  <c r="S14" i="85"/>
  <c r="W14" i="85"/>
  <c r="S15" i="85"/>
  <c r="S9" i="85"/>
  <c r="W9" i="85"/>
  <c r="U10" i="85"/>
  <c r="S11" i="85"/>
  <c r="W11" i="85"/>
  <c r="U12" i="85"/>
  <c r="S13" i="85"/>
  <c r="W13" i="85"/>
  <c r="U14" i="85"/>
  <c r="U15" i="85"/>
  <c r="U17" i="85"/>
  <c r="U19" i="85"/>
  <c r="U21" i="85"/>
  <c r="U23" i="85"/>
  <c r="W25" i="85"/>
  <c r="U26" i="85"/>
  <c r="S27" i="85"/>
  <c r="U28" i="85"/>
  <c r="W29" i="85"/>
  <c r="S31" i="85"/>
  <c r="U32" i="85"/>
  <c r="W34" i="85"/>
  <c r="AC36" i="85"/>
  <c r="W36" i="85"/>
  <c r="S36" i="85"/>
  <c r="U37" i="85"/>
  <c r="S38" i="85"/>
  <c r="W38" i="85"/>
  <c r="U39" i="85"/>
  <c r="U41" i="85"/>
  <c r="S42" i="85"/>
  <c r="W42" i="85"/>
  <c r="U43" i="85"/>
  <c r="S44" i="85"/>
  <c r="W44" i="85"/>
  <c r="U45" i="85"/>
  <c r="S46" i="85"/>
  <c r="W46" i="85"/>
  <c r="S28" i="85"/>
  <c r="W28" i="85"/>
  <c r="U29" i="85"/>
  <c r="S30" i="85"/>
  <c r="W30" i="85"/>
  <c r="U31" i="85"/>
  <c r="S32" i="85"/>
  <c r="W32" i="85"/>
  <c r="U34" i="85"/>
  <c r="S37" i="85"/>
  <c r="W37" i="85"/>
  <c r="U38" i="85"/>
  <c r="S39" i="85"/>
  <c r="W39" i="85"/>
  <c r="S41" i="85"/>
  <c r="W41" i="85"/>
  <c r="U42" i="85"/>
  <c r="S43" i="85"/>
  <c r="W43" i="85"/>
  <c r="U44" i="85"/>
  <c r="S45" i="85"/>
  <c r="W45" i="85"/>
  <c r="U46" i="85"/>
  <c r="D124" i="79"/>
  <c r="H124" i="79" s="1"/>
  <c r="D115" i="79"/>
  <c r="D109" i="79"/>
  <c r="O33" i="79" s="1"/>
  <c r="D106" i="79"/>
  <c r="H109" i="79" s="1"/>
  <c r="N21" i="79"/>
  <c r="I40" i="33" s="1"/>
  <c r="C118" i="33" s="1"/>
  <c r="P21" i="79"/>
  <c r="Q21" i="79"/>
  <c r="L21" i="79"/>
  <c r="I5" i="33" s="1"/>
  <c r="N27" i="79"/>
  <c r="O27" i="79"/>
  <c r="P27" i="79"/>
  <c r="Q27" i="79"/>
  <c r="H115" i="79" l="1"/>
  <c r="H118" i="79"/>
  <c r="S25" i="85"/>
  <c r="W35" i="85"/>
  <c r="S35" i="85"/>
  <c r="AB35" i="85"/>
  <c r="N29" i="79"/>
  <c r="O29" i="79"/>
  <c r="P29" i="79"/>
  <c r="Q29" i="79"/>
  <c r="N28" i="79"/>
  <c r="I40" i="85" s="1"/>
  <c r="I47" i="85"/>
  <c r="P28" i="79"/>
  <c r="Q28" i="79"/>
  <c r="C118" i="85" l="1"/>
  <c r="V47" i="85"/>
  <c r="N26" i="79"/>
  <c r="G40" i="85" s="1"/>
  <c r="G47" i="85"/>
  <c r="P26" i="79"/>
  <c r="Q26" i="79"/>
  <c r="N25" i="79"/>
  <c r="E40" i="85" s="1"/>
  <c r="E47" i="85"/>
  <c r="P25" i="79"/>
  <c r="Q25" i="79"/>
  <c r="L25" i="79"/>
  <c r="E5" i="85" s="1"/>
  <c r="P20" i="79"/>
  <c r="Q20" i="79"/>
  <c r="L20" i="79"/>
  <c r="G5" i="33" s="1"/>
  <c r="O18" i="79"/>
  <c r="P18" i="79"/>
  <c r="Q18" i="79"/>
  <c r="N18" i="79"/>
  <c r="E33" i="33" s="1"/>
  <c r="L18" i="79"/>
  <c r="L7" i="79"/>
  <c r="C44" i="79"/>
  <c r="N20" i="79" s="1"/>
  <c r="G40" i="33" s="1"/>
  <c r="E118" i="33" s="1"/>
  <c r="J40" i="85" l="1"/>
  <c r="E118" i="85"/>
  <c r="F40" i="85"/>
  <c r="D118" i="85"/>
  <c r="H40" i="85"/>
  <c r="G54" i="85"/>
  <c r="H54" i="85" s="1"/>
  <c r="T47" i="85"/>
  <c r="E54" i="85"/>
  <c r="F54" i="85" s="1"/>
  <c r="R47" i="85"/>
  <c r="I54" i="85"/>
  <c r="J54" i="85" s="1"/>
  <c r="Q10" i="79"/>
  <c r="P10" i="79"/>
  <c r="O10" i="79"/>
  <c r="N10" i="79"/>
  <c r="N19" i="79"/>
  <c r="M10" i="79"/>
  <c r="L10" i="79"/>
  <c r="N5" i="79"/>
  <c r="O5" i="79" s="1"/>
  <c r="E48" i="34" s="1"/>
  <c r="L5" i="79"/>
  <c r="E5" i="34" s="1"/>
  <c r="Q5" i="79"/>
  <c r="P5" i="79"/>
  <c r="L6" i="79"/>
  <c r="N6" i="79"/>
  <c r="O6" i="79"/>
  <c r="L106" i="79"/>
  <c r="C105" i="79"/>
  <c r="D105" i="79" s="1"/>
  <c r="C104" i="79"/>
  <c r="D104" i="79" s="1"/>
  <c r="L104" i="79" s="1"/>
  <c r="L121" i="79"/>
  <c r="L120" i="79"/>
  <c r="C103" i="79"/>
  <c r="D102" i="79"/>
  <c r="D134" i="79"/>
  <c r="I106" i="79" l="1"/>
  <c r="AB40" i="85"/>
  <c r="U40" i="85"/>
  <c r="AA40" i="85"/>
  <c r="S40" i="85"/>
  <c r="AC40" i="85"/>
  <c r="W40" i="85"/>
  <c r="L105" i="79"/>
  <c r="I70" i="84"/>
  <c r="I66" i="84"/>
  <c r="I62" i="84"/>
  <c r="I58" i="84"/>
  <c r="I54" i="84"/>
  <c r="I46" i="84"/>
  <c r="I42" i="84"/>
  <c r="I38" i="84"/>
  <c r="I34" i="84"/>
  <c r="I30" i="84"/>
  <c r="I21" i="84"/>
  <c r="I17" i="84"/>
  <c r="I13" i="84"/>
  <c r="I9" i="84"/>
  <c r="I55" i="84"/>
  <c r="I72" i="84"/>
  <c r="I71" i="84"/>
  <c r="I68" i="84"/>
  <c r="I67" i="84"/>
  <c r="I64" i="84"/>
  <c r="I63" i="84"/>
  <c r="I60" i="84"/>
  <c r="I59" i="84"/>
  <c r="I47" i="84"/>
  <c r="I43" i="84"/>
  <c r="I39" i="84"/>
  <c r="I35" i="84"/>
  <c r="I31" i="84"/>
  <c r="I48" i="84"/>
  <c r="I44" i="84"/>
  <c r="I40" i="84"/>
  <c r="I36" i="84"/>
  <c r="I22" i="84"/>
  <c r="I18" i="84"/>
  <c r="I14" i="84"/>
  <c r="I10" i="84"/>
  <c r="I23" i="84"/>
  <c r="I19" i="84"/>
  <c r="I15" i="84"/>
  <c r="J15" i="84" s="1"/>
  <c r="I11" i="84"/>
  <c r="J23" i="84" l="1"/>
  <c r="J19" i="84"/>
  <c r="E21" i="83"/>
  <c r="D3" i="86" s="1"/>
  <c r="E22" i="83"/>
  <c r="F13" i="86" s="1"/>
  <c r="F43" i="84"/>
  <c r="F59" i="84"/>
  <c r="F60" i="84"/>
  <c r="F61" i="84"/>
  <c r="F62" i="84"/>
  <c r="F65" i="84"/>
  <c r="F66" i="84"/>
  <c r="F67" i="84"/>
  <c r="F68" i="84"/>
  <c r="F69" i="84"/>
  <c r="F70" i="84"/>
  <c r="F71" i="84"/>
  <c r="F72" i="84"/>
  <c r="G63" i="84"/>
  <c r="F63" i="84" s="1"/>
  <c r="G14" i="84"/>
  <c r="F15" i="84" s="1"/>
  <c r="G57" i="84"/>
  <c r="G56" i="84"/>
  <c r="I56" i="84" s="1"/>
  <c r="G55" i="84"/>
  <c r="G54" i="84"/>
  <c r="G8" i="84"/>
  <c r="F9" i="84" s="1"/>
  <c r="G32" i="84"/>
  <c r="I32" i="84" s="1"/>
  <c r="G31" i="84"/>
  <c r="G30" i="84"/>
  <c r="G7" i="84"/>
  <c r="G6" i="84"/>
  <c r="G5" i="84"/>
  <c r="F34" i="84"/>
  <c r="F35" i="84"/>
  <c r="F36" i="84"/>
  <c r="F37" i="84"/>
  <c r="F38" i="84"/>
  <c r="F39" i="84"/>
  <c r="F40" i="84"/>
  <c r="F41" i="84"/>
  <c r="F42" i="84"/>
  <c r="F44" i="84"/>
  <c r="F45" i="84"/>
  <c r="F46" i="84"/>
  <c r="F47" i="84"/>
  <c r="F48" i="84"/>
  <c r="F10" i="84"/>
  <c r="F11" i="84"/>
  <c r="F12" i="84"/>
  <c r="F13" i="84"/>
  <c r="F14" i="84"/>
  <c r="F16" i="84"/>
  <c r="F17" i="84"/>
  <c r="F18" i="84"/>
  <c r="F19" i="84"/>
  <c r="F20" i="84"/>
  <c r="F21" i="84"/>
  <c r="F22" i="84"/>
  <c r="F23" i="84"/>
  <c r="E72" i="84"/>
  <c r="E71" i="84"/>
  <c r="E70" i="84"/>
  <c r="E69" i="84"/>
  <c r="E68" i="84"/>
  <c r="E67" i="84"/>
  <c r="E66" i="84"/>
  <c r="E65" i="84"/>
  <c r="E64" i="84"/>
  <c r="E63" i="84"/>
  <c r="E62" i="84"/>
  <c r="E61" i="84"/>
  <c r="E60" i="84"/>
  <c r="E59" i="84"/>
  <c r="E58" i="84"/>
  <c r="E57" i="84"/>
  <c r="E56" i="84"/>
  <c r="E55" i="84"/>
  <c r="F15" i="86" l="1"/>
  <c r="D13" i="86"/>
  <c r="D15" i="86" s="1"/>
  <c r="E13" i="86"/>
  <c r="E15" i="86" s="1"/>
  <c r="G13" i="86"/>
  <c r="G15" i="86" s="1"/>
  <c r="F7" i="84"/>
  <c r="I7" i="84"/>
  <c r="J11" i="84" s="1"/>
  <c r="F55" i="84"/>
  <c r="F57" i="84"/>
  <c r="F33" i="84"/>
  <c r="F8" i="84"/>
  <c r="F64" i="84"/>
  <c r="F58" i="84"/>
  <c r="F56" i="84"/>
  <c r="F6" i="84"/>
  <c r="F32" i="84"/>
  <c r="F31" i="84"/>
  <c r="AC40" i="84"/>
  <c r="AC36" i="84"/>
  <c r="AB30" i="84"/>
  <c r="AB31" i="84"/>
  <c r="AB32" i="84"/>
  <c r="AB33" i="84"/>
  <c r="AB34" i="84"/>
  <c r="AB35" i="84"/>
  <c r="AB36" i="84"/>
  <c r="AB37" i="84"/>
  <c r="AB38" i="84"/>
  <c r="AB39" i="84"/>
  <c r="AB40" i="84"/>
  <c r="AB41" i="84"/>
  <c r="AB42" i="84"/>
  <c r="AB43" i="84"/>
  <c r="AB46" i="84"/>
  <c r="AB47" i="84"/>
  <c r="AB48" i="84"/>
  <c r="AB49" i="84"/>
  <c r="AB23" i="84"/>
  <c r="AB6" i="84"/>
  <c r="AB7" i="84"/>
  <c r="AB8" i="84"/>
  <c r="AB9" i="84"/>
  <c r="AB10" i="84"/>
  <c r="AB11" i="84"/>
  <c r="AB12" i="84"/>
  <c r="AB13" i="84"/>
  <c r="AB14" i="84"/>
  <c r="AB15" i="84"/>
  <c r="AB16" i="84"/>
  <c r="AB17" i="84"/>
  <c r="AB18" i="84"/>
  <c r="AB19" i="84"/>
  <c r="AB20" i="84"/>
  <c r="AB21" i="84"/>
  <c r="AB22" i="84"/>
  <c r="AB5" i="84"/>
  <c r="V44" i="84"/>
  <c r="AC44" i="84" s="1"/>
  <c r="AA41" i="84"/>
  <c r="AA42" i="84" s="1"/>
  <c r="AA40" i="84"/>
  <c r="AA39" i="84"/>
  <c r="W39" i="84"/>
  <c r="AA38" i="84"/>
  <c r="AA37" i="84"/>
  <c r="AA36" i="84"/>
  <c r="AA35" i="84"/>
  <c r="W35" i="84"/>
  <c r="W34" i="84"/>
  <c r="W33" i="84"/>
  <c r="AA31" i="84"/>
  <c r="AA32" i="84" s="1"/>
  <c r="AA33" i="84" s="1"/>
  <c r="AA34" i="84" s="1"/>
  <c r="W31" i="84"/>
  <c r="W29" i="84"/>
  <c r="W30" i="84" s="1"/>
  <c r="AB44" i="84" l="1"/>
  <c r="AB45" i="84"/>
  <c r="E31" i="84"/>
  <c r="E32" i="84"/>
  <c r="E33" i="84"/>
  <c r="E34" i="84"/>
  <c r="E35" i="84"/>
  <c r="Y13" i="83" s="1"/>
  <c r="E36" i="84"/>
  <c r="E37" i="84"/>
  <c r="E38" i="84"/>
  <c r="E39" i="84"/>
  <c r="E40" i="84"/>
  <c r="E41" i="84"/>
  <c r="E42" i="84"/>
  <c r="E43" i="84"/>
  <c r="E44" i="84"/>
  <c r="E45" i="84"/>
  <c r="E46" i="84"/>
  <c r="E47" i="84"/>
  <c r="E48" i="84"/>
  <c r="E14" i="84"/>
  <c r="E15" i="84"/>
  <c r="E16" i="84"/>
  <c r="E17" i="84"/>
  <c r="E18" i="84"/>
  <c r="E19" i="84"/>
  <c r="E20" i="84"/>
  <c r="E21" i="84"/>
  <c r="E22" i="84"/>
  <c r="E23" i="84"/>
  <c r="E6" i="84"/>
  <c r="E7" i="84"/>
  <c r="E10" i="84"/>
  <c r="E11" i="84"/>
  <c r="E12" i="84"/>
  <c r="E13" i="84"/>
  <c r="R31" i="84"/>
  <c r="R32" i="84"/>
  <c r="R33" i="84"/>
  <c r="R34" i="84"/>
  <c r="R35" i="84"/>
  <c r="Z13" i="83" s="1"/>
  <c r="R36" i="84"/>
  <c r="R37" i="84"/>
  <c r="R38" i="84"/>
  <c r="R39" i="84"/>
  <c r="R40" i="84"/>
  <c r="R43" i="84"/>
  <c r="R44" i="84"/>
  <c r="R45" i="84"/>
  <c r="R46" i="84"/>
  <c r="R47" i="84"/>
  <c r="R48" i="84"/>
  <c r="R30" i="84"/>
  <c r="R6" i="84"/>
  <c r="R7" i="84"/>
  <c r="R8" i="84"/>
  <c r="R9" i="84"/>
  <c r="R10" i="84"/>
  <c r="R11" i="84"/>
  <c r="R12" i="84"/>
  <c r="R13" i="84"/>
  <c r="R14" i="84"/>
  <c r="R15" i="84"/>
  <c r="R18" i="84"/>
  <c r="R19" i="84"/>
  <c r="R20" i="84"/>
  <c r="R21" i="84"/>
  <c r="R22" i="84"/>
  <c r="R23" i="84"/>
  <c r="R5" i="84"/>
  <c r="Y48" i="84"/>
  <c r="X48" i="84"/>
  <c r="Q48" i="84"/>
  <c r="O48" i="84"/>
  <c r="N48" i="84"/>
  <c r="Y47" i="84"/>
  <c r="X47" i="84"/>
  <c r="Q47" i="84"/>
  <c r="O47" i="84"/>
  <c r="N47" i="84"/>
  <c r="Y46" i="84"/>
  <c r="X46" i="84"/>
  <c r="Q46" i="84"/>
  <c r="O46" i="84"/>
  <c r="N46" i="84"/>
  <c r="Y45" i="84"/>
  <c r="X45" i="84"/>
  <c r="Q45" i="84"/>
  <c r="O45" i="84"/>
  <c r="N45" i="84"/>
  <c r="Y44" i="84"/>
  <c r="X44" i="84"/>
  <c r="Q44" i="84"/>
  <c r="O44" i="84"/>
  <c r="N44" i="84"/>
  <c r="Y43" i="84"/>
  <c r="X43" i="84"/>
  <c r="Q43" i="84"/>
  <c r="O43" i="84"/>
  <c r="N43" i="84"/>
  <c r="Y42" i="84"/>
  <c r="X42" i="84"/>
  <c r="Q42" i="84"/>
  <c r="O42" i="84"/>
  <c r="Y41" i="84"/>
  <c r="X41" i="84"/>
  <c r="Q41" i="84"/>
  <c r="O41" i="84"/>
  <c r="L41" i="84"/>
  <c r="N42" i="84" s="1"/>
  <c r="Y40" i="84"/>
  <c r="X40" i="84"/>
  <c r="Q40" i="84"/>
  <c r="O40" i="84"/>
  <c r="N40" i="84"/>
  <c r="Y39" i="84"/>
  <c r="X39" i="84"/>
  <c r="Q39" i="84"/>
  <c r="O39" i="84"/>
  <c r="N39" i="84"/>
  <c r="Y38" i="84"/>
  <c r="X38" i="84"/>
  <c r="Q38" i="84"/>
  <c r="O38" i="84"/>
  <c r="N38" i="84"/>
  <c r="Y37" i="84"/>
  <c r="X37" i="84"/>
  <c r="Q37" i="84"/>
  <c r="O37" i="84"/>
  <c r="N37" i="84"/>
  <c r="Y36" i="84"/>
  <c r="X36" i="84"/>
  <c r="Q36" i="84"/>
  <c r="O36" i="84"/>
  <c r="N36" i="84"/>
  <c r="Y35" i="84"/>
  <c r="X35" i="84"/>
  <c r="Q35" i="84"/>
  <c r="O35" i="84"/>
  <c r="N35" i="84"/>
  <c r="Y34" i="84"/>
  <c r="X34" i="84"/>
  <c r="Q34" i="84"/>
  <c r="O34" i="84"/>
  <c r="N34" i="84"/>
  <c r="Y33" i="84"/>
  <c r="X33" i="84"/>
  <c r="Q33" i="84"/>
  <c r="O33" i="84"/>
  <c r="N33" i="84"/>
  <c r="Y32" i="84"/>
  <c r="X32" i="84"/>
  <c r="Q32" i="84"/>
  <c r="O32" i="84"/>
  <c r="N32" i="84"/>
  <c r="Y31" i="84"/>
  <c r="X31" i="84"/>
  <c r="Q31" i="84"/>
  <c r="O31" i="84"/>
  <c r="N31" i="84"/>
  <c r="Y30" i="84"/>
  <c r="X30" i="84"/>
  <c r="Q30" i="84"/>
  <c r="O30" i="84"/>
  <c r="N30" i="84"/>
  <c r="Q29" i="84"/>
  <c r="AA23" i="84"/>
  <c r="Y23" i="84"/>
  <c r="X23" i="84"/>
  <c r="Q23" i="84"/>
  <c r="O23" i="84"/>
  <c r="N23" i="84"/>
  <c r="AG22" i="84"/>
  <c r="AA22" i="84"/>
  <c r="Y22" i="84"/>
  <c r="X22" i="84"/>
  <c r="Q22" i="84"/>
  <c r="O22" i="84"/>
  <c r="N22" i="84"/>
  <c r="AG21" i="84"/>
  <c r="AA21" i="84"/>
  <c r="Y21" i="84"/>
  <c r="X21" i="84"/>
  <c r="Q21" i="84"/>
  <c r="O21" i="84"/>
  <c r="N21" i="84"/>
  <c r="AG20" i="84"/>
  <c r="AA20" i="84"/>
  <c r="Y20" i="84"/>
  <c r="X20" i="84"/>
  <c r="Q20" i="84"/>
  <c r="O20" i="84"/>
  <c r="N20" i="84"/>
  <c r="AG19" i="84"/>
  <c r="AA19" i="84"/>
  <c r="Y19" i="84"/>
  <c r="X19" i="84"/>
  <c r="Q19" i="84"/>
  <c r="O19" i="84"/>
  <c r="N19" i="84"/>
  <c r="AG18" i="84"/>
  <c r="AA18" i="84"/>
  <c r="Y18" i="84"/>
  <c r="X18" i="84"/>
  <c r="Q18" i="84"/>
  <c r="O18" i="84"/>
  <c r="N18" i="84"/>
  <c r="AG17" i="84"/>
  <c r="AA17" i="84"/>
  <c r="Y17" i="84"/>
  <c r="X17" i="84"/>
  <c r="Q17" i="84"/>
  <c r="AG16" i="84"/>
  <c r="AA16" i="84"/>
  <c r="Y16" i="84"/>
  <c r="X16" i="84"/>
  <c r="AA15" i="83" s="1"/>
  <c r="P16" i="84"/>
  <c r="O17" i="84" s="1"/>
  <c r="L16" i="84"/>
  <c r="R16" i="84" s="1"/>
  <c r="AG15" i="84"/>
  <c r="AA15" i="84"/>
  <c r="Y15" i="84"/>
  <c r="X15" i="84"/>
  <c r="Q15" i="84"/>
  <c r="O15" i="84"/>
  <c r="N15" i="84"/>
  <c r="AG14" i="84"/>
  <c r="AA14" i="84"/>
  <c r="Y14" i="84"/>
  <c r="X14" i="84"/>
  <c r="Q14" i="84"/>
  <c r="O14" i="84"/>
  <c r="N14" i="84"/>
  <c r="AG13" i="84"/>
  <c r="AA13" i="84"/>
  <c r="Y13" i="84"/>
  <c r="X13" i="84"/>
  <c r="Q13" i="84"/>
  <c r="O13" i="84"/>
  <c r="N13" i="84"/>
  <c r="AA12" i="84"/>
  <c r="Y12" i="84"/>
  <c r="X12" i="84"/>
  <c r="AA14" i="83" s="1"/>
  <c r="Q12" i="84"/>
  <c r="O12" i="84"/>
  <c r="N12" i="84"/>
  <c r="AA11" i="84"/>
  <c r="Y11" i="84"/>
  <c r="X11" i="84"/>
  <c r="Q11" i="84"/>
  <c r="O11" i="84"/>
  <c r="N11" i="84"/>
  <c r="AA10" i="84"/>
  <c r="Y10" i="84"/>
  <c r="X10" i="84"/>
  <c r="Q10" i="84"/>
  <c r="O10" i="84"/>
  <c r="N10" i="84"/>
  <c r="AA9" i="84"/>
  <c r="Y9" i="84"/>
  <c r="X9" i="84"/>
  <c r="Q9" i="84"/>
  <c r="O9" i="84"/>
  <c r="N9" i="84"/>
  <c r="AA8" i="84"/>
  <c r="Y8" i="84"/>
  <c r="X8" i="84"/>
  <c r="Q8" i="84"/>
  <c r="O8" i="84"/>
  <c r="N8" i="84"/>
  <c r="E8" i="84"/>
  <c r="AA7" i="84"/>
  <c r="Y7" i="84"/>
  <c r="X7" i="84"/>
  <c r="Q7" i="84"/>
  <c r="O7" i="84"/>
  <c r="N7" i="84"/>
  <c r="AA6" i="84"/>
  <c r="Y6" i="84"/>
  <c r="X6" i="84"/>
  <c r="Q6" i="84"/>
  <c r="O6" i="84"/>
  <c r="N6" i="84"/>
  <c r="AA5" i="84"/>
  <c r="Y5" i="84"/>
  <c r="X5" i="84"/>
  <c r="Q5" i="84"/>
  <c r="O5" i="84"/>
  <c r="N5" i="84"/>
  <c r="AA4" i="84"/>
  <c r="Q4" i="84"/>
  <c r="D4" i="84"/>
  <c r="I5" i="84" s="1"/>
  <c r="C4" i="84"/>
  <c r="Z14" i="83" l="1"/>
  <c r="Y15" i="83"/>
  <c r="Y14" i="83"/>
  <c r="E5" i="84"/>
  <c r="I6" i="84"/>
  <c r="N16" i="84"/>
  <c r="N17" i="84"/>
  <c r="N41" i="84"/>
  <c r="R17" i="84"/>
  <c r="R41" i="84"/>
  <c r="Z15" i="83" s="1"/>
  <c r="E9" i="84"/>
  <c r="R42" i="84"/>
  <c r="O16" i="84"/>
  <c r="Q16" i="84"/>
  <c r="AB14" i="83" l="1"/>
  <c r="AB15" i="83"/>
  <c r="E59" i="33"/>
  <c r="D59" i="33"/>
  <c r="L54" i="34"/>
  <c r="M54" i="34"/>
  <c r="N54" i="34"/>
  <c r="O45" i="34" l="1"/>
  <c r="N45" i="34"/>
  <c r="L41" i="82"/>
  <c r="AA35" i="82" s="1"/>
  <c r="L44" i="82"/>
  <c r="AA36" i="82" s="1"/>
  <c r="O50" i="82" l="1"/>
  <c r="O49" i="82"/>
  <c r="O48" i="82"/>
  <c r="O47" i="82"/>
  <c r="I45" i="82"/>
  <c r="I44" i="82"/>
  <c r="I42" i="82"/>
  <c r="I41" i="82"/>
  <c r="L39" i="82"/>
  <c r="I39" i="82"/>
  <c r="L38" i="82"/>
  <c r="AA32" i="82" s="1"/>
  <c r="I38" i="82"/>
  <c r="I37" i="82"/>
  <c r="I36" i="82"/>
  <c r="I35" i="82"/>
  <c r="T48" i="81"/>
  <c r="I33" i="82"/>
  <c r="L30" i="82"/>
  <c r="AA31" i="82" s="1"/>
  <c r="I30" i="82"/>
  <c r="L29" i="82"/>
  <c r="AA30" i="82" s="1"/>
  <c r="L28" i="82"/>
  <c r="AA29" i="82" s="1"/>
  <c r="L27" i="82"/>
  <c r="AA28" i="82" s="1"/>
  <c r="I27" i="82"/>
  <c r="H26" i="82"/>
  <c r="I26" i="82" s="1"/>
  <c r="L25" i="82"/>
  <c r="AA27" i="82" s="1"/>
  <c r="L23" i="82"/>
  <c r="AA26" i="82" s="1"/>
  <c r="I23" i="82"/>
  <c r="L22" i="82"/>
  <c r="AA25" i="82" s="1"/>
  <c r="L21" i="82"/>
  <c r="AA24" i="82" s="1"/>
  <c r="I21" i="82"/>
  <c r="L20" i="82"/>
  <c r="I20" i="82"/>
  <c r="I19" i="82"/>
  <c r="I18" i="82"/>
  <c r="O17" i="82"/>
  <c r="L17" i="82"/>
  <c r="O16" i="82"/>
  <c r="L16" i="82"/>
  <c r="AA21" i="82" s="1"/>
  <c r="I16" i="82"/>
  <c r="O15" i="82"/>
  <c r="L15" i="82"/>
  <c r="I15" i="82"/>
  <c r="O14" i="82"/>
  <c r="L14" i="82"/>
  <c r="AA19" i="82" s="1"/>
  <c r="I14" i="82"/>
  <c r="B131" i="81"/>
  <c r="H47" i="81" s="1"/>
  <c r="AB47" i="81" s="1"/>
  <c r="B129" i="81"/>
  <c r="J46" i="81" s="1"/>
  <c r="AC46" i="81" s="1"/>
  <c r="B127" i="81"/>
  <c r="J45" i="81" s="1"/>
  <c r="AC45" i="81" s="1"/>
  <c r="D126" i="81"/>
  <c r="E126" i="81" s="1"/>
  <c r="F126" i="81" s="1"/>
  <c r="G126" i="81" s="1"/>
  <c r="D124" i="81"/>
  <c r="E124" i="81" s="1"/>
  <c r="D120" i="81"/>
  <c r="E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J31" i="81" s="1"/>
  <c r="AC31" i="81" s="1"/>
  <c r="B95" i="81"/>
  <c r="H30" i="81" s="1"/>
  <c r="B93" i="81"/>
  <c r="H29" i="81" s="1"/>
  <c r="AB29" i="81" s="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J27" i="81" s="1"/>
  <c r="AC27" i="81" s="1"/>
  <c r="D88" i="81"/>
  <c r="E88" i="81" s="1"/>
  <c r="J25" i="81" s="1"/>
  <c r="W25" i="81" s="1"/>
  <c r="D86" i="81"/>
  <c r="E86" i="81" s="1"/>
  <c r="F86" i="81" s="1"/>
  <c r="G86" i="81" s="1"/>
  <c r="D84" i="81"/>
  <c r="E84" i="81" s="1"/>
  <c r="F84" i="81" s="1"/>
  <c r="G84" i="81" s="1"/>
  <c r="D82" i="81"/>
  <c r="E82" i="81" s="1"/>
  <c r="F82" i="81" s="1"/>
  <c r="G82" i="81" s="1"/>
  <c r="D80" i="81"/>
  <c r="E80" i="81" s="1"/>
  <c r="F80" i="81" s="1"/>
  <c r="G80" i="81" s="1"/>
  <c r="D78" i="81"/>
  <c r="E78" i="81" s="1"/>
  <c r="B75" i="81"/>
  <c r="H14" i="81" s="1"/>
  <c r="U14" i="81" s="1"/>
  <c r="B73" i="81"/>
  <c r="H13" i="81" s="1"/>
  <c r="U13" i="81" s="1"/>
  <c r="B71" i="81"/>
  <c r="J12" i="81" s="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J9" i="81" s="1"/>
  <c r="P50" i="81"/>
  <c r="P49" i="81"/>
  <c r="K49" i="81"/>
  <c r="P48" i="81"/>
  <c r="Q47" i="81"/>
  <c r="Z47" i="81" s="1"/>
  <c r="Q46" i="81"/>
  <c r="Z46" i="81" s="1"/>
  <c r="Q45" i="81"/>
  <c r="Z45" i="81" s="1"/>
  <c r="Q44" i="81"/>
  <c r="Z44" i="81" s="1"/>
  <c r="J44" i="81"/>
  <c r="W44" i="81" s="1"/>
  <c r="Q43" i="81"/>
  <c r="Z43" i="81" s="1"/>
  <c r="Q42" i="81"/>
  <c r="Z42" i="81" s="1"/>
  <c r="C42" i="81"/>
  <c r="Q41" i="81"/>
  <c r="Z41" i="81" s="1"/>
  <c r="Q40" i="81"/>
  <c r="Z40" i="81" s="1"/>
  <c r="J40" i="81"/>
  <c r="W40" i="81" s="1"/>
  <c r="H40" i="81"/>
  <c r="AB40" i="81" s="1"/>
  <c r="F40" i="81"/>
  <c r="AA40" i="81" s="1"/>
  <c r="Q39" i="81"/>
  <c r="Z39" i="81" s="1"/>
  <c r="J39" i="81"/>
  <c r="W39" i="81" s="1"/>
  <c r="Q38" i="81"/>
  <c r="Z38" i="81" s="1"/>
  <c r="J38" i="81"/>
  <c r="W38" i="81" s="1"/>
  <c r="H38" i="81"/>
  <c r="U38" i="81" s="1"/>
  <c r="F38" i="81"/>
  <c r="S38" i="81" s="1"/>
  <c r="Q37" i="81"/>
  <c r="Z37" i="81" s="1"/>
  <c r="Q36" i="81"/>
  <c r="Z36" i="81" s="1"/>
  <c r="J36" i="81"/>
  <c r="AC36" i="81" s="1"/>
  <c r="H36" i="81"/>
  <c r="U36" i="81" s="1"/>
  <c r="F36" i="81"/>
  <c r="S36" i="81" s="1"/>
  <c r="Q35" i="81"/>
  <c r="Z35" i="81" s="1"/>
  <c r="J35" i="81"/>
  <c r="W35" i="81" s="1"/>
  <c r="H35" i="81"/>
  <c r="AB35" i="81" s="1"/>
  <c r="F35" i="81"/>
  <c r="S35" i="81" s="1"/>
  <c r="Q34" i="81"/>
  <c r="Z34" i="81" s="1"/>
  <c r="Q33" i="81"/>
  <c r="Z33" i="81" s="1"/>
  <c r="J33" i="81"/>
  <c r="AC33" i="81" s="1"/>
  <c r="H33" i="81"/>
  <c r="AB33" i="81" s="1"/>
  <c r="F33" i="81"/>
  <c r="S33" i="81" s="1"/>
  <c r="Q32" i="81"/>
  <c r="Z32" i="81" s="1"/>
  <c r="Q31" i="81"/>
  <c r="Z31" i="81" s="1"/>
  <c r="H31" i="81"/>
  <c r="U31" i="81" s="1"/>
  <c r="Q30" i="81"/>
  <c r="Z30" i="81" s="1"/>
  <c r="J30" i="81"/>
  <c r="AC30" i="81" s="1"/>
  <c r="F30" i="81"/>
  <c r="AA30" i="81" s="1"/>
  <c r="Q29" i="81"/>
  <c r="Z29" i="81" s="1"/>
  <c r="F29" i="81"/>
  <c r="AA29" i="81" s="1"/>
  <c r="Q28" i="81"/>
  <c r="Z28" i="81" s="1"/>
  <c r="Q27" i="81"/>
  <c r="Z27" i="81" s="1"/>
  <c r="Q25" i="81"/>
  <c r="Z25" i="81" s="1"/>
  <c r="H25" i="81"/>
  <c r="AB25" i="81" s="1"/>
  <c r="Q23" i="81"/>
  <c r="Z23" i="81" s="1"/>
  <c r="J23" i="81"/>
  <c r="W23" i="81" s="1"/>
  <c r="H23" i="81"/>
  <c r="U23" i="81" s="1"/>
  <c r="F23" i="81"/>
  <c r="AA23" i="81" s="1"/>
  <c r="C23" i="81"/>
  <c r="Q21" i="81"/>
  <c r="Z21" i="81" s="1"/>
  <c r="J21" i="81"/>
  <c r="W21" i="81" s="1"/>
  <c r="H21" i="81"/>
  <c r="U21" i="81" s="1"/>
  <c r="F21" i="81"/>
  <c r="AA21" i="81" s="1"/>
  <c r="C21" i="81"/>
  <c r="Q19" i="81"/>
  <c r="Z19" i="81" s="1"/>
  <c r="J19" i="81"/>
  <c r="W19" i="81" s="1"/>
  <c r="F19" i="81"/>
  <c r="AA19" i="81" s="1"/>
  <c r="C19" i="81"/>
  <c r="Q17" i="81"/>
  <c r="Z17" i="81" s="1"/>
  <c r="J17" i="81"/>
  <c r="W17" i="81" s="1"/>
  <c r="C17" i="81"/>
  <c r="Q15" i="81"/>
  <c r="Z15" i="81" s="1"/>
  <c r="C15" i="81"/>
  <c r="Q14" i="81"/>
  <c r="Z14" i="81" s="1"/>
  <c r="Q13" i="81"/>
  <c r="Z13" i="81" s="1"/>
  <c r="J13" i="81"/>
  <c r="W13" i="81" s="1"/>
  <c r="F13" i="81"/>
  <c r="S13" i="81" s="1"/>
  <c r="Q12" i="81"/>
  <c r="Z12" i="81" s="1"/>
  <c r="Q11" i="81"/>
  <c r="Z11" i="81" s="1"/>
  <c r="J11" i="81"/>
  <c r="W11" i="81" s="1"/>
  <c r="H11" i="81"/>
  <c r="U11" i="81" s="1"/>
  <c r="F11" i="81"/>
  <c r="S11" i="81" s="1"/>
  <c r="Q10" i="81"/>
  <c r="Z10" i="81" s="1"/>
  <c r="J10" i="81"/>
  <c r="AC10" i="81" s="1"/>
  <c r="H10" i="81"/>
  <c r="AB10" i="81" s="1"/>
  <c r="F10" i="81"/>
  <c r="AA10" i="81" s="1"/>
  <c r="Q9" i="81"/>
  <c r="Z9" i="81" s="1"/>
  <c r="J8" i="81"/>
  <c r="AC8" i="81" s="1"/>
  <c r="H8" i="81"/>
  <c r="AB8" i="81" s="1"/>
  <c r="F8" i="81"/>
  <c r="AA8" i="81" s="1"/>
  <c r="B130" i="80"/>
  <c r="J46" i="80" s="1"/>
  <c r="AC46" i="80" s="1"/>
  <c r="B128" i="80"/>
  <c r="H45" i="80" s="1"/>
  <c r="AB45" i="80" s="1"/>
  <c r="B126" i="80"/>
  <c r="H44" i="80" s="1"/>
  <c r="AB44" i="80" s="1"/>
  <c r="D125" i="80"/>
  <c r="H43" i="80" s="1"/>
  <c r="AB43" i="80" s="1"/>
  <c r="D123" i="80"/>
  <c r="E123" i="80" s="1"/>
  <c r="H42" i="80" s="1"/>
  <c r="AB42"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09" i="80"/>
  <c r="F109" i="80"/>
  <c r="E109" i="80"/>
  <c r="D109" i="80"/>
  <c r="C109" i="80"/>
  <c r="D108" i="80"/>
  <c r="E108" i="80" s="1"/>
  <c r="J35" i="80" s="1"/>
  <c r="W35"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H31" i="80" s="1"/>
  <c r="B96" i="80"/>
  <c r="H30" i="80" s="1"/>
  <c r="AB30" i="80" s="1"/>
  <c r="B94" i="80"/>
  <c r="B92" i="80"/>
  <c r="D91" i="80"/>
  <c r="E91" i="80" s="1"/>
  <c r="F91" i="80" s="1"/>
  <c r="G91" i="80" s="1"/>
  <c r="H91" i="80" s="1"/>
  <c r="I91" i="80" s="1"/>
  <c r="J91" i="80" s="1"/>
  <c r="K91" i="80" s="1"/>
  <c r="L91" i="80" s="1"/>
  <c r="M91" i="80" s="1"/>
  <c r="B90" i="80"/>
  <c r="J27" i="80" s="1"/>
  <c r="B88" i="80"/>
  <c r="H26" i="80" s="1"/>
  <c r="U26" i="80" s="1"/>
  <c r="D87" i="80"/>
  <c r="H25" i="80" s="1"/>
  <c r="U25" i="80" s="1"/>
  <c r="D85" i="80"/>
  <c r="J23" i="80" s="1"/>
  <c r="D83" i="80"/>
  <c r="E83" i="80" s="1"/>
  <c r="F83" i="80" s="1"/>
  <c r="G83" i="80" s="1"/>
  <c r="D81" i="80"/>
  <c r="D79" i="80"/>
  <c r="E79" i="80" s="1"/>
  <c r="F79" i="80" s="1"/>
  <c r="G79" i="80" s="1"/>
  <c r="D77" i="80"/>
  <c r="E77" i="80" s="1"/>
  <c r="F77" i="80" s="1"/>
  <c r="G77" i="80" s="1"/>
  <c r="B74" i="80"/>
  <c r="H14" i="80" s="1"/>
  <c r="U14" i="80" s="1"/>
  <c r="B72" i="80"/>
  <c r="B70" i="80"/>
  <c r="H12" i="80" s="1"/>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F9" i="80" s="1"/>
  <c r="AA9" i="80" s="1"/>
  <c r="P49" i="80"/>
  <c r="P48" i="80"/>
  <c r="K48" i="80"/>
  <c r="P47" i="80"/>
  <c r="Q46" i="80"/>
  <c r="Z46" i="80" s="1"/>
  <c r="Q45" i="80"/>
  <c r="Z45" i="80" s="1"/>
  <c r="Q44" i="80"/>
  <c r="Z44" i="80" s="1"/>
  <c r="J44" i="80"/>
  <c r="AC44" i="80" s="1"/>
  <c r="F44" i="80"/>
  <c r="AA44" i="80" s="1"/>
  <c r="Q43" i="80"/>
  <c r="Z43" i="80" s="1"/>
  <c r="Q42" i="80"/>
  <c r="Z42" i="80" s="1"/>
  <c r="Q41" i="80"/>
  <c r="Z41" i="80" s="1"/>
  <c r="J41" i="80"/>
  <c r="W41" i="80" s="1"/>
  <c r="H41" i="80"/>
  <c r="U41" i="80" s="1"/>
  <c r="F41" i="80"/>
  <c r="AA41" i="80" s="1"/>
  <c r="Q40" i="80"/>
  <c r="Z40" i="80" s="1"/>
  <c r="J40" i="80"/>
  <c r="W40" i="80" s="1"/>
  <c r="H40" i="80"/>
  <c r="U40" i="80" s="1"/>
  <c r="F40" i="80"/>
  <c r="S40" i="80" s="1"/>
  <c r="Q39" i="80"/>
  <c r="Z39" i="80" s="1"/>
  <c r="J39" i="80"/>
  <c r="W39" i="80" s="1"/>
  <c r="H39" i="80"/>
  <c r="U39" i="80" s="1"/>
  <c r="F39" i="80"/>
  <c r="S39" i="80" s="1"/>
  <c r="Q38" i="80"/>
  <c r="Z38" i="80" s="1"/>
  <c r="J38" i="80"/>
  <c r="AC38" i="80" s="1"/>
  <c r="H38" i="80"/>
  <c r="U38" i="80" s="1"/>
  <c r="F38" i="80"/>
  <c r="S38" i="80" s="1"/>
  <c r="Q37" i="80"/>
  <c r="Z37" i="80" s="1"/>
  <c r="J37" i="80"/>
  <c r="W37" i="80" s="1"/>
  <c r="H37" i="80"/>
  <c r="F37" i="80"/>
  <c r="S37" i="80" s="1"/>
  <c r="Q36" i="80"/>
  <c r="Z36" i="80" s="1"/>
  <c r="I36" i="80"/>
  <c r="G36" i="80"/>
  <c r="Q35" i="80"/>
  <c r="Z35" i="80" s="1"/>
  <c r="Q34" i="80"/>
  <c r="Z34" i="80" s="1"/>
  <c r="J34" i="80"/>
  <c r="AC34" i="80" s="1"/>
  <c r="H34" i="80"/>
  <c r="U34" i="80" s="1"/>
  <c r="F34" i="80"/>
  <c r="AA34" i="80" s="1"/>
  <c r="Q33" i="80"/>
  <c r="Z33" i="80" s="1"/>
  <c r="Q32" i="80"/>
  <c r="Z32" i="80" s="1"/>
  <c r="J32" i="80"/>
  <c r="AC32" i="80" s="1"/>
  <c r="H32" i="80"/>
  <c r="U32" i="80" s="1"/>
  <c r="F32" i="80"/>
  <c r="AA32" i="80" s="1"/>
  <c r="Q31" i="80"/>
  <c r="Z31" i="80" s="1"/>
  <c r="Q30" i="80"/>
  <c r="Z30" i="80" s="1"/>
  <c r="F30" i="80"/>
  <c r="AA30" i="80" s="1"/>
  <c r="Q29" i="80"/>
  <c r="Z29" i="80" s="1"/>
  <c r="J29" i="80"/>
  <c r="AC29" i="80" s="1"/>
  <c r="H29" i="80"/>
  <c r="F29" i="80"/>
  <c r="AA29" i="80" s="1"/>
  <c r="Q28" i="80"/>
  <c r="Z28" i="80" s="1"/>
  <c r="H28" i="80"/>
  <c r="AB28" i="80" s="1"/>
  <c r="Q27" i="80"/>
  <c r="Z27" i="80" s="1"/>
  <c r="H27" i="80"/>
  <c r="AB27" i="80" s="1"/>
  <c r="AB26" i="80"/>
  <c r="Q26" i="80"/>
  <c r="Z26" i="80" s="1"/>
  <c r="J26" i="80"/>
  <c r="W26" i="80" s="1"/>
  <c r="F26" i="80"/>
  <c r="AA26" i="80" s="1"/>
  <c r="Q25" i="80"/>
  <c r="Z25" i="80" s="1"/>
  <c r="Q23" i="80"/>
  <c r="Z23" i="80" s="1"/>
  <c r="C23" i="80"/>
  <c r="Q21" i="80"/>
  <c r="Z21" i="80" s="1"/>
  <c r="J21" i="80"/>
  <c r="W21" i="80" s="1"/>
  <c r="H21" i="80"/>
  <c r="U21" i="80" s="1"/>
  <c r="F21" i="80"/>
  <c r="S21" i="80" s="1"/>
  <c r="C21" i="80"/>
  <c r="Q19" i="80"/>
  <c r="Z19" i="80" s="1"/>
  <c r="H19" i="80"/>
  <c r="U19" i="80" s="1"/>
  <c r="C19" i="80"/>
  <c r="Q17" i="80"/>
  <c r="Z17" i="80" s="1"/>
  <c r="H17" i="80"/>
  <c r="U17" i="80" s="1"/>
  <c r="C17" i="80"/>
  <c r="Q15" i="80"/>
  <c r="Z15" i="80" s="1"/>
  <c r="J15" i="80"/>
  <c r="W15" i="80" s="1"/>
  <c r="H15" i="80"/>
  <c r="U15" i="80" s="1"/>
  <c r="F15" i="80"/>
  <c r="S15" i="80" s="1"/>
  <c r="C15" i="80"/>
  <c r="Z14" i="80"/>
  <c r="Q14" i="80"/>
  <c r="J14" i="80"/>
  <c r="W14" i="80" s="1"/>
  <c r="F14" i="80"/>
  <c r="S14" i="80" s="1"/>
  <c r="Q13" i="80"/>
  <c r="Z13" i="80" s="1"/>
  <c r="J13" i="80"/>
  <c r="AC13" i="80" s="1"/>
  <c r="H13" i="80"/>
  <c r="U13" i="80" s="1"/>
  <c r="F13" i="80"/>
  <c r="S13" i="80" s="1"/>
  <c r="Q12" i="80"/>
  <c r="Z12" i="80" s="1"/>
  <c r="J12" i="80"/>
  <c r="W12" i="80" s="1"/>
  <c r="Q11" i="80"/>
  <c r="Z11" i="80" s="1"/>
  <c r="J11" i="80"/>
  <c r="AC11" i="80" s="1"/>
  <c r="H11" i="80"/>
  <c r="U11" i="80" s="1"/>
  <c r="F11" i="80"/>
  <c r="AA11" i="80" s="1"/>
  <c r="Q10" i="80"/>
  <c r="Z10" i="80" s="1"/>
  <c r="J10" i="80"/>
  <c r="AC10" i="80" s="1"/>
  <c r="H10" i="80"/>
  <c r="AB10" i="80" s="1"/>
  <c r="F10" i="80"/>
  <c r="AA10" i="80" s="1"/>
  <c r="Q9" i="80"/>
  <c r="Z9" i="80" s="1"/>
  <c r="H9" i="80"/>
  <c r="AB9" i="80" s="1"/>
  <c r="J8" i="80"/>
  <c r="W8" i="80" s="1"/>
  <c r="H8" i="80"/>
  <c r="AB8" i="80" s="1"/>
  <c r="F8" i="80"/>
  <c r="AA8" i="80" s="1"/>
  <c r="O17" i="79"/>
  <c r="E47" i="33" s="1"/>
  <c r="I36" i="33"/>
  <c r="G36" i="33"/>
  <c r="D2" i="80"/>
  <c r="D2" i="81"/>
  <c r="AB13" i="81" l="1"/>
  <c r="J47" i="81"/>
  <c r="W47" i="81" s="1"/>
  <c r="F47" i="81"/>
  <c r="AA47" i="81" s="1"/>
  <c r="J14" i="81"/>
  <c r="W14" i="81" s="1"/>
  <c r="J29" i="81"/>
  <c r="AC29" i="81" s="1"/>
  <c r="J9" i="80"/>
  <c r="AC9" i="80" s="1"/>
  <c r="F17" i="80"/>
  <c r="S17" i="80" s="1"/>
  <c r="J17" i="80"/>
  <c r="W17" i="80" s="1"/>
  <c r="F27" i="80"/>
  <c r="AA27" i="80" s="1"/>
  <c r="J30" i="80"/>
  <c r="AC30" i="80" s="1"/>
  <c r="AA40" i="80"/>
  <c r="E85" i="80"/>
  <c r="F85" i="80" s="1"/>
  <c r="G85" i="80" s="1"/>
  <c r="F9" i="81"/>
  <c r="AA9" i="81" s="1"/>
  <c r="F14" i="81"/>
  <c r="AA14" i="81" s="1"/>
  <c r="F17" i="81"/>
  <c r="AA17" i="81" s="1"/>
  <c r="H27" i="81"/>
  <c r="AB27" i="81" s="1"/>
  <c r="F31" i="81"/>
  <c r="AA31" i="81" s="1"/>
  <c r="AB31" i="81"/>
  <c r="F45" i="81"/>
  <c r="AA45" i="81" s="1"/>
  <c r="AC37" i="80"/>
  <c r="U8" i="81"/>
  <c r="O51" i="82"/>
  <c r="P50" i="82" s="1"/>
  <c r="W23" i="80"/>
  <c r="AC23" i="80"/>
  <c r="W27" i="80"/>
  <c r="AC27" i="80"/>
  <c r="S8" i="80"/>
  <c r="H46" i="81"/>
  <c r="AB46" i="81" s="1"/>
  <c r="AC8" i="80"/>
  <c r="F23" i="80"/>
  <c r="S23" i="80" s="1"/>
  <c r="F46" i="80"/>
  <c r="AA46" i="80" s="1"/>
  <c r="U10" i="80"/>
  <c r="H23" i="80"/>
  <c r="U23" i="80" s="1"/>
  <c r="J31" i="80"/>
  <c r="AC31" i="80" s="1"/>
  <c r="W34" i="80"/>
  <c r="AC41" i="80"/>
  <c r="H46" i="80"/>
  <c r="AB46" i="80" s="1"/>
  <c r="H12" i="81"/>
  <c r="U12" i="81" s="1"/>
  <c r="F28" i="81"/>
  <c r="AA28" i="81" s="1"/>
  <c r="F35" i="80"/>
  <c r="S35" i="80" s="1"/>
  <c r="J28" i="81"/>
  <c r="AC28" i="81" s="1"/>
  <c r="AB11" i="80"/>
  <c r="AA37" i="80"/>
  <c r="F32" i="81"/>
  <c r="AA32" i="81" s="1"/>
  <c r="F39" i="81"/>
  <c r="AA39" i="81" s="1"/>
  <c r="F44" i="81"/>
  <c r="AA44" i="81" s="1"/>
  <c r="AC47" i="81"/>
  <c r="S11" i="80"/>
  <c r="W13" i="80"/>
  <c r="AB29" i="80"/>
  <c r="U29" i="80"/>
  <c r="AB34" i="80"/>
  <c r="AC35" i="80"/>
  <c r="AB37" i="80"/>
  <c r="U37" i="80"/>
  <c r="E81" i="80"/>
  <c r="F81" i="80" s="1"/>
  <c r="G81" i="80" s="1"/>
  <c r="J19" i="80"/>
  <c r="F19" i="80"/>
  <c r="S19" i="80" s="1"/>
  <c r="E87" i="80"/>
  <c r="F87" i="80" s="1"/>
  <c r="G87" i="80" s="1"/>
  <c r="H87" i="80" s="1"/>
  <c r="I87" i="80" s="1"/>
  <c r="J87" i="80" s="1"/>
  <c r="K87" i="80" s="1"/>
  <c r="L87" i="80" s="1"/>
  <c r="M87" i="80" s="1"/>
  <c r="J25" i="80"/>
  <c r="F25" i="80"/>
  <c r="J28" i="80"/>
  <c r="F28" i="80"/>
  <c r="E125" i="80"/>
  <c r="F125" i="80" s="1"/>
  <c r="G125" i="80" s="1"/>
  <c r="J43" i="80"/>
  <c r="AC43" i="80" s="1"/>
  <c r="F43" i="80"/>
  <c r="AA43" i="80" s="1"/>
  <c r="J45" i="80"/>
  <c r="AC45" i="80" s="1"/>
  <c r="F45" i="80"/>
  <c r="AA45" i="80" s="1"/>
  <c r="W12" i="81"/>
  <c r="AC12" i="81"/>
  <c r="U30" i="81"/>
  <c r="AB30" i="81"/>
  <c r="G47" i="80"/>
  <c r="T47" i="80" s="1"/>
  <c r="U8" i="80"/>
  <c r="S9" i="80"/>
  <c r="W11" i="80"/>
  <c r="AC12" i="80"/>
  <c r="AB19" i="80"/>
  <c r="AB21" i="80"/>
  <c r="W30" i="80"/>
  <c r="AB32" i="80"/>
  <c r="AB38" i="80"/>
  <c r="AC39" i="80"/>
  <c r="F108" i="80"/>
  <c r="G108" i="80" s="1"/>
  <c r="H108" i="80" s="1"/>
  <c r="I108" i="80" s="1"/>
  <c r="J108" i="80" s="1"/>
  <c r="K108" i="80" s="1"/>
  <c r="L108" i="80" s="1"/>
  <c r="M108" i="80" s="1"/>
  <c r="H35" i="80"/>
  <c r="F123" i="80"/>
  <c r="G123" i="80" s="1"/>
  <c r="H123" i="80" s="1"/>
  <c r="I123" i="80" s="1"/>
  <c r="J123" i="80" s="1"/>
  <c r="K123" i="80" s="1"/>
  <c r="L123" i="80" s="1"/>
  <c r="M123" i="80" s="1"/>
  <c r="J42" i="80"/>
  <c r="F42" i="80"/>
  <c r="AA42" i="80" s="1"/>
  <c r="AC21" i="80"/>
  <c r="S34" i="80"/>
  <c r="H36" i="80"/>
  <c r="U36" i="80" s="1"/>
  <c r="W38" i="80"/>
  <c r="AA38" i="80"/>
  <c r="AB39" i="80"/>
  <c r="AC40" i="80"/>
  <c r="AB41" i="80"/>
  <c r="S8" i="81"/>
  <c r="AA11" i="81"/>
  <c r="AC11" i="81"/>
  <c r="AC14" i="81"/>
  <c r="AC17" i="81"/>
  <c r="AC19" i="81"/>
  <c r="AC21" i="81"/>
  <c r="AC23" i="81"/>
  <c r="S28" i="81"/>
  <c r="S29" i="81"/>
  <c r="S30" i="81"/>
  <c r="W30" i="81"/>
  <c r="S31" i="81"/>
  <c r="W31" i="81"/>
  <c r="W10" i="81"/>
  <c r="AB11" i="81"/>
  <c r="F12" i="81"/>
  <c r="AC13" i="81"/>
  <c r="H17" i="81"/>
  <c r="U17" i="81" s="1"/>
  <c r="H19" i="81"/>
  <c r="U19" i="81" s="1"/>
  <c r="F27" i="81"/>
  <c r="AA27" i="81" s="1"/>
  <c r="U29" i="81"/>
  <c r="H39" i="81"/>
  <c r="U39" i="81" s="1"/>
  <c r="F41" i="81"/>
  <c r="AA41" i="81" s="1"/>
  <c r="H44" i="81"/>
  <c r="AB44" i="81" s="1"/>
  <c r="F46" i="81"/>
  <c r="AA46" i="81" s="1"/>
  <c r="S47" i="81"/>
  <c r="F88" i="81"/>
  <c r="G88" i="81" s="1"/>
  <c r="H88" i="81" s="1"/>
  <c r="I88" i="81" s="1"/>
  <c r="J88" i="81" s="1"/>
  <c r="K88" i="81" s="1"/>
  <c r="L88" i="81" s="1"/>
  <c r="M88" i="81" s="1"/>
  <c r="F25" i="81"/>
  <c r="AA25" i="81" s="1"/>
  <c r="W33" i="81"/>
  <c r="AA33" i="81"/>
  <c r="AC44" i="81"/>
  <c r="F124" i="81"/>
  <c r="G124" i="81" s="1"/>
  <c r="H124" i="81" s="1"/>
  <c r="I124" i="81" s="1"/>
  <c r="J124" i="81" s="1"/>
  <c r="K124" i="81" s="1"/>
  <c r="L124" i="81" s="1"/>
  <c r="M124" i="81" s="1"/>
  <c r="J43" i="81"/>
  <c r="H43" i="81"/>
  <c r="U43" i="81" s="1"/>
  <c r="F43" i="81"/>
  <c r="AA43" i="81" s="1"/>
  <c r="AC38" i="81"/>
  <c r="W36" i="81"/>
  <c r="AA36" i="81"/>
  <c r="AB36" i="81"/>
  <c r="U35" i="81"/>
  <c r="AA35" i="81"/>
  <c r="AC35" i="81"/>
  <c r="H45" i="81"/>
  <c r="AB45" i="81" s="1"/>
  <c r="O18" i="82"/>
  <c r="P16" i="82" s="1"/>
  <c r="G55" i="81"/>
  <c r="H55" i="81" s="1"/>
  <c r="E55" i="81"/>
  <c r="F55" i="81" s="1"/>
  <c r="I55" i="81"/>
  <c r="J55" i="81" s="1"/>
  <c r="AC9" i="81"/>
  <c r="W9" i="81"/>
  <c r="AC32" i="81"/>
  <c r="W32" i="81"/>
  <c r="F78" i="81"/>
  <c r="G78" i="81" s="1"/>
  <c r="J15" i="81"/>
  <c r="F15" i="81"/>
  <c r="H15" i="81"/>
  <c r="F120" i="81"/>
  <c r="H41" i="81" s="1"/>
  <c r="H37" i="81"/>
  <c r="F37" i="81"/>
  <c r="G112" i="81"/>
  <c r="H112" i="81" s="1"/>
  <c r="I112" i="81" s="1"/>
  <c r="J112" i="81" s="1"/>
  <c r="K112" i="81" s="1"/>
  <c r="L112" i="81" s="1"/>
  <c r="M112" i="81" s="1"/>
  <c r="S19" i="81"/>
  <c r="S21" i="81"/>
  <c r="S23" i="81"/>
  <c r="U25" i="81"/>
  <c r="W27" i="81"/>
  <c r="S10" i="81"/>
  <c r="AA38" i="81"/>
  <c r="AC40" i="81"/>
  <c r="U10" i="81"/>
  <c r="AA13" i="81"/>
  <c r="AB14" i="81"/>
  <c r="AB21" i="81"/>
  <c r="AB23" i="81"/>
  <c r="AC25" i="81"/>
  <c r="S32" i="81"/>
  <c r="U33" i="81"/>
  <c r="AB38" i="81"/>
  <c r="AC39" i="81"/>
  <c r="R48" i="81"/>
  <c r="U47" i="81"/>
  <c r="V48" i="81"/>
  <c r="U46" i="81"/>
  <c r="S40" i="81"/>
  <c r="W46" i="81"/>
  <c r="W8" i="81"/>
  <c r="U28" i="81"/>
  <c r="U27" i="81"/>
  <c r="W28" i="81"/>
  <c r="U40" i="81"/>
  <c r="W45" i="81"/>
  <c r="H9" i="81"/>
  <c r="H32" i="81"/>
  <c r="AB12" i="80"/>
  <c r="U12" i="80"/>
  <c r="F36" i="80"/>
  <c r="G111" i="80"/>
  <c r="H111" i="80" s="1"/>
  <c r="I111" i="80" s="1"/>
  <c r="J111" i="80" s="1"/>
  <c r="K111" i="80" s="1"/>
  <c r="L111" i="80" s="1"/>
  <c r="M111" i="80" s="1"/>
  <c r="AB31" i="80"/>
  <c r="U31" i="80"/>
  <c r="S10" i="80"/>
  <c r="AA14" i="80"/>
  <c r="AA15" i="80"/>
  <c r="AA17" i="80"/>
  <c r="AA19" i="80"/>
  <c r="AA21" i="80"/>
  <c r="AB25" i="80"/>
  <c r="AC26" i="80"/>
  <c r="S32" i="80"/>
  <c r="AA39" i="80"/>
  <c r="AB40" i="80"/>
  <c r="S46" i="80"/>
  <c r="AA13" i="80"/>
  <c r="AB14" i="80"/>
  <c r="AB15" i="80"/>
  <c r="AB17" i="80"/>
  <c r="U9" i="80"/>
  <c r="W10" i="80"/>
  <c r="AB13" i="80"/>
  <c r="AC14" i="80"/>
  <c r="AC15" i="80"/>
  <c r="AC17" i="80"/>
  <c r="S30" i="80"/>
  <c r="W32" i="80"/>
  <c r="AA35" i="80"/>
  <c r="U46" i="80"/>
  <c r="W9" i="80"/>
  <c r="S29" i="80"/>
  <c r="U30" i="80"/>
  <c r="S44" i="80"/>
  <c r="U45" i="80"/>
  <c r="W46" i="80"/>
  <c r="S43" i="80"/>
  <c r="U44" i="80"/>
  <c r="S27" i="80"/>
  <c r="U28" i="80"/>
  <c r="W29" i="80"/>
  <c r="S42" i="80"/>
  <c r="U43" i="80"/>
  <c r="W44" i="80"/>
  <c r="S26" i="80"/>
  <c r="U27" i="80"/>
  <c r="S41" i="80"/>
  <c r="U42" i="80"/>
  <c r="W43" i="80"/>
  <c r="F12" i="80"/>
  <c r="F31" i="80"/>
  <c r="L19" i="79"/>
  <c r="D147" i="79"/>
  <c r="D146" i="79"/>
  <c r="D149" i="79"/>
  <c r="S14" i="81" l="1"/>
  <c r="J37" i="81"/>
  <c r="W37" i="81" s="1"/>
  <c r="W45" i="80"/>
  <c r="S45" i="81"/>
  <c r="S9" i="81"/>
  <c r="W29" i="81"/>
  <c r="S27" i="81"/>
  <c r="S17" i="81"/>
  <c r="AB12" i="81"/>
  <c r="S41" i="81"/>
  <c r="AB19" i="81"/>
  <c r="S39" i="81"/>
  <c r="AB39" i="81"/>
  <c r="P48" i="82"/>
  <c r="P47" i="82"/>
  <c r="P17" i="82"/>
  <c r="P49" i="82"/>
  <c r="P14" i="82"/>
  <c r="S44" i="81"/>
  <c r="U44" i="81"/>
  <c r="AB23" i="80"/>
  <c r="AA23" i="80"/>
  <c r="AB36" i="80"/>
  <c r="W31" i="80"/>
  <c r="S46" i="81"/>
  <c r="S45" i="80"/>
  <c r="AB17" i="81"/>
  <c r="I5" i="80"/>
  <c r="J36" i="80"/>
  <c r="W36" i="80" s="1"/>
  <c r="P15" i="82"/>
  <c r="S12" i="81"/>
  <c r="AA12" i="81"/>
  <c r="AA28" i="80"/>
  <c r="S28" i="80"/>
  <c r="S25" i="80"/>
  <c r="AA25" i="80"/>
  <c r="W19" i="80"/>
  <c r="AC19" i="80"/>
  <c r="W42" i="80"/>
  <c r="AC42" i="80"/>
  <c r="AB35" i="80"/>
  <c r="U35" i="80"/>
  <c r="W28" i="80"/>
  <c r="AC28" i="80"/>
  <c r="W25" i="80"/>
  <c r="AC25" i="80"/>
  <c r="S25" i="81"/>
  <c r="AB43" i="81"/>
  <c r="S43" i="81"/>
  <c r="W43" i="81"/>
  <c r="AC43" i="81"/>
  <c r="U45" i="81"/>
  <c r="AB32" i="81"/>
  <c r="U32" i="81"/>
  <c r="AB41" i="81"/>
  <c r="U41" i="81"/>
  <c r="J41" i="81"/>
  <c r="G120" i="81"/>
  <c r="H120" i="81" s="1"/>
  <c r="I120" i="81" s="1"/>
  <c r="J120" i="81" s="1"/>
  <c r="K120" i="81" s="1"/>
  <c r="L120" i="81" s="1"/>
  <c r="M120" i="81" s="1"/>
  <c r="U15" i="81"/>
  <c r="AB15" i="81"/>
  <c r="AA15" i="81"/>
  <c r="S15" i="81"/>
  <c r="W15" i="81"/>
  <c r="AC15" i="81"/>
  <c r="S37" i="81"/>
  <c r="AA37" i="81"/>
  <c r="AB37" i="81"/>
  <c r="U37" i="81"/>
  <c r="AC37" i="81"/>
  <c r="U9" i="81"/>
  <c r="AB9" i="81"/>
  <c r="AA31" i="80"/>
  <c r="S31" i="80"/>
  <c r="AA36" i="80"/>
  <c r="S36" i="80"/>
  <c r="S12" i="80"/>
  <c r="AA12" i="80"/>
  <c r="AC36" i="80" l="1"/>
  <c r="AC41" i="81"/>
  <c r="W41" i="81"/>
  <c r="C42" i="34" l="1"/>
  <c r="Q17" i="79" l="1"/>
  <c r="P17" i="79"/>
  <c r="N17" i="79"/>
  <c r="E40" i="33" s="1"/>
  <c r="D118" i="33" s="1"/>
  <c r="L17" i="79"/>
  <c r="P6" i="79"/>
  <c r="Q16" i="79"/>
  <c r="P16" i="79"/>
  <c r="O16" i="79"/>
  <c r="N16" i="79"/>
  <c r="L16" i="79"/>
  <c r="Q8" i="79"/>
  <c r="P8" i="79"/>
  <c r="N8" i="79"/>
  <c r="E47" i="80" l="1"/>
  <c r="G5" i="80"/>
  <c r="I42" i="34"/>
  <c r="J42" i="81"/>
  <c r="E5" i="80"/>
  <c r="E42" i="34"/>
  <c r="F42" i="81"/>
  <c r="L8" i="79"/>
  <c r="Q7" i="79"/>
  <c r="P7" i="79"/>
  <c r="O7" i="79"/>
  <c r="N7" i="79"/>
  <c r="Q6" i="79"/>
  <c r="D99" i="79"/>
  <c r="O8" i="79" s="1"/>
  <c r="I48" i="34" s="1"/>
  <c r="G48" i="34"/>
  <c r="AC42" i="81" l="1"/>
  <c r="W42" i="81"/>
  <c r="E54" i="80"/>
  <c r="F54" i="80" s="1"/>
  <c r="R47" i="80"/>
  <c r="S42" i="81"/>
  <c r="AA42" i="81"/>
  <c r="G42" i="34"/>
  <c r="H42" i="81"/>
  <c r="D129" i="79"/>
  <c r="D128" i="79"/>
  <c r="K125" i="79"/>
  <c r="L124" i="79"/>
  <c r="C123" i="79"/>
  <c r="D123" i="79" s="1"/>
  <c r="C122" i="79"/>
  <c r="D122" i="79" s="1"/>
  <c r="C119" i="79"/>
  <c r="D119" i="79" s="1"/>
  <c r="L115" i="79"/>
  <c r="C114" i="79"/>
  <c r="D114" i="79" s="1"/>
  <c r="C113" i="79"/>
  <c r="D113" i="79" s="1"/>
  <c r="L109" i="79"/>
  <c r="C108" i="79"/>
  <c r="D108" i="79" s="1"/>
  <c r="C107" i="79"/>
  <c r="D107" i="79" s="1"/>
  <c r="D103" i="79"/>
  <c r="D101" i="79"/>
  <c r="D100" i="79"/>
  <c r="D98" i="79"/>
  <c r="D97" i="79"/>
  <c r="D96" i="79"/>
  <c r="D95" i="79"/>
  <c r="D94" i="79"/>
  <c r="D89" i="79"/>
  <c r="D91" i="79"/>
  <c r="D92" i="79"/>
  <c r="D71" i="79"/>
  <c r="D64" i="79"/>
  <c r="D43" i="79"/>
  <c r="D42" i="79"/>
  <c r="L108" i="79" l="1"/>
  <c r="H108" i="79"/>
  <c r="L113" i="79"/>
  <c r="H113" i="79"/>
  <c r="H116" i="79"/>
  <c r="L122" i="79"/>
  <c r="H122" i="79"/>
  <c r="L107" i="79"/>
  <c r="H107" i="79"/>
  <c r="L114" i="79"/>
  <c r="AA37" i="82" s="1"/>
  <c r="AA39" i="82" s="1"/>
  <c r="H114" i="79"/>
  <c r="H117" i="79"/>
  <c r="L119" i="79"/>
  <c r="I121" i="79" s="1"/>
  <c r="H119" i="79"/>
  <c r="L123" i="79"/>
  <c r="H123" i="79"/>
  <c r="I115" i="79"/>
  <c r="I124" i="79"/>
  <c r="I109" i="79"/>
  <c r="D130" i="79"/>
  <c r="O19" i="79" s="1"/>
  <c r="AB42" i="81"/>
  <c r="U42" i="81"/>
  <c r="L22" i="1"/>
  <c r="L20" i="1"/>
  <c r="I47" i="80" l="1"/>
  <c r="I20" i="78"/>
  <c r="I17" i="78"/>
  <c r="H15" i="78"/>
  <c r="H14" i="78"/>
  <c r="H12" i="78"/>
  <c r="I11" i="78"/>
  <c r="H10" i="78"/>
  <c r="H9" i="78"/>
  <c r="I8" i="78"/>
  <c r="I7" i="78"/>
  <c r="I6" i="78"/>
  <c r="I4" i="78"/>
  <c r="C36" i="78"/>
  <c r="D35" i="78"/>
  <c r="J8" i="78" s="1"/>
  <c r="E28" i="78"/>
  <c r="H25" i="78"/>
  <c r="E25" i="78" s="1"/>
  <c r="C22" i="78"/>
  <c r="F19" i="78"/>
  <c r="F16" i="78"/>
  <c r="E15" i="78"/>
  <c r="C15" i="78"/>
  <c r="M10" i="78"/>
  <c r="P9" i="78"/>
  <c r="O10" i="78" s="1"/>
  <c r="M4" i="78"/>
  <c r="I54" i="80" l="1"/>
  <c r="J54" i="80" s="1"/>
  <c r="V47" i="80"/>
  <c r="G54" i="80"/>
  <c r="H54" i="80" s="1"/>
  <c r="E24" i="78"/>
  <c r="C21" i="78"/>
  <c r="E19" i="78" s="1"/>
  <c r="F113" i="77" l="1"/>
  <c r="N99" i="77"/>
  <c r="N108" i="77" s="1"/>
  <c r="M99" i="77"/>
  <c r="L99" i="77"/>
  <c r="L108" i="77" s="1"/>
  <c r="K99" i="77"/>
  <c r="J99" i="77"/>
  <c r="J108" i="77" s="1"/>
  <c r="I99" i="77"/>
  <c r="H99" i="77"/>
  <c r="H108" i="77" s="1"/>
  <c r="G99" i="77"/>
  <c r="F99" i="77"/>
  <c r="F108" i="77" s="1"/>
  <c r="E99" i="77"/>
  <c r="D99" i="77"/>
  <c r="D108" i="77" s="1"/>
  <c r="C99" i="77"/>
  <c r="M88" i="77"/>
  <c r="N88" i="77" s="1"/>
  <c r="K88" i="77"/>
  <c r="J88" i="77" s="1"/>
  <c r="D88" i="77"/>
  <c r="M87" i="77"/>
  <c r="N87" i="77" s="1"/>
  <c r="K87" i="77"/>
  <c r="J87" i="77" s="1"/>
  <c r="D87" i="77"/>
  <c r="M86" i="77"/>
  <c r="N86" i="77" s="1"/>
  <c r="K86" i="77"/>
  <c r="J86" i="77" s="1"/>
  <c r="D86" i="77"/>
  <c r="M85" i="77"/>
  <c r="N85" i="77" s="1"/>
  <c r="K85" i="77"/>
  <c r="J85" i="77" s="1"/>
  <c r="D85" i="77"/>
  <c r="M84" i="77"/>
  <c r="N84" i="77" s="1"/>
  <c r="K84" i="77"/>
  <c r="J84" i="77" s="1"/>
  <c r="D84" i="77"/>
  <c r="B84" i="77"/>
  <c r="M83" i="77"/>
  <c r="N83" i="77" s="1"/>
  <c r="K83" i="77"/>
  <c r="J83" i="77" s="1"/>
  <c r="D83" i="77"/>
  <c r="B83" i="77"/>
  <c r="M82" i="77"/>
  <c r="N82" i="77" s="1"/>
  <c r="K82" i="77"/>
  <c r="J82" i="77" s="1"/>
  <c r="D82" i="77"/>
  <c r="M81" i="77"/>
  <c r="N81" i="77" s="1"/>
  <c r="K81" i="77"/>
  <c r="J81" i="77" s="1"/>
  <c r="F81" i="77"/>
  <c r="H87" i="77" s="1"/>
  <c r="D81" i="77"/>
  <c r="M78" i="77"/>
  <c r="N78" i="77" s="1"/>
  <c r="K78" i="77"/>
  <c r="J78" i="77" s="1"/>
  <c r="D78" i="77"/>
  <c r="M77" i="77"/>
  <c r="N77" i="77" s="1"/>
  <c r="K77" i="77"/>
  <c r="J77" i="77" s="1"/>
  <c r="D77" i="77"/>
  <c r="M76" i="77"/>
  <c r="N76" i="77" s="1"/>
  <c r="K76" i="77"/>
  <c r="J76" i="77" s="1"/>
  <c r="D76" i="77"/>
  <c r="M75" i="77"/>
  <c r="N75" i="77" s="1"/>
  <c r="K75" i="77"/>
  <c r="J75" i="77" s="1"/>
  <c r="D75" i="77"/>
  <c r="M74" i="77"/>
  <c r="N74" i="77" s="1"/>
  <c r="K74" i="77"/>
  <c r="J74" i="77" s="1"/>
  <c r="D74" i="77"/>
  <c r="M73" i="77"/>
  <c r="N73" i="77" s="1"/>
  <c r="K73" i="77"/>
  <c r="J73" i="77" s="1"/>
  <c r="D73" i="77"/>
  <c r="M72" i="77"/>
  <c r="N72" i="77" s="1"/>
  <c r="K72" i="77"/>
  <c r="J72" i="77" s="1"/>
  <c r="D72" i="77"/>
  <c r="B72" i="77"/>
  <c r="M71" i="77"/>
  <c r="N71" i="77" s="1"/>
  <c r="K71" i="77"/>
  <c r="J71" i="77" s="1"/>
  <c r="D71" i="77"/>
  <c r="M70" i="77"/>
  <c r="N70" i="77" s="1"/>
  <c r="K70" i="77"/>
  <c r="J70" i="77" s="1"/>
  <c r="F70" i="77"/>
  <c r="H76" i="77" s="1"/>
  <c r="D70" i="77"/>
  <c r="M67" i="77"/>
  <c r="N67" i="77" s="1"/>
  <c r="K67" i="77"/>
  <c r="J67" i="77" s="1"/>
  <c r="D67" i="77"/>
  <c r="M66" i="77"/>
  <c r="N66" i="77" s="1"/>
  <c r="K66" i="77"/>
  <c r="J66" i="77" s="1"/>
  <c r="D66" i="77"/>
  <c r="M65" i="77"/>
  <c r="N65" i="77" s="1"/>
  <c r="K65" i="77"/>
  <c r="J65" i="77" s="1"/>
  <c r="D65" i="77"/>
  <c r="M64" i="77"/>
  <c r="N64" i="77" s="1"/>
  <c r="K64" i="77"/>
  <c r="J64" i="77" s="1"/>
  <c r="D64" i="77"/>
  <c r="M63" i="77"/>
  <c r="N63" i="77" s="1"/>
  <c r="K63" i="77"/>
  <c r="J63" i="77" s="1"/>
  <c r="D63" i="77"/>
  <c r="M62" i="77"/>
  <c r="N62" i="77" s="1"/>
  <c r="K62" i="77"/>
  <c r="J62" i="77" s="1"/>
  <c r="D62" i="77"/>
  <c r="M61" i="77"/>
  <c r="N61" i="77" s="1"/>
  <c r="K61" i="77"/>
  <c r="J61" i="77" s="1"/>
  <c r="D61" i="77"/>
  <c r="B61" i="77"/>
  <c r="M60" i="77"/>
  <c r="N60" i="77" s="1"/>
  <c r="K60" i="77"/>
  <c r="J60" i="77" s="1"/>
  <c r="D60" i="77"/>
  <c r="M59" i="77"/>
  <c r="N59" i="77" s="1"/>
  <c r="K59" i="77"/>
  <c r="J59" i="77" s="1"/>
  <c r="F59" i="77"/>
  <c r="H66" i="77" s="1"/>
  <c r="D59" i="77"/>
  <c r="M56" i="77"/>
  <c r="N56" i="77" s="1"/>
  <c r="K56" i="77"/>
  <c r="J56" i="77" s="1"/>
  <c r="D56" i="77"/>
  <c r="M55" i="77"/>
  <c r="N55" i="77" s="1"/>
  <c r="K55" i="77"/>
  <c r="J55" i="77" s="1"/>
  <c r="D55" i="77"/>
  <c r="M54" i="77"/>
  <c r="N54" i="77" s="1"/>
  <c r="K54" i="77"/>
  <c r="J54" i="77" s="1"/>
  <c r="D54" i="77"/>
  <c r="M53" i="77"/>
  <c r="N53" i="77" s="1"/>
  <c r="K53" i="77"/>
  <c r="J53" i="77" s="1"/>
  <c r="D53" i="77"/>
  <c r="M52" i="77"/>
  <c r="N52" i="77" s="1"/>
  <c r="K52" i="77"/>
  <c r="J52" i="77" s="1"/>
  <c r="D52" i="77"/>
  <c r="M51" i="77"/>
  <c r="N51" i="77" s="1"/>
  <c r="K51" i="77"/>
  <c r="J51" i="77" s="1"/>
  <c r="D51" i="77"/>
  <c r="M50" i="77"/>
  <c r="N50" i="77" s="1"/>
  <c r="K50" i="77"/>
  <c r="J50" i="77" s="1"/>
  <c r="D50" i="77"/>
  <c r="B50" i="77"/>
  <c r="M49" i="77"/>
  <c r="N49" i="77" s="1"/>
  <c r="K49" i="77"/>
  <c r="J49" i="77" s="1"/>
  <c r="D49" i="77"/>
  <c r="M48" i="77"/>
  <c r="N48" i="77" s="1"/>
  <c r="K48" i="77"/>
  <c r="J48" i="77" s="1"/>
  <c r="D48" i="77"/>
  <c r="B48" i="77"/>
  <c r="H39" i="77"/>
  <c r="H38" i="77"/>
  <c r="H37" i="77"/>
  <c r="H36" i="77"/>
  <c r="H35" i="77"/>
  <c r="H34" i="77"/>
  <c r="H33" i="77"/>
  <c r="J20" i="77"/>
  <c r="E20" i="77"/>
  <c r="I19" i="77"/>
  <c r="C18" i="77"/>
  <c r="F15" i="77"/>
  <c r="E15" i="77"/>
  <c r="D15" i="77"/>
  <c r="C15" i="77"/>
  <c r="Y12" i="77"/>
  <c r="Y10" i="77"/>
  <c r="C10" i="77"/>
  <c r="C11" i="77" s="1"/>
  <c r="AJ9" i="77"/>
  <c r="AJ12" i="77" s="1"/>
  <c r="AI9" i="77"/>
  <c r="AI12" i="77" s="1"/>
  <c r="AH9" i="77"/>
  <c r="AH12" i="77" s="1"/>
  <c r="AG9" i="77"/>
  <c r="AG12" i="77" s="1"/>
  <c r="AF9" i="77"/>
  <c r="AF12" i="77" s="1"/>
  <c r="AE9" i="77"/>
  <c r="AE12" i="77" s="1"/>
  <c r="AD9" i="77"/>
  <c r="AD12" i="77" s="1"/>
  <c r="AC9" i="77"/>
  <c r="AC12" i="77" s="1"/>
  <c r="AB9" i="77"/>
  <c r="AB12" i="77" s="1"/>
  <c r="AA9" i="77"/>
  <c r="AA12" i="77" s="1"/>
  <c r="Z9" i="77"/>
  <c r="Z12" i="77" s="1"/>
  <c r="C9" i="77"/>
  <c r="A7" i="77"/>
  <c r="I2" i="77"/>
  <c r="M12" i="77" s="1"/>
  <c r="G2" i="77"/>
  <c r="K17" i="77" s="1"/>
  <c r="D1" i="77"/>
  <c r="F23" i="6"/>
  <c r="U6" i="77" s="1"/>
  <c r="F22" i="6"/>
  <c r="F21" i="6"/>
  <c r="U3" i="77" s="1"/>
  <c r="F20" i="6"/>
  <c r="U2" i="77" s="1"/>
  <c r="N8" i="1"/>
  <c r="N7" i="1"/>
  <c r="E81" i="77" l="1"/>
  <c r="B79" i="77" s="1"/>
  <c r="E48" i="77"/>
  <c r="B46" i="77" s="1"/>
  <c r="C24" i="77" s="1"/>
  <c r="C12" i="77"/>
  <c r="E70" i="77"/>
  <c r="B68" i="77" s="1"/>
  <c r="E59" i="77"/>
  <c r="B57" i="77" s="1"/>
  <c r="U4" i="77"/>
  <c r="U5" i="77" s="1"/>
  <c r="M1" i="77"/>
  <c r="O17" i="77"/>
  <c r="X7" i="77"/>
  <c r="H70" i="77"/>
  <c r="H81" i="77"/>
  <c r="E11" i="77"/>
  <c r="E10" i="77"/>
  <c r="E9" i="77"/>
  <c r="E8" i="77"/>
  <c r="N2" i="77"/>
  <c r="M3" i="77"/>
  <c r="N4" i="77"/>
  <c r="M5" i="77"/>
  <c r="M6" i="77"/>
  <c r="N7" i="77"/>
  <c r="N8" i="77"/>
  <c r="N9" i="77"/>
  <c r="M10" i="77"/>
  <c r="AA10" i="77"/>
  <c r="AC10" i="77"/>
  <c r="AE10" i="77"/>
  <c r="AG10" i="77"/>
  <c r="AI10" i="77"/>
  <c r="M11" i="77"/>
  <c r="N12" i="77"/>
  <c r="N1" i="77"/>
  <c r="F48" i="77" s="1"/>
  <c r="H55" i="77" s="1"/>
  <c r="H113" i="77"/>
  <c r="F39" i="77"/>
  <c r="F38" i="77"/>
  <c r="F37" i="77"/>
  <c r="F36" i="77"/>
  <c r="F35" i="77"/>
  <c r="F34" i="77"/>
  <c r="F33" i="77"/>
  <c r="N17" i="77"/>
  <c r="L17" i="77"/>
  <c r="J17" i="77"/>
  <c r="H17" i="77"/>
  <c r="C17" i="77"/>
  <c r="M2" i="77"/>
  <c r="N3" i="77"/>
  <c r="M4" i="77"/>
  <c r="N5" i="77"/>
  <c r="C6" i="77"/>
  <c r="N6" i="77"/>
  <c r="M7" i="77"/>
  <c r="M8" i="77"/>
  <c r="M9" i="77"/>
  <c r="N10" i="77"/>
  <c r="Z10" i="77"/>
  <c r="AB10" i="77"/>
  <c r="AD10" i="77"/>
  <c r="AF10" i="77"/>
  <c r="AH10" i="77"/>
  <c r="AJ10" i="77"/>
  <c r="N11" i="77"/>
  <c r="D17" i="77"/>
  <c r="I17" i="77"/>
  <c r="M17" i="77"/>
  <c r="O28" i="77"/>
  <c r="M28" i="77"/>
  <c r="G20" i="77" s="1"/>
  <c r="E41" i="77" s="1"/>
  <c r="C41" i="77" s="1"/>
  <c r="P28" i="77"/>
  <c r="N28" i="77"/>
  <c r="H48" i="77"/>
  <c r="H54" i="77"/>
  <c r="H59" i="77"/>
  <c r="H61" i="77"/>
  <c r="H62" i="77"/>
  <c r="H65" i="77"/>
  <c r="H67" i="77"/>
  <c r="H72" i="77"/>
  <c r="H74" i="77"/>
  <c r="H77" i="77"/>
  <c r="H78"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D100" i="77"/>
  <c r="H100" i="77"/>
  <c r="L100" i="77"/>
  <c r="AH5" i="71"/>
  <c r="AG5" i="71"/>
  <c r="AE5" i="71"/>
  <c r="AF5" i="71" s="1"/>
  <c r="AD5" i="71"/>
  <c r="Q5" i="71"/>
  <c r="P5" i="71"/>
  <c r="O5" i="71"/>
  <c r="N5" i="71"/>
  <c r="H52" i="77" l="1"/>
  <c r="H49" i="77"/>
  <c r="H53" i="77"/>
  <c r="H51" i="77"/>
  <c r="H50" i="77"/>
  <c r="E7" i="76"/>
  <c r="H56" i="77"/>
  <c r="C7" i="77"/>
  <c r="G17" i="77"/>
  <c r="C16" i="77" s="1"/>
  <c r="D5" i="77" s="1"/>
  <c r="C5" i="77" l="1"/>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F19" i="71" s="1"/>
  <c r="F18" i="71" s="1"/>
  <c r="F17" i="71" s="1"/>
  <c r="P19" i="71"/>
  <c r="E19" i="71" s="1"/>
  <c r="O19" i="71"/>
  <c r="Q20" i="71"/>
  <c r="P20" i="71"/>
  <c r="O20" i="71"/>
  <c r="N20" i="71"/>
  <c r="A2" i="53"/>
  <c r="K59" i="67"/>
  <c r="P74"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1" i="71"/>
  <c r="P21" i="71"/>
  <c r="O21" i="71"/>
  <c r="N21"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K49" i="9"/>
  <c r="E107" i="9"/>
  <c r="A122" i="9" s="1"/>
  <c r="A8" i="52" s="1"/>
  <c r="E111" i="9"/>
  <c r="A126" i="9" s="1"/>
  <c r="E109" i="9"/>
  <c r="A124" i="9" s="1"/>
  <c r="B44" i="72"/>
  <c r="B42" i="72"/>
  <c r="B69" i="72"/>
  <c r="B68" i="72"/>
  <c r="B63" i="72"/>
  <c r="B62" i="72"/>
  <c r="B16" i="72"/>
  <c r="B65" i="72"/>
  <c r="B67" i="72"/>
  <c r="B66" i="72"/>
  <c r="B10" i="72"/>
  <c r="C53" i="10"/>
  <c r="B51" i="10"/>
  <c r="B19" i="72"/>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s="1"/>
  <c r="D76" i="71"/>
  <c r="Q75" i="71"/>
  <c r="P75" i="71"/>
  <c r="O75" i="71"/>
  <c r="N75" i="71"/>
  <c r="F75" i="71"/>
  <c r="V75" i="71" s="1"/>
  <c r="E75" i="71"/>
  <c r="U75" i="71" s="1"/>
  <c r="C75" i="71"/>
  <c r="T75" i="71" s="1"/>
  <c r="B75" i="71"/>
  <c r="S75" i="71" s="1"/>
  <c r="Q74" i="71"/>
  <c r="P74" i="71"/>
  <c r="O74" i="71"/>
  <c r="N74"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F63" i="71"/>
  <c r="Q63" i="71" s="1"/>
  <c r="E63" i="71"/>
  <c r="E62" i="71" s="1"/>
  <c r="C63" i="71"/>
  <c r="T63" i="71" s="1"/>
  <c r="B63"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D56" i="71"/>
  <c r="Q55" i="71"/>
  <c r="P55" i="71"/>
  <c r="O55" i="71"/>
  <c r="N55" i="71"/>
  <c r="Q54" i="71"/>
  <c r="P54" i="71"/>
  <c r="O54" i="71"/>
  <c r="N54" i="71"/>
  <c r="Q53" i="71"/>
  <c r="P53" i="71"/>
  <c r="O53" i="71"/>
  <c r="N53" i="71"/>
  <c r="Q52" i="71"/>
  <c r="F53" i="71" s="1"/>
  <c r="P52" i="71"/>
  <c r="E53" i="71" s="1"/>
  <c r="O52" i="71"/>
  <c r="C53" i="71" s="1"/>
  <c r="N52" i="71"/>
  <c r="B53" i="71" s="1"/>
  <c r="D52" i="71"/>
  <c r="Q51" i="71"/>
  <c r="P51" i="71"/>
  <c r="O51" i="71"/>
  <c r="N51" i="71"/>
  <c r="Q50" i="71"/>
  <c r="P50" i="71"/>
  <c r="O50" i="71"/>
  <c r="N50" i="71"/>
  <c r="Q49" i="71"/>
  <c r="P49" i="71"/>
  <c r="O49" i="71"/>
  <c r="N49" i="71"/>
  <c r="Q48" i="71"/>
  <c r="F49" i="71" s="1"/>
  <c r="P48" i="71"/>
  <c r="E49" i="71" s="1"/>
  <c r="E50" i="71" s="1"/>
  <c r="E51" i="71" s="1"/>
  <c r="U51" i="71" s="1"/>
  <c r="O48" i="71"/>
  <c r="C49" i="71" s="1"/>
  <c r="C50" i="71" s="1"/>
  <c r="N48" i="71"/>
  <c r="B49" i="71" s="1"/>
  <c r="D48" i="71"/>
  <c r="Q47" i="71"/>
  <c r="P47" i="71"/>
  <c r="O47" i="71"/>
  <c r="N47" i="71"/>
  <c r="Q46" i="71"/>
  <c r="P46" i="71"/>
  <c r="O46" i="71"/>
  <c r="N46" i="71"/>
  <c r="Q45" i="71"/>
  <c r="P45" i="71"/>
  <c r="O45" i="71"/>
  <c r="N45" i="71"/>
  <c r="Q44" i="71"/>
  <c r="F45" i="71" s="1"/>
  <c r="P44" i="71"/>
  <c r="E45"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P40" i="71"/>
  <c r="E41" i="71" s="1"/>
  <c r="E42" i="71" s="1"/>
  <c r="E43" i="71" s="1"/>
  <c r="U43" i="71" s="1"/>
  <c r="O40" i="71"/>
  <c r="C41" i="71" s="1"/>
  <c r="D41" i="71" s="1"/>
  <c r="N40" i="71"/>
  <c r="B41" i="71" s="1"/>
  <c r="B42" i="71" s="1"/>
  <c r="B43" i="71" s="1"/>
  <c r="S43" i="71" s="1"/>
  <c r="D40" i="71"/>
  <c r="Q39" i="71"/>
  <c r="P39" i="71"/>
  <c r="O39" i="71"/>
  <c r="N39" i="71"/>
  <c r="Q38" i="71"/>
  <c r="P38" i="71"/>
  <c r="O38" i="71"/>
  <c r="N38" i="71"/>
  <c r="Q37" i="71"/>
  <c r="P37" i="71"/>
  <c r="O37" i="71"/>
  <c r="N37" i="71"/>
  <c r="Q36" i="71"/>
  <c r="F37" i="71" s="1"/>
  <c r="P36" i="71"/>
  <c r="E37" i="71" s="1"/>
  <c r="O36" i="71"/>
  <c r="C37" i="71" s="1"/>
  <c r="N36" i="71"/>
  <c r="B37" i="71" s="1"/>
  <c r="B38" i="71" s="1"/>
  <c r="B39" i="71" s="1"/>
  <c r="S39" i="71" s="1"/>
  <c r="D36" i="71"/>
  <c r="Q35" i="71"/>
  <c r="P35" i="71"/>
  <c r="O35" i="71"/>
  <c r="N35" i="71"/>
  <c r="Q34" i="71"/>
  <c r="P34" i="71"/>
  <c r="AA34" i="71" s="1"/>
  <c r="O34" i="71"/>
  <c r="Y34" i="71" s="1"/>
  <c r="Z34" i="71" s="1"/>
  <c r="N34" i="71"/>
  <c r="Q33" i="71"/>
  <c r="P33" i="71"/>
  <c r="O33" i="71"/>
  <c r="Y33" i="71" s="1"/>
  <c r="Z33" i="71" s="1"/>
  <c r="N33" i="71"/>
  <c r="Q32" i="71"/>
  <c r="F33" i="71" s="1"/>
  <c r="F34" i="71" s="1"/>
  <c r="P32" i="71"/>
  <c r="E33" i="71" s="1"/>
  <c r="E34" i="71" s="1"/>
  <c r="O32" i="71"/>
  <c r="C33" i="71" s="1"/>
  <c r="N32" i="71"/>
  <c r="D32" i="71"/>
  <c r="Q31" i="71"/>
  <c r="P31" i="71"/>
  <c r="O31" i="71"/>
  <c r="N31" i="71"/>
  <c r="Q30" i="71"/>
  <c r="P30" i="71"/>
  <c r="O30" i="71"/>
  <c r="N30" i="71"/>
  <c r="Q29" i="71"/>
  <c r="P29" i="71"/>
  <c r="O29" i="71"/>
  <c r="N29" i="71"/>
  <c r="Q28" i="71"/>
  <c r="F29" i="71" s="1"/>
  <c r="P28" i="71"/>
  <c r="E29" i="71" s="1"/>
  <c r="O28" i="71"/>
  <c r="C29" i="71" s="1"/>
  <c r="N28" i="71"/>
  <c r="B29" i="71" s="1"/>
  <c r="B30" i="71" s="1"/>
  <c r="D28" i="71"/>
  <c r="Q27" i="71"/>
  <c r="P27" i="71"/>
  <c r="O27" i="71"/>
  <c r="N27" i="71"/>
  <c r="Q26" i="71"/>
  <c r="P26" i="71"/>
  <c r="O26" i="71"/>
  <c r="N26" i="71"/>
  <c r="Q25" i="71"/>
  <c r="P25" i="71"/>
  <c r="O25" i="71"/>
  <c r="N25" i="71"/>
  <c r="Q24" i="71"/>
  <c r="F25" i="71" s="1"/>
  <c r="P24" i="71"/>
  <c r="O24" i="71"/>
  <c r="C25" i="71" s="1"/>
  <c r="N24" i="71"/>
  <c r="D24" i="71"/>
  <c r="O23" i="71"/>
  <c r="C23" i="71" s="1"/>
  <c r="N23" i="71"/>
  <c r="B23" i="71" s="1"/>
  <c r="B22" i="71" s="1"/>
  <c r="B21" i="71" s="1"/>
  <c r="F46" i="71"/>
  <c r="F47" i="71" s="1"/>
  <c r="V47" i="71" s="1"/>
  <c r="P23" i="71"/>
  <c r="Q23" i="71"/>
  <c r="F23" i="71" s="1"/>
  <c r="F22" i="71" s="1"/>
  <c r="F21" i="71" s="1"/>
  <c r="D63" i="71"/>
  <c r="E66" i="71"/>
  <c r="E65" i="71" s="1"/>
  <c r="C74" i="71"/>
  <c r="C73" i="71" s="1"/>
  <c r="D73" i="71" s="1"/>
  <c r="D75" i="7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B86" i="77" s="1"/>
  <c r="C22" i="20"/>
  <c r="B75" i="43" s="1"/>
  <c r="H25" i="40"/>
  <c r="AB25" i="40" s="1"/>
  <c r="J25" i="40"/>
  <c r="AC25" i="40" s="1"/>
  <c r="H29" i="39"/>
  <c r="J29" i="39"/>
  <c r="AC29" i="39" s="1"/>
  <c r="J18" i="36"/>
  <c r="AC18" i="36" s="1"/>
  <c r="H18" i="35"/>
  <c r="AB18" i="35" s="1"/>
  <c r="J18" i="35"/>
  <c r="AC18" i="35" s="1"/>
  <c r="H21" i="37"/>
  <c r="U21" i="37" s="1"/>
  <c r="F21" i="37"/>
  <c r="AA21" i="37" s="1"/>
  <c r="H21" i="34"/>
  <c r="AB21" i="34" s="1"/>
  <c r="H21" i="33"/>
  <c r="U21" i="33" s="1"/>
  <c r="F21" i="33"/>
  <c r="H1" i="69"/>
  <c r="W29" i="39"/>
  <c r="J21" i="37"/>
  <c r="W21" i="37" s="1"/>
  <c r="J21" i="34"/>
  <c r="W21" i="34" s="1"/>
  <c r="J21" i="33"/>
  <c r="W21" i="33" s="1"/>
  <c r="H21" i="2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0" i="43" s="1"/>
  <c r="J99" i="43"/>
  <c r="J108" i="43" s="1"/>
  <c r="K99" i="43"/>
  <c r="K100" i="43" s="1"/>
  <c r="L99" i="43"/>
  <c r="L108" i="43" s="1"/>
  <c r="M99" i="43"/>
  <c r="M100" i="43" s="1"/>
  <c r="C99" i="43"/>
  <c r="C108" i="43" s="1"/>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F9" i="1"/>
  <c r="F10" i="1"/>
  <c r="G10" i="1" s="1"/>
  <c r="F11" i="1"/>
  <c r="F12" i="1"/>
  <c r="G12" i="1" s="1"/>
  <c r="F13" i="1"/>
  <c r="D6" i="1"/>
  <c r="D9" i="1"/>
  <c r="D10" i="1"/>
  <c r="D11" i="1"/>
  <c r="D12" i="1"/>
  <c r="D13" i="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8"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E22" i="6"/>
  <c r="E23" i="6"/>
  <c r="K10" i="1" s="1"/>
  <c r="M10" i="1" s="1"/>
  <c r="O10" i="1" s="1"/>
  <c r="P10" i="1"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AB30" i="36" s="1"/>
  <c r="F30" i="36"/>
  <c r="AA30" i="36" s="1"/>
  <c r="C26" i="35"/>
  <c r="C79" i="35" s="1"/>
  <c r="H26" i="35" s="1"/>
  <c r="AB26" i="35" s="1"/>
  <c r="J31" i="35"/>
  <c r="W31" i="35" s="1"/>
  <c r="H31" i="35"/>
  <c r="AB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F31" i="40" s="1"/>
  <c r="AA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D95" i="39"/>
  <c r="E95" i="39" s="1"/>
  <c r="F95" i="39" s="1"/>
  <c r="G95" i="39" s="1"/>
  <c r="D93" i="39"/>
  <c r="E93" i="39" s="1"/>
  <c r="F93" i="39" s="1"/>
  <c r="G93" i="39" s="1"/>
  <c r="D91" i="39"/>
  <c r="E91" i="39" s="1"/>
  <c r="F91" i="39" s="1"/>
  <c r="G91" i="39" s="1"/>
  <c r="D89" i="39"/>
  <c r="E89" i="39" s="1"/>
  <c r="F89" i="39" s="1"/>
  <c r="G89" i="39" s="1"/>
  <c r="B86" i="39"/>
  <c r="F14" i="39" s="1"/>
  <c r="B84" i="39"/>
  <c r="F13" i="39" s="1"/>
  <c r="S13" i="39" s="1"/>
  <c r="B82" i="39"/>
  <c r="J12" i="39" s="1"/>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G73" i="37" s="1"/>
  <c r="D71" i="37"/>
  <c r="E71" i="37" s="1"/>
  <c r="F71" i="37" s="1"/>
  <c r="G71" i="37" s="1"/>
  <c r="H15" i="37"/>
  <c r="AB15" i="37" s="1"/>
  <c r="B68" i="37"/>
  <c r="F14" i="37" s="1"/>
  <c r="S14" i="37" s="1"/>
  <c r="B66" i="37"/>
  <c r="B64" i="37"/>
  <c r="H12" i="37" s="1"/>
  <c r="AB12" i="37" s="1"/>
  <c r="D63" i="37"/>
  <c r="E63" i="37" s="1"/>
  <c r="F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H32" i="36" s="1"/>
  <c r="AB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F24" i="36" s="1"/>
  <c r="AA24" i="36" s="1"/>
  <c r="B71" i="36"/>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B101" i="35"/>
  <c r="H36" i="35" s="1"/>
  <c r="AB36" i="35" s="1"/>
  <c r="B99" i="35"/>
  <c r="B97" i="35"/>
  <c r="J34" i="35" s="1"/>
  <c r="B77" i="35"/>
  <c r="F25" i="35" s="1"/>
  <c r="S25" i="35" s="1"/>
  <c r="B75" i="35"/>
  <c r="J24" i="35" s="1"/>
  <c r="AC24" i="35" s="1"/>
  <c r="B73" i="35"/>
  <c r="B57" i="35"/>
  <c r="B61" i="35"/>
  <c r="B59" i="35"/>
  <c r="B131" i="34"/>
  <c r="F47" i="34" s="1"/>
  <c r="S47" i="34" s="1"/>
  <c r="B129" i="34"/>
  <c r="H46" i="34" s="1"/>
  <c r="U46" i="34" s="1"/>
  <c r="B127" i="34"/>
  <c r="B99" i="34"/>
  <c r="F32" i="34" s="1"/>
  <c r="B97" i="34"/>
  <c r="H31" i="34" s="1"/>
  <c r="AB31" i="34" s="1"/>
  <c r="B95" i="34"/>
  <c r="F30" i="34" s="1"/>
  <c r="S30" i="34" s="1"/>
  <c r="B93" i="34"/>
  <c r="F29" i="34" s="1"/>
  <c r="S29" i="34" s="1"/>
  <c r="B75" i="34"/>
  <c r="F14" i="34" s="1"/>
  <c r="S14" i="34" s="1"/>
  <c r="B73" i="34"/>
  <c r="J13" i="34" s="1"/>
  <c r="W13" i="34" s="1"/>
  <c r="B71" i="34"/>
  <c r="F12" i="34" s="1"/>
  <c r="B130" i="33"/>
  <c r="B128" i="33"/>
  <c r="B126" i="33"/>
  <c r="H44" i="33" s="1"/>
  <c r="U44" i="33" s="1"/>
  <c r="B98" i="33"/>
  <c r="H31" i="33" s="1"/>
  <c r="U31" i="33" s="1"/>
  <c r="B96" i="33"/>
  <c r="J30" i="33" s="1"/>
  <c r="AC30" i="33" s="1"/>
  <c r="B94" i="33"/>
  <c r="H29" i="33" s="1"/>
  <c r="U29" i="33" s="1"/>
  <c r="B74" i="33"/>
  <c r="J14" i="33" s="1"/>
  <c r="B72" i="33"/>
  <c r="H13" i="33" s="1"/>
  <c r="AB13" i="33" s="1"/>
  <c r="B70" i="33"/>
  <c r="D96" i="35"/>
  <c r="E96" i="35" s="1"/>
  <c r="F96" i="35" s="1"/>
  <c r="G96" i="35" s="1"/>
  <c r="D94" i="35"/>
  <c r="E94" i="35" s="1"/>
  <c r="F94" i="35" s="1"/>
  <c r="G94" i="35" s="1"/>
  <c r="H94" i="35" s="1"/>
  <c r="I94" i="35" s="1"/>
  <c r="J94" i="35" s="1"/>
  <c r="K94" i="35" s="1"/>
  <c r="L94" i="35" s="1"/>
  <c r="M94" i="35" s="1"/>
  <c r="D84" i="35"/>
  <c r="F28" i="35" s="1"/>
  <c r="D80" i="35"/>
  <c r="E80" i="35" s="1"/>
  <c r="F80" i="35" s="1"/>
  <c r="G80" i="35" s="1"/>
  <c r="H80" i="35" s="1"/>
  <c r="I80" i="35" s="1"/>
  <c r="J80" i="35" s="1"/>
  <c r="K80" i="35" s="1"/>
  <c r="L80" i="35" s="1"/>
  <c r="M80" i="35" s="1"/>
  <c r="D72" i="35"/>
  <c r="E72" i="35" s="1"/>
  <c r="F72" i="35" s="1"/>
  <c r="G72" i="35" s="1"/>
  <c r="D70" i="35"/>
  <c r="F20" i="35" s="1"/>
  <c r="AA20" i="35" s="1"/>
  <c r="D66" i="35"/>
  <c r="F16" i="35" s="1"/>
  <c r="S1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J36" i="34" s="1"/>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D82" i="34"/>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J43" i="33" s="1"/>
  <c r="AC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B92" i="33"/>
  <c r="J28" i="33" s="1"/>
  <c r="W28" i="33" s="1"/>
  <c r="B90" i="33"/>
  <c r="D87" i="33"/>
  <c r="E87" i="33" s="1"/>
  <c r="F87" i="33" s="1"/>
  <c r="G87" i="33" s="1"/>
  <c r="H87" i="33" s="1"/>
  <c r="I87" i="33" s="1"/>
  <c r="J87" i="33" s="1"/>
  <c r="K87" i="33" s="1"/>
  <c r="L87" i="33" s="1"/>
  <c r="M87" i="33" s="1"/>
  <c r="D85" i="33"/>
  <c r="E85" i="33" s="1"/>
  <c r="D81" i="33"/>
  <c r="E81" i="33" s="1"/>
  <c r="D79" i="33"/>
  <c r="E79" i="33" s="1"/>
  <c r="D77" i="33"/>
  <c r="F15" i="33" s="1"/>
  <c r="AA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77" s="1"/>
  <c r="G19" i="20"/>
  <c r="B85" i="77" s="1"/>
  <c r="G16" i="20"/>
  <c r="B82" i="77" s="1"/>
  <c r="G15" i="20"/>
  <c r="B81" i="77" s="1"/>
  <c r="C24" i="20"/>
  <c r="B73" i="43" s="1"/>
  <c r="C21" i="20"/>
  <c r="B74" i="43" s="1"/>
  <c r="C20" i="20"/>
  <c r="C18" i="20"/>
  <c r="C17" i="20"/>
  <c r="B59" i="77" s="1"/>
  <c r="C16" i="20"/>
  <c r="C17" i="39" s="1"/>
  <c r="C15" i="20"/>
  <c r="B70" i="77"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B96" i="21"/>
  <c r="F30" i="21" s="1"/>
  <c r="S30" i="21" s="1"/>
  <c r="B94" i="21"/>
  <c r="B92" i="21"/>
  <c r="B90" i="21"/>
  <c r="B74" i="21"/>
  <c r="F14" i="21" s="1"/>
  <c r="S14" i="21" s="1"/>
  <c r="B72" i="21"/>
  <c r="H13" i="21" s="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24" i="6" s="1"/>
  <c r="D39" i="43" s="1"/>
  <c r="H39" i="43" s="1"/>
  <c r="J5" i="3"/>
  <c r="BE10" i="3"/>
  <c r="BB585" i="3"/>
  <c r="BC585" i="3"/>
  <c r="BD585" i="3"/>
  <c r="BE585" i="3"/>
  <c r="BF585" i="3"/>
  <c r="BG585" i="3"/>
  <c r="BG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G25" i="6" s="1"/>
  <c r="D37" i="43" s="1"/>
  <c r="H37" i="43" s="1"/>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9" i="37"/>
  <c r="F29" i="36"/>
  <c r="AA29" i="36" s="1"/>
  <c r="F16" i="36"/>
  <c r="AA16" i="36" s="1"/>
  <c r="S30" i="36"/>
  <c r="H22" i="35"/>
  <c r="AB22" i="35" s="1"/>
  <c r="J35" i="34"/>
  <c r="AC35" i="34" s="1"/>
  <c r="H39" i="33"/>
  <c r="AB39" i="33" s="1"/>
  <c r="H39" i="37"/>
  <c r="AB39" i="37" s="1"/>
  <c r="F11" i="40"/>
  <c r="AA11" i="40" s="1"/>
  <c r="H11" i="40"/>
  <c r="AB11" i="40" s="1"/>
  <c r="AA9" i="40"/>
  <c r="F42" i="39"/>
  <c r="AA42" i="39" s="1"/>
  <c r="F41" i="39"/>
  <c r="S41" i="39" s="1"/>
  <c r="H40" i="39"/>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s="1"/>
  <c r="F27" i="39"/>
  <c r="S27" i="39" s="1"/>
  <c r="F11" i="21"/>
  <c r="S11" i="21" s="1"/>
  <c r="S34" i="21"/>
  <c r="H11" i="39"/>
  <c r="H11" i="21"/>
  <c r="U11" i="21" s="1"/>
  <c r="J11" i="21"/>
  <c r="W11" i="21" s="1"/>
  <c r="H37" i="40"/>
  <c r="U37" i="40" s="1"/>
  <c r="H36" i="40"/>
  <c r="AB36" i="40" s="1"/>
  <c r="F35" i="40"/>
  <c r="AA35" i="40" s="1"/>
  <c r="H23" i="40"/>
  <c r="H17" i="40"/>
  <c r="U17" i="40" s="1"/>
  <c r="J15" i="40"/>
  <c r="W15" i="40" s="1"/>
  <c r="J11" i="40"/>
  <c r="W11" i="40" s="1"/>
  <c r="J30" i="35"/>
  <c r="W30" i="35" s="1"/>
  <c r="H30" i="35"/>
  <c r="F22" i="35"/>
  <c r="AA22" i="35" s="1"/>
  <c r="H10" i="35"/>
  <c r="U10" i="35" s="1"/>
  <c r="H16" i="36"/>
  <c r="AB16" i="36" s="1"/>
  <c r="J29" i="36"/>
  <c r="AC29" i="36" s="1"/>
  <c r="F14" i="35"/>
  <c r="AA14" i="35" s="1"/>
  <c r="J32" i="35"/>
  <c r="AC32" i="35" s="1"/>
  <c r="J16" i="35"/>
  <c r="AC16" i="35" s="1"/>
  <c r="H33" i="35"/>
  <c r="AB33" i="35" s="1"/>
  <c r="F35" i="37"/>
  <c r="S35" i="37" s="1"/>
  <c r="J34" i="37"/>
  <c r="W34" i="37" s="1"/>
  <c r="AB34" i="37"/>
  <c r="J33" i="37"/>
  <c r="H40" i="34"/>
  <c r="U40" i="34" s="1"/>
  <c r="E114" i="34"/>
  <c r="F114" i="34" s="1"/>
  <c r="G114" i="34" s="1"/>
  <c r="H114" i="34" s="1"/>
  <c r="I114" i="34" s="1"/>
  <c r="J114" i="34" s="1"/>
  <c r="K114" i="34" s="1"/>
  <c r="L114" i="34" s="1"/>
  <c r="M114" i="34" s="1"/>
  <c r="F19" i="34"/>
  <c r="AA19" i="34" s="1"/>
  <c r="F41" i="33"/>
  <c r="S41" i="33" s="1"/>
  <c r="F11" i="33"/>
  <c r="AA11" i="33" s="1"/>
  <c r="F37" i="40"/>
  <c r="AA37" i="40" s="1"/>
  <c r="F36" i="40"/>
  <c r="AA36" i="40" s="1"/>
  <c r="H28" i="40"/>
  <c r="U28" i="40" s="1"/>
  <c r="F23" i="40"/>
  <c r="AA23" i="40" s="1"/>
  <c r="F17" i="40"/>
  <c r="AA17" i="40" s="1"/>
  <c r="J17" i="40"/>
  <c r="W17" i="40" s="1"/>
  <c r="F15" i="40"/>
  <c r="S15" i="40" s="1"/>
  <c r="H15" i="40"/>
  <c r="AB15" i="40" s="1"/>
  <c r="H33" i="37"/>
  <c r="AB33" i="37" s="1"/>
  <c r="F33" i="37"/>
  <c r="AA33" i="37" s="1"/>
  <c r="U34" i="37"/>
  <c r="J40" i="34"/>
  <c r="W40" i="34" s="1"/>
  <c r="H38" i="34"/>
  <c r="AB38" i="34" s="1"/>
  <c r="H25" i="34"/>
  <c r="AB25" i="34" s="1"/>
  <c r="H37" i="33"/>
  <c r="U37" i="33" s="1"/>
  <c r="H11" i="33"/>
  <c r="AB11" i="33" s="1"/>
  <c r="F28" i="40"/>
  <c r="AA28" i="40" s="1"/>
  <c r="J37" i="34"/>
  <c r="AC37" i="34" s="1"/>
  <c r="J11" i="33"/>
  <c r="W11" i="33" s="1"/>
  <c r="J42" i="21"/>
  <c r="AC42" i="21" s="1"/>
  <c r="H42" i="21"/>
  <c r="U42" i="21" s="1"/>
  <c r="J44" i="34"/>
  <c r="W44" i="34" s="1"/>
  <c r="J10" i="35"/>
  <c r="W10" i="35" s="1"/>
  <c r="H44" i="21"/>
  <c r="U44" i="21" s="1"/>
  <c r="F33" i="35"/>
  <c r="J33" i="35"/>
  <c r="AC33" i="35" s="1"/>
  <c r="F30" i="35"/>
  <c r="S30" i="35" s="1"/>
  <c r="H10" i="36"/>
  <c r="AB10" i="36" s="1"/>
  <c r="J14" i="36"/>
  <c r="AC14" i="36" s="1"/>
  <c r="H14" i="36"/>
  <c r="U14" i="36" s="1"/>
  <c r="F28" i="36"/>
  <c r="AA28" i="36" s="1"/>
  <c r="F27" i="21"/>
  <c r="AA27" i="21" s="1"/>
  <c r="F27" i="33"/>
  <c r="S27" i="33" s="1"/>
  <c r="J13" i="33"/>
  <c r="W13" i="33" s="1"/>
  <c r="J14" i="34"/>
  <c r="W14" i="34" s="1"/>
  <c r="J32" i="34"/>
  <c r="W32" i="34" s="1"/>
  <c r="J26" i="36"/>
  <c r="W26" i="36" s="1"/>
  <c r="H28" i="36"/>
  <c r="U28" i="36" s="1"/>
  <c r="J11" i="36"/>
  <c r="F11" i="36"/>
  <c r="AA11" i="36" s="1"/>
  <c r="J13" i="36"/>
  <c r="W13" i="36" s="1"/>
  <c r="E89" i="37"/>
  <c r="F89" i="37" s="1"/>
  <c r="G89" i="37" s="1"/>
  <c r="H89" i="37" s="1"/>
  <c r="I89" i="37" s="1"/>
  <c r="J89" i="37" s="1"/>
  <c r="K89" i="37" s="1"/>
  <c r="L89" i="37" s="1"/>
  <c r="M89" i="37" s="1"/>
  <c r="J29" i="37"/>
  <c r="W29" i="37" s="1"/>
  <c r="F29" i="37"/>
  <c r="S29" i="37" s="1"/>
  <c r="H36" i="37"/>
  <c r="AB36" i="37" s="1"/>
  <c r="J37" i="37"/>
  <c r="H37" i="37"/>
  <c r="U37" i="37" s="1"/>
  <c r="H40" i="37"/>
  <c r="U40" i="37" s="1"/>
  <c r="J40" i="37"/>
  <c r="AC40" i="37" s="1"/>
  <c r="F40" i="37"/>
  <c r="AA40" i="37" s="1"/>
  <c r="AC12" i="40"/>
  <c r="J46" i="33"/>
  <c r="AC46" i="33" s="1"/>
  <c r="F13" i="34"/>
  <c r="AA13" i="34" s="1"/>
  <c r="J31" i="34"/>
  <c r="F45" i="34"/>
  <c r="J25" i="35"/>
  <c r="W25" i="35" s="1"/>
  <c r="F35" i="35"/>
  <c r="AA35" i="35" s="1"/>
  <c r="J38" i="37"/>
  <c r="F43" i="39"/>
  <c r="AA43" i="39" s="1"/>
  <c r="J14" i="39"/>
  <c r="AC14" i="39" s="1"/>
  <c r="F12" i="40"/>
  <c r="H12" i="40"/>
  <c r="AB12" i="40" s="1"/>
  <c r="H30" i="40"/>
  <c r="AB30" i="40" s="1"/>
  <c r="F33" i="40"/>
  <c r="AA33" i="40" s="1"/>
  <c r="J35" i="40"/>
  <c r="J37" i="40"/>
  <c r="AC37" i="40" s="1"/>
  <c r="F27" i="37"/>
  <c r="AA27" i="37" s="1"/>
  <c r="H14" i="40"/>
  <c r="AB14" i="40" s="1"/>
  <c r="J27" i="37"/>
  <c r="AC27" i="37" s="1"/>
  <c r="J36" i="37"/>
  <c r="AC36" i="37" s="1"/>
  <c r="J10" i="36"/>
  <c r="AC13" i="36"/>
  <c r="F17" i="21"/>
  <c r="AA17" i="21" s="1"/>
  <c r="H17" i="21"/>
  <c r="AB17" i="21" s="1"/>
  <c r="F15" i="21"/>
  <c r="S15" i="21" s="1"/>
  <c r="J41" i="39"/>
  <c r="W41" i="39" s="1"/>
  <c r="G527" i="3"/>
  <c r="G572" i="3"/>
  <c r="BL530" i="3"/>
  <c r="G529" i="3"/>
  <c r="BL500" i="3"/>
  <c r="BA548" i="3"/>
  <c r="BA530" i="3"/>
  <c r="BA518" i="3"/>
  <c r="BA498" i="3"/>
  <c r="BA555" i="3"/>
  <c r="BA537" i="3"/>
  <c r="BA519" i="3"/>
  <c r="BA501" i="3"/>
  <c r="BA497" i="3"/>
  <c r="G577" i="3"/>
  <c r="BA557" i="3"/>
  <c r="AC557" i="3"/>
  <c r="BQ557" i="3"/>
  <c r="BQ583" i="3"/>
  <c r="BQ581" i="3"/>
  <c r="BQ579" i="3"/>
  <c r="BQ577" i="3"/>
  <c r="BQ575" i="3"/>
  <c r="BQ573" i="3"/>
  <c r="BQ571" i="3"/>
  <c r="BQ569" i="3"/>
  <c r="BL569" i="3" s="1"/>
  <c r="BQ567" i="3"/>
  <c r="BQ565" i="3"/>
  <c r="BL565" i="3" s="1"/>
  <c r="BQ563" i="3"/>
  <c r="BL563" i="3"/>
  <c r="BQ561" i="3"/>
  <c r="BQ559" i="3"/>
  <c r="BL559" i="3" s="1"/>
  <c r="G545" i="3"/>
  <c r="G537" i="3"/>
  <c r="BQ555" i="3"/>
  <c r="BQ553" i="3"/>
  <c r="BQ551" i="3"/>
  <c r="BQ549" i="3"/>
  <c r="BQ547" i="3"/>
  <c r="BQ545" i="3"/>
  <c r="BQ543" i="3"/>
  <c r="BQ541" i="3"/>
  <c r="BL541" i="3" s="1"/>
  <c r="BQ539" i="3"/>
  <c r="BQ537" i="3"/>
  <c r="BL537" i="3" s="1"/>
  <c r="BQ535" i="3"/>
  <c r="BQ533" i="3"/>
  <c r="BL533" i="3" s="1"/>
  <c r="BQ531" i="3"/>
  <c r="BQ529" i="3"/>
  <c r="BL529" i="3" s="1"/>
  <c r="BQ527" i="3"/>
  <c r="BQ525" i="3"/>
  <c r="BQ523" i="3"/>
  <c r="BA521" i="3"/>
  <c r="AC521" i="3"/>
  <c r="BQ521" i="3"/>
  <c r="BL521" i="3" s="1"/>
  <c r="AZ521" i="3" s="1"/>
  <c r="G513" i="3"/>
  <c r="BQ519" i="3"/>
  <c r="BQ517" i="3"/>
  <c r="BQ515" i="3"/>
  <c r="BQ513" i="3"/>
  <c r="BQ511" i="3"/>
  <c r="AC509" i="3"/>
  <c r="BQ509" i="3"/>
  <c r="G507" i="3"/>
  <c r="G497" i="3"/>
  <c r="BQ507" i="3"/>
  <c r="BQ505" i="3"/>
  <c r="BQ503" i="3"/>
  <c r="BQ501" i="3"/>
  <c r="BQ499" i="3"/>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17" i="37"/>
  <c r="U17" i="37" s="1"/>
  <c r="F39" i="33"/>
  <c r="AA39" i="33" s="1"/>
  <c r="E123" i="33"/>
  <c r="F123" i="33" s="1"/>
  <c r="G123" i="33" s="1"/>
  <c r="H123" i="33" s="1"/>
  <c r="I123" i="33" s="1"/>
  <c r="J123" i="33" s="1"/>
  <c r="K123" i="33" s="1"/>
  <c r="L123" i="33" s="1"/>
  <c r="M123" i="33" s="1"/>
  <c r="H28" i="34"/>
  <c r="AB28" i="34" s="1"/>
  <c r="F14" i="36"/>
  <c r="F22" i="36"/>
  <c r="S22" i="36" s="1"/>
  <c r="F26" i="36"/>
  <c r="S26" i="36" s="1"/>
  <c r="H27" i="34"/>
  <c r="H35" i="34"/>
  <c r="F41" i="34"/>
  <c r="S41" i="34" s="1"/>
  <c r="H41" i="34"/>
  <c r="U41" i="34" s="1"/>
  <c r="J41" i="34"/>
  <c r="F10" i="35"/>
  <c r="S10" i="35" s="1"/>
  <c r="H24" i="35"/>
  <c r="AB24" i="35" s="1"/>
  <c r="H23" i="37"/>
  <c r="AB23" i="37" s="1"/>
  <c r="J32" i="37"/>
  <c r="AC32" i="37" s="1"/>
  <c r="F36" i="37"/>
  <c r="F37" i="37"/>
  <c r="H32" i="40"/>
  <c r="AB32" i="40" s="1"/>
  <c r="J36" i="40"/>
  <c r="H19" i="37"/>
  <c r="AB19" i="37" s="1"/>
  <c r="S28" i="31"/>
  <c r="S27" i="31"/>
  <c r="S26" i="31"/>
  <c r="U14" i="40"/>
  <c r="U39" i="37"/>
  <c r="AC8" i="37"/>
  <c r="U19" i="21"/>
  <c r="W40" i="37"/>
  <c r="H37" i="21"/>
  <c r="U37" i="21" s="1"/>
  <c r="H19" i="34"/>
  <c r="AB19" i="34" s="1"/>
  <c r="H9" i="37"/>
  <c r="AB9" i="37" s="1"/>
  <c r="J12" i="37"/>
  <c r="W12" i="37" s="1"/>
  <c r="F12" i="37"/>
  <c r="F15" i="37"/>
  <c r="E94" i="37"/>
  <c r="F94" i="37" s="1"/>
  <c r="G94" i="37" s="1"/>
  <c r="H94" i="37" s="1"/>
  <c r="I94" i="37" s="1"/>
  <c r="J94" i="37" s="1"/>
  <c r="K94" i="37" s="1"/>
  <c r="L94" i="37" s="1"/>
  <c r="M94" i="37" s="1"/>
  <c r="F31" i="37"/>
  <c r="S31" i="37" s="1"/>
  <c r="J42" i="39"/>
  <c r="AC42" i="39" s="1"/>
  <c r="H21" i="40"/>
  <c r="AB21" i="40" s="1"/>
  <c r="H31" i="37"/>
  <c r="U31" i="37" s="1"/>
  <c r="J15" i="37"/>
  <c r="W15" i="37" s="1"/>
  <c r="AT6" i="3"/>
  <c r="C12" i="43"/>
  <c r="H19" i="40"/>
  <c r="U19" i="40" s="1"/>
  <c r="F19" i="40"/>
  <c r="S19" i="40" s="1"/>
  <c r="U45" i="39"/>
  <c r="AB45" i="39"/>
  <c r="U44" i="39"/>
  <c r="G101" i="39"/>
  <c r="H25" i="39"/>
  <c r="AB25" i="39" s="1"/>
  <c r="J25" i="39"/>
  <c r="AC25" i="39" s="1"/>
  <c r="F25" i="39"/>
  <c r="AA25" i="39" s="1"/>
  <c r="F15" i="39"/>
  <c r="AA15" i="39" s="1"/>
  <c r="H15" i="39"/>
  <c r="U15" i="39" s="1"/>
  <c r="J15" i="39"/>
  <c r="W15" i="39" s="1"/>
  <c r="H41" i="39"/>
  <c r="AB41" i="39" s="1"/>
  <c r="W27" i="39"/>
  <c r="S42"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AA11" i="39" s="1"/>
  <c r="A12" i="52"/>
  <c r="B56" i="72" s="1"/>
  <c r="S11" i="39"/>
  <c r="G4" i="4"/>
  <c r="I4" i="4"/>
  <c r="A2" i="9"/>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J5" i="3"/>
  <c r="G548" i="3"/>
  <c r="G538" i="3"/>
  <c r="G520" i="3"/>
  <c r="G502" i="3"/>
  <c r="G17" i="3"/>
  <c r="BA17" i="3"/>
  <c r="BA15" i="3"/>
  <c r="U36" i="40"/>
  <c r="F36" i="43"/>
  <c r="F81" i="43"/>
  <c r="H87" i="43" s="1"/>
  <c r="H113" i="43"/>
  <c r="F48" i="43"/>
  <c r="H52" i="43" s="1"/>
  <c r="F70" i="43"/>
  <c r="H71" i="43" s="1"/>
  <c r="M11" i="43"/>
  <c r="D17" i="43"/>
  <c r="F39" i="43"/>
  <c r="I17" i="43"/>
  <c r="F35" i="43"/>
  <c r="J17" i="43"/>
  <c r="F6" i="1"/>
  <c r="U35" i="21"/>
  <c r="AC35" i="21"/>
  <c r="G9" i="1"/>
  <c r="U12" i="40"/>
  <c r="J37" i="33"/>
  <c r="W37" i="33" s="1"/>
  <c r="F106" i="33"/>
  <c r="G106" i="33" s="1"/>
  <c r="H106" i="33" s="1"/>
  <c r="I106" i="33" s="1"/>
  <c r="J106" i="33" s="1"/>
  <c r="K106" i="33" s="1"/>
  <c r="L106" i="33" s="1"/>
  <c r="M106" i="33" s="1"/>
  <c r="J34" i="33"/>
  <c r="AC34" i="33" s="1"/>
  <c r="F33" i="34"/>
  <c r="AA33" i="34" s="1"/>
  <c r="H20" i="36"/>
  <c r="U20" i="36" s="1"/>
  <c r="J20" i="36"/>
  <c r="W20" i="36" s="1"/>
  <c r="J27" i="36"/>
  <c r="AB25" i="37"/>
  <c r="H35" i="40"/>
  <c r="AB35" i="40" s="1"/>
  <c r="H35" i="37"/>
  <c r="U35" i="37" s="1"/>
  <c r="H20" i="35"/>
  <c r="U20" i="35" s="1"/>
  <c r="AB29" i="36"/>
  <c r="U29" i="36"/>
  <c r="H32" i="37"/>
  <c r="AB32" i="37" s="1"/>
  <c r="F96" i="37"/>
  <c r="G96" i="37" s="1"/>
  <c r="H96" i="37" s="1"/>
  <c r="I96" i="37" s="1"/>
  <c r="J96" i="37" s="1"/>
  <c r="K96" i="37" s="1"/>
  <c r="L96" i="37" s="1"/>
  <c r="M96" i="37" s="1"/>
  <c r="H27" i="40"/>
  <c r="U27" i="40" s="1"/>
  <c r="J27" i="40"/>
  <c r="AC27" i="40" s="1"/>
  <c r="F27" i="40"/>
  <c r="J30" i="40"/>
  <c r="AC30" i="40" s="1"/>
  <c r="F30" i="40"/>
  <c r="S30" i="40" s="1"/>
  <c r="AC21" i="40"/>
  <c r="S31" i="39"/>
  <c r="S11" i="40"/>
  <c r="E98" i="40"/>
  <c r="F98" i="40" s="1"/>
  <c r="G98" i="40" s="1"/>
  <c r="H98" i="40" s="1"/>
  <c r="I98" i="40" s="1"/>
  <c r="J98" i="40" s="1"/>
  <c r="K98" i="40" s="1"/>
  <c r="L98" i="40" s="1"/>
  <c r="M98" i="40" s="1"/>
  <c r="F10" i="33"/>
  <c r="AA10" i="33" s="1"/>
  <c r="F34" i="33"/>
  <c r="S34" i="33" s="1"/>
  <c r="H34" i="33"/>
  <c r="U34" i="33" s="1"/>
  <c r="F40" i="34"/>
  <c r="S40" i="34" s="1"/>
  <c r="H44" i="34"/>
  <c r="AB44" i="34" s="1"/>
  <c r="AC38" i="39"/>
  <c r="F39" i="39"/>
  <c r="S39" i="39" s="1"/>
  <c r="J39" i="39"/>
  <c r="E97" i="39"/>
  <c r="F97" i="39" s="1"/>
  <c r="G97" i="39" s="1"/>
  <c r="C40" i="11"/>
  <c r="I20" i="43"/>
  <c r="F23" i="39"/>
  <c r="AA23" i="39" s="1"/>
  <c r="H27" i="36"/>
  <c r="U27" i="36" s="1"/>
  <c r="F27" i="36"/>
  <c r="H33" i="34"/>
  <c r="U33" i="34" s="1"/>
  <c r="F32" i="37"/>
  <c r="F20" i="36"/>
  <c r="AA20" i="36" s="1"/>
  <c r="J33" i="34"/>
  <c r="AC33" i="34" s="1"/>
  <c r="H23" i="39"/>
  <c r="U23" i="39" s="1"/>
  <c r="D48" i="9"/>
  <c r="M52" i="9" s="1"/>
  <c r="K9" i="1"/>
  <c r="M9" i="1" s="1"/>
  <c r="AE9" i="1"/>
  <c r="D93" i="9"/>
  <c r="W12" i="39"/>
  <c r="BL14" i="3"/>
  <c r="S19" i="39"/>
  <c r="F12" i="33"/>
  <c r="S12" i="33" s="1"/>
  <c r="H12" i="39"/>
  <c r="AB12" i="39" s="1"/>
  <c r="F39" i="40"/>
  <c r="S39" i="40" s="1"/>
  <c r="BA14" i="3"/>
  <c r="B12" i="1"/>
  <c r="E12" i="1" s="1"/>
  <c r="B10" i="1"/>
  <c r="E10" i="1" s="1"/>
  <c r="S13" i="1"/>
  <c r="AR13" i="1" s="1"/>
  <c r="R13" i="1"/>
  <c r="J51" i="67"/>
  <c r="C42" i="1"/>
  <c r="C13" i="12" s="1"/>
  <c r="H100" i="43"/>
  <c r="C30" i="66"/>
  <c r="B41" i="1"/>
  <c r="F48" i="9" s="1"/>
  <c r="O52" i="9" s="1"/>
  <c r="J100" i="43"/>
  <c r="S35" i="40"/>
  <c r="W38" i="40"/>
  <c r="S23" i="40"/>
  <c r="AC15" i="40"/>
  <c r="S28" i="40"/>
  <c r="U21" i="40"/>
  <c r="W42" i="39"/>
  <c r="F32" i="39"/>
  <c r="AA32" i="39" s="1"/>
  <c r="F107" i="39"/>
  <c r="G107" i="39" s="1"/>
  <c r="H107" i="39" s="1"/>
  <c r="I107" i="39" s="1"/>
  <c r="J107" i="39" s="1"/>
  <c r="K107" i="39" s="1"/>
  <c r="L107" i="39" s="1"/>
  <c r="M107" i="39" s="1"/>
  <c r="AB27" i="39"/>
  <c r="J21" i="39"/>
  <c r="W21" i="39" s="1"/>
  <c r="F21" i="39"/>
  <c r="AA21" i="39" s="1"/>
  <c r="H21" i="39"/>
  <c r="AB21" i="39" s="1"/>
  <c r="W19" i="39"/>
  <c r="U19" i="39"/>
  <c r="S17" i="39"/>
  <c r="AB15" i="39"/>
  <c r="S9" i="39"/>
  <c r="U26" i="36"/>
  <c r="AC26" i="36"/>
  <c r="AA22" i="36"/>
  <c r="W14" i="36"/>
  <c r="U22" i="36"/>
  <c r="S16" i="36"/>
  <c r="S24" i="36"/>
  <c r="U23" i="36"/>
  <c r="W24" i="35"/>
  <c r="U36" i="35"/>
  <c r="S22" i="35"/>
  <c r="AC10" i="35"/>
  <c r="AB10" i="35"/>
  <c r="S8" i="35"/>
  <c r="AC9" i="35"/>
  <c r="W9" i="35"/>
  <c r="F9" i="35"/>
  <c r="S9" i="35" s="1"/>
  <c r="H9" i="35"/>
  <c r="U9" i="35" s="1"/>
  <c r="F26" i="35"/>
  <c r="AA26" i="35" s="1"/>
  <c r="W27" i="37"/>
  <c r="AC29" i="37"/>
  <c r="U29" i="37"/>
  <c r="AB31" i="37"/>
  <c r="W30" i="37"/>
  <c r="AC35" i="37"/>
  <c r="W39" i="37"/>
  <c r="S30" i="37"/>
  <c r="J17" i="37"/>
  <c r="W17" i="37" s="1"/>
  <c r="F17" i="37"/>
  <c r="AA17" i="37" s="1"/>
  <c r="F75" i="37"/>
  <c r="F19" i="37"/>
  <c r="S19" i="37" s="1"/>
  <c r="F79" i="37"/>
  <c r="G79" i="37" s="1"/>
  <c r="F23" i="37"/>
  <c r="S23" i="37" s="1"/>
  <c r="U15" i="37"/>
  <c r="U9" i="37"/>
  <c r="H10" i="37"/>
  <c r="AB10" i="37" s="1"/>
  <c r="H60" i="37"/>
  <c r="I60" i="37" s="1"/>
  <c r="F11" i="37"/>
  <c r="S11" i="37" s="1"/>
  <c r="H67" i="34"/>
  <c r="H10" i="34"/>
  <c r="AB10" i="34" s="1"/>
  <c r="F11" i="34"/>
  <c r="S11" i="34" s="1"/>
  <c r="F70" i="34"/>
  <c r="G70" i="34" s="1"/>
  <c r="H70" i="34" s="1"/>
  <c r="I70" i="34" s="1"/>
  <c r="J70" i="34" s="1"/>
  <c r="K70" i="34" s="1"/>
  <c r="L70" i="34" s="1"/>
  <c r="M70" i="34" s="1"/>
  <c r="W38" i="33"/>
  <c r="H41" i="33"/>
  <c r="AB41" i="33" s="1"/>
  <c r="H27" i="33"/>
  <c r="U27" i="33" s="1"/>
  <c r="H25" i="33"/>
  <c r="AB25" i="33" s="1"/>
  <c r="J23" i="33"/>
  <c r="AC23" i="33" s="1"/>
  <c r="F85" i="33"/>
  <c r="G85" i="33" s="1"/>
  <c r="H23" i="33"/>
  <c r="AB23" i="33" s="1"/>
  <c r="F81" i="33"/>
  <c r="G81" i="33" s="1"/>
  <c r="F19" i="33"/>
  <c r="S19" i="33" s="1"/>
  <c r="J17" i="33"/>
  <c r="W17" i="33" s="1"/>
  <c r="F79" i="33"/>
  <c r="G79" i="33" s="1"/>
  <c r="I66" i="33"/>
  <c r="J10" i="33"/>
  <c r="W10" i="33" s="1"/>
  <c r="H10" i="33"/>
  <c r="AB10" i="33" s="1"/>
  <c r="W43" i="21"/>
  <c r="W36" i="21"/>
  <c r="S39" i="21"/>
  <c r="AA36" i="21"/>
  <c r="AC40" i="21"/>
  <c r="J15" i="21"/>
  <c r="W15" i="21" s="1"/>
  <c r="F77" i="21"/>
  <c r="G77" i="21" s="1"/>
  <c r="F23" i="21"/>
  <c r="S23" i="21" s="1"/>
  <c r="E85" i="21"/>
  <c r="AA14" i="21"/>
  <c r="S8" i="21"/>
  <c r="M3" i="43"/>
  <c r="M1" i="43"/>
  <c r="C6" i="43" s="1"/>
  <c r="N8" i="43"/>
  <c r="D120" i="9"/>
  <c r="D121" i="9" s="1"/>
  <c r="D7" i="52" s="1"/>
  <c r="C18" i="9"/>
  <c r="D18" i="9" s="1"/>
  <c r="F34" i="67"/>
  <c r="F62" i="67" s="1"/>
  <c r="M20" i="67"/>
  <c r="F34" i="15"/>
  <c r="F62" i="15" s="1"/>
  <c r="G13" i="3"/>
  <c r="BA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10" i="43"/>
  <c r="E9" i="43"/>
  <c r="E8" i="43"/>
  <c r="E81" i="43"/>
  <c r="B79" i="43" s="1"/>
  <c r="E48" i="43"/>
  <c r="B46" i="43" s="1"/>
  <c r="E70" i="43"/>
  <c r="B68" i="43" s="1"/>
  <c r="F100" i="43"/>
  <c r="H17" i="43"/>
  <c r="G6" i="1"/>
  <c r="H8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A4" i="51"/>
  <c r="B6" i="72" s="1"/>
  <c r="C4" i="12"/>
  <c r="H72" i="43"/>
  <c r="L20" i="6"/>
  <c r="B6" i="1"/>
  <c r="E6" i="1" s="1"/>
  <c r="AP6" i="1"/>
  <c r="B9" i="1"/>
  <c r="E9" i="1" s="1"/>
  <c r="K7" i="1"/>
  <c r="M7" i="1" s="1"/>
  <c r="O7" i="1" s="1"/>
  <c r="G1" i="15"/>
  <c r="G1" i="69"/>
  <c r="G1" i="67"/>
  <c r="U32" i="40"/>
  <c r="AB28" i="40"/>
  <c r="W28" i="40"/>
  <c r="W34" i="40"/>
  <c r="W19" i="40"/>
  <c r="S36" i="40"/>
  <c r="W37" i="40"/>
  <c r="S33" i="40"/>
  <c r="U11" i="40"/>
  <c r="U15" i="40"/>
  <c r="U8" i="40"/>
  <c r="S8" i="40"/>
  <c r="AC41" i="39"/>
  <c r="U42" i="39"/>
  <c r="AB23" i="39"/>
  <c r="U41" i="39"/>
  <c r="W25" i="39"/>
  <c r="AA13" i="39"/>
  <c r="S14" i="39"/>
  <c r="AA14" i="39"/>
  <c r="AB11" i="39"/>
  <c r="U11" i="39"/>
  <c r="AA27" i="39"/>
  <c r="W17" i="39"/>
  <c r="S23" i="39"/>
  <c r="W34" i="39"/>
  <c r="U38" i="39"/>
  <c r="S8" i="39"/>
  <c r="S28" i="36"/>
  <c r="W29" i="36"/>
  <c r="AB28" i="36"/>
  <c r="W9" i="36"/>
  <c r="W22" i="36"/>
  <c r="AC25" i="35"/>
  <c r="W33" i="35"/>
  <c r="U24" i="35"/>
  <c r="S35" i="35"/>
  <c r="AA35" i="37"/>
  <c r="W36" i="37"/>
  <c r="S27" i="37"/>
  <c r="W32" i="37"/>
  <c r="U36" i="37"/>
  <c r="S40" i="37"/>
  <c r="AB37" i="37"/>
  <c r="S33" i="37"/>
  <c r="AB35" i="37"/>
  <c r="AA31" i="37"/>
  <c r="U19" i="37"/>
  <c r="AA29" i="37"/>
  <c r="AA8" i="37"/>
  <c r="U8" i="37"/>
  <c r="AA30" i="34"/>
  <c r="AC32" i="34"/>
  <c r="S32" i="34"/>
  <c r="AA32" i="34"/>
  <c r="S19" i="34"/>
  <c r="AA8" i="34"/>
  <c r="S8" i="34"/>
  <c r="W46" i="33"/>
  <c r="U38" i="33"/>
  <c r="W30" i="33"/>
  <c r="AB42" i="21"/>
  <c r="AA11" i="21"/>
  <c r="I101" i="21"/>
  <c r="J101" i="21" s="1"/>
  <c r="K101" i="21" s="1"/>
  <c r="L101" i="21" s="1"/>
  <c r="M101" i="21" s="1"/>
  <c r="F33" i="21"/>
  <c r="S33" i="21" s="1"/>
  <c r="J33" i="21"/>
  <c r="W33" i="21" s="1"/>
  <c r="H33" i="21"/>
  <c r="U33" i="21" s="1"/>
  <c r="F37" i="21"/>
  <c r="AA37" i="21" s="1"/>
  <c r="AA26" i="21"/>
  <c r="U40" i="21"/>
  <c r="U13" i="21"/>
  <c r="AB13" i="21"/>
  <c r="W8" i="21"/>
  <c r="S35" i="21"/>
  <c r="AB37" i="21"/>
  <c r="J37" i="21"/>
  <c r="AC37" i="21" s="1"/>
  <c r="H15" i="21"/>
  <c r="AB15" i="21" s="1"/>
  <c r="J17" i="21"/>
  <c r="W17" i="21" s="1"/>
  <c r="AC19" i="21"/>
  <c r="W39" i="21"/>
  <c r="H45" i="21"/>
  <c r="U45" i="21" s="1"/>
  <c r="F29" i="21"/>
  <c r="S29" i="21" s="1"/>
  <c r="F13" i="21"/>
  <c r="AA13" i="21" s="1"/>
  <c r="AC38" i="21"/>
  <c r="H32" i="21"/>
  <c r="U32" i="21" s="1"/>
  <c r="H9" i="21"/>
  <c r="U9" i="21" s="1"/>
  <c r="J9" i="21"/>
  <c r="W9" i="21" s="1"/>
  <c r="J32" i="21"/>
  <c r="AC32" i="21" s="1"/>
  <c r="F32" i="21"/>
  <c r="AA32" i="21" s="1"/>
  <c r="U17" i="21"/>
  <c r="S19" i="21"/>
  <c r="S9" i="21"/>
  <c r="AA9" i="21"/>
  <c r="K141" i="21"/>
  <c r="K144" i="21"/>
  <c r="K143" i="21"/>
  <c r="AB25" i="21"/>
  <c r="AB44" i="21"/>
  <c r="AA30" i="21"/>
  <c r="AC45" i="21"/>
  <c r="F10" i="21"/>
  <c r="S10" i="21" s="1"/>
  <c r="K145" i="21"/>
  <c r="W25" i="21"/>
  <c r="S27" i="21"/>
  <c r="AA15" i="21"/>
  <c r="AC34" i="21"/>
  <c r="W10" i="21"/>
  <c r="AB36" i="21"/>
  <c r="W30" i="40"/>
  <c r="C19" i="39"/>
  <c r="C15" i="40"/>
  <c r="C17" i="40"/>
  <c r="C23" i="40"/>
  <c r="C21" i="40"/>
  <c r="B54" i="43"/>
  <c r="B65" i="43"/>
  <c r="B49" i="43"/>
  <c r="B52" i="43"/>
  <c r="B56" i="43"/>
  <c r="B60" i="43"/>
  <c r="B63" i="43"/>
  <c r="B67" i="43"/>
  <c r="D23" i="15"/>
  <c r="D22" i="15"/>
  <c r="E4" i="4"/>
  <c r="B5" i="62" s="1"/>
  <c r="B73" i="72" s="1"/>
  <c r="C4" i="4"/>
  <c r="AZ13" i="3"/>
  <c r="E7" i="70"/>
  <c r="AA39" i="40"/>
  <c r="J32" i="39"/>
  <c r="W32" i="39" s="1"/>
  <c r="H32" i="39"/>
  <c r="U32" i="39" s="1"/>
  <c r="U21" i="39"/>
  <c r="S21" i="39"/>
  <c r="AC21" i="39"/>
  <c r="AC17" i="37"/>
  <c r="J19" i="37"/>
  <c r="W19" i="37" s="1"/>
  <c r="G75" i="37"/>
  <c r="J23" i="37"/>
  <c r="AC23" i="37" s="1"/>
  <c r="J10" i="37"/>
  <c r="W10" i="37" s="1"/>
  <c r="G63" i="37"/>
  <c r="H63" i="37" s="1"/>
  <c r="I63" i="37" s="1"/>
  <c r="J63" i="37" s="1"/>
  <c r="K63" i="37" s="1"/>
  <c r="L63" i="37" s="1"/>
  <c r="M63" i="37" s="1"/>
  <c r="H11" i="37"/>
  <c r="AB11" i="37" s="1"/>
  <c r="H11" i="34"/>
  <c r="U11" i="34" s="1"/>
  <c r="J10" i="34"/>
  <c r="AC10" i="34" s="1"/>
  <c r="I67" i="34"/>
  <c r="H36" i="33"/>
  <c r="AB36" i="33" s="1"/>
  <c r="J27" i="33"/>
  <c r="W27" i="33" s="1"/>
  <c r="F23" i="33"/>
  <c r="S23" i="33" s="1"/>
  <c r="H19" i="33"/>
  <c r="AB19" i="33" s="1"/>
  <c r="H17" i="33"/>
  <c r="AB17" i="33" s="1"/>
  <c r="F17" i="33"/>
  <c r="S17" i="33" s="1"/>
  <c r="J23" i="21"/>
  <c r="W23" i="21" s="1"/>
  <c r="F85" i="21"/>
  <c r="G85" i="21" s="1"/>
  <c r="H23" i="21"/>
  <c r="AB23" i="21" s="1"/>
  <c r="AP7" i="1"/>
  <c r="AB32" i="21"/>
  <c r="E6" i="70"/>
  <c r="A18" i="62"/>
  <c r="B64" i="72" s="1"/>
  <c r="J11" i="37"/>
  <c r="W11" i="37" s="1"/>
  <c r="AB11" i="34"/>
  <c r="J11" i="34"/>
  <c r="AC11" i="34" s="1"/>
  <c r="AC23" i="21"/>
  <c r="F34" i="11"/>
  <c r="F11" i="12"/>
  <c r="F34" i="68"/>
  <c r="AE7" i="1"/>
  <c r="AE8" i="1"/>
  <c r="AE6" i="1"/>
  <c r="AG6" i="1"/>
  <c r="H109" i="9"/>
  <c r="M49" i="9" s="1"/>
  <c r="L68" i="9" s="1"/>
  <c r="M68" i="9" s="1"/>
  <c r="D16" i="53"/>
  <c r="B34" i="72" s="1"/>
  <c r="H112" i="9"/>
  <c r="D21" i="53" s="1"/>
  <c r="B39" i="72" s="1"/>
  <c r="H111" i="9"/>
  <c r="D19" i="53" s="1"/>
  <c r="AD3" i="71"/>
  <c r="J1" i="73"/>
  <c r="C77" i="9"/>
  <c r="C74" i="9" s="1"/>
  <c r="H77" i="43"/>
  <c r="H76" i="43"/>
  <c r="M4" i="43"/>
  <c r="M5" i="43"/>
  <c r="N12" i="43"/>
  <c r="N11" i="43"/>
  <c r="M10" i="43"/>
  <c r="M2" i="43"/>
  <c r="M7" i="43"/>
  <c r="H70" i="43"/>
  <c r="N9" i="43"/>
  <c r="M8" i="43"/>
  <c r="N10" i="43"/>
  <c r="H74" i="43"/>
  <c r="M6" i="43"/>
  <c r="N7" i="43"/>
  <c r="N4" i="43"/>
  <c r="N2" i="43"/>
  <c r="N17" i="43"/>
  <c r="L17" i="43"/>
  <c r="O17" i="43"/>
  <c r="M17" i="43"/>
  <c r="E17" i="43"/>
  <c r="AB17" i="71"/>
  <c r="X15" i="71"/>
  <c r="X14" i="71"/>
  <c r="AA15" i="71"/>
  <c r="AA14" i="71"/>
  <c r="X18" i="71"/>
  <c r="Y14" i="71"/>
  <c r="Z14" i="71" s="1"/>
  <c r="AB15" i="71"/>
  <c r="AB14" i="71"/>
  <c r="F16" i="71"/>
  <c r="F15" i="71" s="1"/>
  <c r="F14" i="71" s="1"/>
  <c r="F13" i="71" s="1"/>
  <c r="F12" i="71" s="1"/>
  <c r="Y15" i="71"/>
  <c r="Z15" i="71" s="1"/>
  <c r="X3" i="71"/>
  <c r="B11" i="76"/>
  <c r="D2" i="33"/>
  <c r="F13" i="15"/>
  <c r="AO13" i="1"/>
  <c r="F37" i="15"/>
  <c r="F8" i="15"/>
  <c r="AO6" i="1"/>
  <c r="E8" i="76"/>
  <c r="M23" i="15"/>
  <c r="E12" i="76"/>
  <c r="D2" i="37"/>
  <c r="D4" i="73"/>
  <c r="F3" i="73"/>
  <c r="F20" i="31"/>
  <c r="F42" i="15"/>
  <c r="M8" i="15"/>
  <c r="B9" i="76"/>
  <c r="M26" i="15"/>
  <c r="E11" i="76"/>
  <c r="F7" i="73"/>
  <c r="M21" i="67"/>
  <c r="E9" i="76"/>
  <c r="B12" i="76"/>
  <c r="B13" i="76"/>
  <c r="E13" i="76"/>
  <c r="B10" i="76"/>
  <c r="D34" i="9"/>
  <c r="B8" i="76"/>
  <c r="F6" i="73"/>
  <c r="D35" i="9"/>
  <c r="AO9" i="1"/>
  <c r="D2" i="21"/>
  <c r="D2" i="34"/>
  <c r="E10" i="76"/>
  <c r="D2" i="35"/>
  <c r="C76" i="15"/>
  <c r="AO8" i="1"/>
  <c r="AO12" i="1"/>
  <c r="F5" i="73"/>
  <c r="AO11" i="1"/>
  <c r="AO10" i="1"/>
  <c r="F16" i="67"/>
  <c r="E2" i="68"/>
  <c r="E2" i="69"/>
  <c r="D2" i="36"/>
  <c r="F36" i="15"/>
  <c r="AO7" i="1"/>
  <c r="F4" i="73"/>
  <c r="W25" i="36" l="1"/>
  <c r="AC25" i="36"/>
  <c r="W14" i="33"/>
  <c r="AC14" i="33"/>
  <c r="H110" i="9"/>
  <c r="D18" i="53" s="1"/>
  <c r="B35" i="72" s="1"/>
  <c r="AB8" i="21"/>
  <c r="AA38" i="21"/>
  <c r="AB39" i="21"/>
  <c r="J39" i="34"/>
  <c r="W39" i="34" s="1"/>
  <c r="AZ372" i="3"/>
  <c r="AC12" i="37"/>
  <c r="F9" i="37"/>
  <c r="S9" i="37" s="1"/>
  <c r="BL507" i="3"/>
  <c r="BL511" i="3"/>
  <c r="BL519" i="3"/>
  <c r="H25" i="35"/>
  <c r="F31" i="34"/>
  <c r="H13" i="34"/>
  <c r="U13" i="34" s="1"/>
  <c r="H14" i="35"/>
  <c r="AB14" i="35" s="1"/>
  <c r="U30" i="36"/>
  <c r="J31" i="39"/>
  <c r="H31" i="39"/>
  <c r="S34" i="39"/>
  <c r="W8" i="36"/>
  <c r="J27" i="34"/>
  <c r="W27" i="34" s="1"/>
  <c r="F27" i="34"/>
  <c r="E70" i="35"/>
  <c r="F70" i="35" s="1"/>
  <c r="G70" i="35" s="1"/>
  <c r="J20" i="35"/>
  <c r="W20" i="35" s="1"/>
  <c r="F14" i="33"/>
  <c r="H14" i="33"/>
  <c r="F46" i="33"/>
  <c r="H46" i="33"/>
  <c r="U46" i="33" s="1"/>
  <c r="J29" i="34"/>
  <c r="AC29" i="34" s="1"/>
  <c r="H29" i="34"/>
  <c r="AB29" i="34" s="1"/>
  <c r="J45" i="34"/>
  <c r="W45" i="34" s="1"/>
  <c r="H45" i="34"/>
  <c r="U45" i="34" s="1"/>
  <c r="J47" i="34"/>
  <c r="H47" i="34"/>
  <c r="U47" i="34" s="1"/>
  <c r="F13" i="35"/>
  <c r="J13" i="35"/>
  <c r="H23" i="35"/>
  <c r="F23" i="35"/>
  <c r="AA23" i="35" s="1"/>
  <c r="J35" i="35"/>
  <c r="H35" i="35"/>
  <c r="AA8" i="36"/>
  <c r="S8" i="36"/>
  <c r="F25" i="36"/>
  <c r="H25" i="36"/>
  <c r="AB30" i="37"/>
  <c r="U30" i="37"/>
  <c r="AC8" i="40"/>
  <c r="W8" i="40"/>
  <c r="AB9" i="40"/>
  <c r="U9" i="40"/>
  <c r="H87" i="35"/>
  <c r="J29" i="35"/>
  <c r="H29" i="35"/>
  <c r="AB29" i="35" s="1"/>
  <c r="BA567" i="3"/>
  <c r="BA566" i="3"/>
  <c r="BL554" i="3"/>
  <c r="AZ554" i="3" s="1"/>
  <c r="BA552" i="3"/>
  <c r="BA549" i="3"/>
  <c r="BA546" i="3"/>
  <c r="BA539" i="3"/>
  <c r="BL536" i="3"/>
  <c r="BA536" i="3"/>
  <c r="BA533" i="3"/>
  <c r="BA525" i="3"/>
  <c r="BL524" i="3"/>
  <c r="BA524" i="3"/>
  <c r="BL520" i="3"/>
  <c r="BA520" i="3"/>
  <c r="BL514" i="3"/>
  <c r="BA512" i="3"/>
  <c r="BA511" i="3"/>
  <c r="BA509" i="3"/>
  <c r="BA504" i="3"/>
  <c r="BA503" i="3"/>
  <c r="BL502" i="3"/>
  <c r="BA499" i="3"/>
  <c r="BA496" i="3"/>
  <c r="BA493" i="3"/>
  <c r="AZ493" i="3" s="1"/>
  <c r="BL497" i="3"/>
  <c r="BL501" i="3"/>
  <c r="BL505" i="3"/>
  <c r="BL509" i="3"/>
  <c r="BL513" i="3"/>
  <c r="BL517" i="3"/>
  <c r="G521" i="3"/>
  <c r="BL527" i="3"/>
  <c r="BL535" i="3"/>
  <c r="BL539" i="3"/>
  <c r="BL543" i="3"/>
  <c r="BL547" i="3"/>
  <c r="BL551" i="3"/>
  <c r="BL555" i="3"/>
  <c r="S14" i="35"/>
  <c r="AA28" i="35"/>
  <c r="S28" i="35"/>
  <c r="F59" i="43"/>
  <c r="G104" i="3"/>
  <c r="AB21" i="37"/>
  <c r="W25" i="40"/>
  <c r="C66" i="71"/>
  <c r="D66" i="71" s="1"/>
  <c r="D124" i="9"/>
  <c r="S17" i="21"/>
  <c r="W42" i="21"/>
  <c r="AA30" i="35"/>
  <c r="AC20" i="36"/>
  <c r="U32" i="36"/>
  <c r="AB39" i="39"/>
  <c r="AB17" i="40"/>
  <c r="S31" i="40"/>
  <c r="AA15" i="40"/>
  <c r="S37" i="40"/>
  <c r="W23" i="40"/>
  <c r="H81" i="43"/>
  <c r="AC9" i="37"/>
  <c r="AB40" i="37"/>
  <c r="U22" i="35"/>
  <c r="AC30" i="35"/>
  <c r="U29" i="35"/>
  <c r="U16" i="36"/>
  <c r="S29" i="36"/>
  <c r="S43" i="39"/>
  <c r="AB37" i="40"/>
  <c r="U10" i="21"/>
  <c r="U17" i="39"/>
  <c r="AA41" i="39"/>
  <c r="AB34" i="39"/>
  <c r="AB11" i="21"/>
  <c r="AC8" i="34"/>
  <c r="W8" i="34"/>
  <c r="E82" i="34"/>
  <c r="F82" i="34" s="1"/>
  <c r="G82" i="34" s="1"/>
  <c r="J19" i="34"/>
  <c r="E126" i="34"/>
  <c r="F126" i="34" s="1"/>
  <c r="G126" i="34" s="1"/>
  <c r="F44" i="34"/>
  <c r="J12" i="33"/>
  <c r="AC12" i="33" s="1"/>
  <c r="H12" i="33"/>
  <c r="F30" i="33"/>
  <c r="H30" i="33"/>
  <c r="AA23" i="21"/>
  <c r="S17" i="37"/>
  <c r="AA9" i="35"/>
  <c r="AC17" i="21"/>
  <c r="U15" i="21"/>
  <c r="AC15" i="21"/>
  <c r="W27" i="40"/>
  <c r="AC15" i="39"/>
  <c r="AA30" i="40"/>
  <c r="AZ360" i="3"/>
  <c r="AB23" i="40"/>
  <c r="U23" i="40"/>
  <c r="H14" i="21"/>
  <c r="J14" i="21"/>
  <c r="F46" i="21"/>
  <c r="H46" i="21"/>
  <c r="B77" i="43"/>
  <c r="C25" i="39"/>
  <c r="E84" i="35"/>
  <c r="F84" i="35" s="1"/>
  <c r="G84" i="35" s="1"/>
  <c r="H84" i="35" s="1"/>
  <c r="I84" i="35" s="1"/>
  <c r="J84" i="35" s="1"/>
  <c r="K84" i="35" s="1"/>
  <c r="L84" i="35" s="1"/>
  <c r="M84" i="35" s="1"/>
  <c r="H28" i="35"/>
  <c r="AB28" i="35" s="1"/>
  <c r="AB23" i="71"/>
  <c r="U63" i="71"/>
  <c r="X24" i="71"/>
  <c r="AB30" i="71"/>
  <c r="AA33" i="71"/>
  <c r="U31" i="35"/>
  <c r="W31" i="37"/>
  <c r="W40" i="39"/>
  <c r="G584" i="3"/>
  <c r="G580" i="3"/>
  <c r="G579" i="3"/>
  <c r="G576" i="3"/>
  <c r="G570" i="3"/>
  <c r="G568" i="3"/>
  <c r="G565" i="3"/>
  <c r="G564" i="3"/>
  <c r="G560" i="3"/>
  <c r="G550" i="3"/>
  <c r="G549" i="3"/>
  <c r="G544" i="3"/>
  <c r="BL540" i="3"/>
  <c r="AZ540" i="3" s="1"/>
  <c r="G536" i="3"/>
  <c r="G533" i="3"/>
  <c r="G532" i="3"/>
  <c r="G528" i="3"/>
  <c r="G525" i="3"/>
  <c r="G523" i="3"/>
  <c r="BA517" i="3"/>
  <c r="BL516" i="3"/>
  <c r="G514" i="3"/>
  <c r="G508" i="3"/>
  <c r="G504" i="3"/>
  <c r="G496" i="3"/>
  <c r="G448" i="3"/>
  <c r="G349" i="3"/>
  <c r="BA354" i="3"/>
  <c r="G358" i="3"/>
  <c r="G387" i="3"/>
  <c r="G211" i="3"/>
  <c r="G213" i="3"/>
  <c r="G215" i="3"/>
  <c r="BA218" i="3"/>
  <c r="BL228" i="3"/>
  <c r="G229" i="3"/>
  <c r="G233" i="3"/>
  <c r="G259" i="3"/>
  <c r="G265" i="3"/>
  <c r="G159" i="3"/>
  <c r="G162" i="3"/>
  <c r="G164" i="3"/>
  <c r="G167" i="3"/>
  <c r="G171" i="3"/>
  <c r="BL189" i="3"/>
  <c r="G68" i="3"/>
  <c r="G74" i="3"/>
  <c r="G82" i="3"/>
  <c r="G86" i="3"/>
  <c r="G94" i="3"/>
  <c r="BL95" i="3"/>
  <c r="G100" i="3"/>
  <c r="G105" i="3"/>
  <c r="G107" i="3"/>
  <c r="N100" i="43"/>
  <c r="I108" i="43"/>
  <c r="W32" i="35"/>
  <c r="U32" i="35"/>
  <c r="AC27" i="34"/>
  <c r="S30" i="33"/>
  <c r="AA30" i="33"/>
  <c r="AC11" i="37"/>
  <c r="AA10" i="21"/>
  <c r="AB9" i="21"/>
  <c r="S37" i="21"/>
  <c r="AZ17" i="3"/>
  <c r="BL587" i="3"/>
  <c r="J27" i="21"/>
  <c r="H27" i="21"/>
  <c r="J29" i="21"/>
  <c r="H29" i="21"/>
  <c r="AB27" i="36"/>
  <c r="AZ306" i="3"/>
  <c r="AZ344" i="3"/>
  <c r="AZ337" i="3"/>
  <c r="AZ321" i="3"/>
  <c r="AZ362" i="3"/>
  <c r="AZ320" i="3"/>
  <c r="AB38" i="21"/>
  <c r="U26" i="21"/>
  <c r="U33" i="37"/>
  <c r="AZ519" i="3"/>
  <c r="AZ537" i="3"/>
  <c r="F45" i="21"/>
  <c r="H12" i="21"/>
  <c r="J12" i="21"/>
  <c r="E66" i="35"/>
  <c r="F66" i="35" s="1"/>
  <c r="G66" i="35" s="1"/>
  <c r="H16" i="35"/>
  <c r="J11" i="35"/>
  <c r="AC11" i="35" s="1"/>
  <c r="F11" i="35"/>
  <c r="S11" i="35" s="1"/>
  <c r="J23" i="36"/>
  <c r="F23" i="36"/>
  <c r="AC31" i="36"/>
  <c r="W31" i="36"/>
  <c r="H14" i="37"/>
  <c r="J14" i="37"/>
  <c r="J28" i="37"/>
  <c r="F28" i="37"/>
  <c r="J13" i="39"/>
  <c r="H13" i="39"/>
  <c r="U13" i="39" s="1"/>
  <c r="AB34" i="40"/>
  <c r="U34" i="40"/>
  <c r="S31" i="35"/>
  <c r="AA31" i="35"/>
  <c r="BL584" i="3"/>
  <c r="BA584" i="3"/>
  <c r="BA582" i="3"/>
  <c r="BL578" i="3"/>
  <c r="BL570" i="3"/>
  <c r="BL564" i="3"/>
  <c r="BL562" i="3"/>
  <c r="BA560" i="3"/>
  <c r="BA553" i="3"/>
  <c r="BL552" i="3"/>
  <c r="BA547" i="3"/>
  <c r="BL538" i="3"/>
  <c r="BA534" i="3"/>
  <c r="BL532" i="3"/>
  <c r="BA528" i="3"/>
  <c r="BL526" i="3"/>
  <c r="BA523" i="3"/>
  <c r="BL522" i="3"/>
  <c r="BA506" i="3"/>
  <c r="BA502" i="3"/>
  <c r="AZ502" i="3" s="1"/>
  <c r="BL498" i="3"/>
  <c r="AZ498" i="3" s="1"/>
  <c r="BL496" i="3"/>
  <c r="AZ496" i="3" s="1"/>
  <c r="BA455" i="3"/>
  <c r="G587" i="3"/>
  <c r="BA587" i="3"/>
  <c r="BA585" i="3"/>
  <c r="BA578" i="3"/>
  <c r="BA562" i="3"/>
  <c r="BL556" i="3"/>
  <c r="G556" i="3"/>
  <c r="G552" i="3"/>
  <c r="G526" i="3"/>
  <c r="G515" i="3"/>
  <c r="G493" i="3"/>
  <c r="G399" i="3"/>
  <c r="G403" i="3"/>
  <c r="G405" i="3"/>
  <c r="BL408" i="3"/>
  <c r="G415" i="3"/>
  <c r="BA418" i="3"/>
  <c r="G426" i="3"/>
  <c r="G428" i="3"/>
  <c r="BL433" i="3"/>
  <c r="G434" i="3"/>
  <c r="G436" i="3"/>
  <c r="BL448" i="3"/>
  <c r="G449" i="3"/>
  <c r="BA454" i="3"/>
  <c r="BL459" i="3"/>
  <c r="BL463" i="3"/>
  <c r="G466" i="3"/>
  <c r="G468" i="3"/>
  <c r="G470" i="3"/>
  <c r="G474" i="3"/>
  <c r="BA479" i="3"/>
  <c r="BA481" i="3"/>
  <c r="BL485" i="3"/>
  <c r="G489" i="3"/>
  <c r="BL489" i="3"/>
  <c r="G307" i="3"/>
  <c r="G315" i="3"/>
  <c r="G327" i="3"/>
  <c r="G329" i="3"/>
  <c r="G331" i="3"/>
  <c r="G339" i="3"/>
  <c r="BL346" i="3"/>
  <c r="AZ346" i="3" s="1"/>
  <c r="G364" i="3"/>
  <c r="BA367" i="3"/>
  <c r="G374" i="3"/>
  <c r="BL375" i="3"/>
  <c r="AZ375" i="3" s="1"/>
  <c r="G214" i="3"/>
  <c r="G216" i="3"/>
  <c r="BL227" i="3"/>
  <c r="G228" i="3"/>
  <c r="BL229" i="3"/>
  <c r="G236" i="3"/>
  <c r="G238" i="3"/>
  <c r="G240" i="3"/>
  <c r="BL255" i="3"/>
  <c r="BA263" i="3"/>
  <c r="BL267" i="3"/>
  <c r="BL268" i="3"/>
  <c r="G269" i="3"/>
  <c r="G270" i="3"/>
  <c r="BL270" i="3"/>
  <c r="G273" i="3"/>
  <c r="BL274" i="3"/>
  <c r="G277" i="3"/>
  <c r="G281" i="3"/>
  <c r="G285" i="3"/>
  <c r="G287" i="3"/>
  <c r="G289" i="3"/>
  <c r="G297" i="3"/>
  <c r="BA124" i="3"/>
  <c r="AZ124" i="3" s="1"/>
  <c r="BA130" i="3"/>
  <c r="G139" i="3"/>
  <c r="G160" i="3"/>
  <c r="G170" i="3"/>
  <c r="G176" i="3"/>
  <c r="G178" i="3"/>
  <c r="G180" i="3"/>
  <c r="G182" i="3"/>
  <c r="BL190" i="3"/>
  <c r="G198" i="3"/>
  <c r="G18" i="3"/>
  <c r="G20" i="3"/>
  <c r="G22" i="3"/>
  <c r="BL36" i="3"/>
  <c r="G37" i="3"/>
  <c r="BA50" i="3"/>
  <c r="G60" i="3"/>
  <c r="BL63" i="3"/>
  <c r="G64" i="3"/>
  <c r="G69" i="3"/>
  <c r="BA72" i="3"/>
  <c r="G77" i="3"/>
  <c r="G84" i="3"/>
  <c r="G85" i="3"/>
  <c r="G87" i="3"/>
  <c r="G97" i="3"/>
  <c r="BA107" i="3"/>
  <c r="G110" i="3"/>
  <c r="C32" i="66"/>
  <c r="E26" i="66" s="1"/>
  <c r="D74" i="71"/>
  <c r="B54" i="71"/>
  <c r="B55" i="71" s="1"/>
  <c r="S55" i="71" s="1"/>
  <c r="BA254" i="3"/>
  <c r="BL275" i="3"/>
  <c r="Y29" i="71"/>
  <c r="Z29" i="71" s="1"/>
  <c r="AC41" i="33"/>
  <c r="F43" i="33"/>
  <c r="AA43" i="33" s="1"/>
  <c r="H43" i="33"/>
  <c r="AB43" i="33" s="1"/>
  <c r="E125" i="33"/>
  <c r="F125" i="33" s="1"/>
  <c r="G125" i="33" s="1"/>
  <c r="AC10" i="33"/>
  <c r="U10" i="33"/>
  <c r="AB47" i="34"/>
  <c r="F25" i="34"/>
  <c r="S25" i="34" s="1"/>
  <c r="F36" i="34"/>
  <c r="AA36" i="34" s="1"/>
  <c r="W40" i="33"/>
  <c r="U40" i="33"/>
  <c r="S40" i="33"/>
  <c r="AB44" i="33"/>
  <c r="W12" i="33"/>
  <c r="U11" i="37"/>
  <c r="J42" i="33"/>
  <c r="AC42" i="33" s="1"/>
  <c r="F42" i="33"/>
  <c r="AA42" i="33" s="1"/>
  <c r="H31" i="21"/>
  <c r="J31" i="21"/>
  <c r="F31" i="21"/>
  <c r="F36" i="33"/>
  <c r="S36" i="33" s="1"/>
  <c r="G111" i="33"/>
  <c r="BN5" i="3"/>
  <c r="BS5" i="3"/>
  <c r="U10" i="37"/>
  <c r="AA11" i="37"/>
  <c r="U25" i="39"/>
  <c r="S17" i="40"/>
  <c r="J44" i="21"/>
  <c r="AC44" i="21" s="1"/>
  <c r="F44" i="21"/>
  <c r="AA42" i="21"/>
  <c r="S42" i="21"/>
  <c r="S41" i="21"/>
  <c r="AA41" i="21"/>
  <c r="F36" i="39"/>
  <c r="H36" i="39"/>
  <c r="J36" i="39"/>
  <c r="BL581" i="3"/>
  <c r="G581" i="3"/>
  <c r="BL579" i="3"/>
  <c r="BA579" i="3"/>
  <c r="BA558" i="3"/>
  <c r="BA545" i="3"/>
  <c r="BL542" i="3"/>
  <c r="BA542" i="3"/>
  <c r="BL534" i="3"/>
  <c r="BA531" i="3"/>
  <c r="BL528" i="3"/>
  <c r="BA527" i="3"/>
  <c r="BA526" i="3"/>
  <c r="AZ526" i="3" s="1"/>
  <c r="BA514" i="3"/>
  <c r="BA513" i="3"/>
  <c r="BL512" i="3"/>
  <c r="BL510" i="3"/>
  <c r="BA510" i="3"/>
  <c r="BL508" i="3"/>
  <c r="AZ508" i="3" s="1"/>
  <c r="BA500" i="3"/>
  <c r="AZ500" i="3" s="1"/>
  <c r="G499" i="3"/>
  <c r="BA495" i="3"/>
  <c r="AA15" i="37"/>
  <c r="S15" i="37"/>
  <c r="AZ505" i="3"/>
  <c r="AZ539" i="3"/>
  <c r="S11" i="36"/>
  <c r="J31" i="40"/>
  <c r="H31" i="40"/>
  <c r="BA561" i="3"/>
  <c r="BA538" i="3"/>
  <c r="H42" i="33"/>
  <c r="AB42" i="33" s="1"/>
  <c r="J14" i="40"/>
  <c r="F14" i="40"/>
  <c r="S12" i="37"/>
  <c r="AA12" i="37"/>
  <c r="AZ522" i="3"/>
  <c r="AB40" i="39"/>
  <c r="U40" i="39"/>
  <c r="AC23" i="39"/>
  <c r="W23" i="39"/>
  <c r="J37" i="39"/>
  <c r="H37" i="39"/>
  <c r="AB37" i="39" s="1"/>
  <c r="F37" i="39"/>
  <c r="U41" i="33"/>
  <c r="S20" i="36"/>
  <c r="AC35" i="40"/>
  <c r="W35" i="40"/>
  <c r="E101" i="33"/>
  <c r="H32" i="33" s="1"/>
  <c r="S27" i="40"/>
  <c r="AA27" i="40"/>
  <c r="AZ529" i="3"/>
  <c r="AA33" i="21"/>
  <c r="H73" i="43"/>
  <c r="H78" i="43"/>
  <c r="AZ394" i="3"/>
  <c r="AB13" i="34"/>
  <c r="AC14" i="37"/>
  <c r="W14" i="37"/>
  <c r="D50" i="71"/>
  <c r="C51" i="71"/>
  <c r="T51" i="71" s="1"/>
  <c r="AA39" i="39"/>
  <c r="AC33" i="21"/>
  <c r="AA23" i="37"/>
  <c r="U10" i="34"/>
  <c r="S32" i="39"/>
  <c r="H86" i="43"/>
  <c r="AZ325" i="3"/>
  <c r="J44" i="33"/>
  <c r="AC44" i="33" s="1"/>
  <c r="F44" i="33"/>
  <c r="S44" i="33" s="1"/>
  <c r="U27" i="35"/>
  <c r="AB27" i="35"/>
  <c r="D25" i="71"/>
  <c r="C26" i="71"/>
  <c r="W32" i="21"/>
  <c r="D6" i="52"/>
  <c r="W37" i="21"/>
  <c r="AB27" i="40"/>
  <c r="AA36" i="37"/>
  <c r="S36" i="37"/>
  <c r="S21" i="40"/>
  <c r="AZ497" i="3"/>
  <c r="AZ509" i="3"/>
  <c r="H12" i="35"/>
  <c r="J12" i="35"/>
  <c r="W12" i="35" s="1"/>
  <c r="BL568" i="3"/>
  <c r="BL560" i="3"/>
  <c r="BA353" i="3"/>
  <c r="BA212" i="3"/>
  <c r="BA228" i="3"/>
  <c r="BL252" i="3"/>
  <c r="BA255" i="3"/>
  <c r="BL266" i="3"/>
  <c r="G293" i="3"/>
  <c r="BA301" i="3"/>
  <c r="G130" i="3"/>
  <c r="BL21" i="3"/>
  <c r="BA23" i="3"/>
  <c r="BL34" i="3"/>
  <c r="BA36" i="3"/>
  <c r="AZ36" i="3" s="1"/>
  <c r="BA51" i="3"/>
  <c r="D49" i="71"/>
  <c r="BL515" i="3"/>
  <c r="BL523" i="3"/>
  <c r="BL573" i="3"/>
  <c r="G27" i="6"/>
  <c r="F12" i="21"/>
  <c r="BL405" i="3"/>
  <c r="BA447" i="3"/>
  <c r="G457" i="3"/>
  <c r="G472" i="3"/>
  <c r="BL490" i="3"/>
  <c r="BA492" i="3"/>
  <c r="BL350" i="3"/>
  <c r="BA352" i="3"/>
  <c r="BA227" i="3"/>
  <c r="AZ227" i="3" s="1"/>
  <c r="G235" i="3"/>
  <c r="BA267" i="3"/>
  <c r="G279" i="3"/>
  <c r="BL119" i="3"/>
  <c r="AZ119" i="3" s="1"/>
  <c r="G168" i="3"/>
  <c r="G44" i="3"/>
  <c r="G73" i="3"/>
  <c r="BA77" i="3"/>
  <c r="BL101" i="3"/>
  <c r="BA103" i="3"/>
  <c r="G112" i="3"/>
  <c r="AC21" i="21"/>
  <c r="C78" i="71"/>
  <c r="D78" i="71" s="1"/>
  <c r="AB32" i="71"/>
  <c r="F26" i="71"/>
  <c r="BL525" i="3"/>
  <c r="AZ525" i="3" s="1"/>
  <c r="BL545" i="3"/>
  <c r="AZ545" i="3" s="1"/>
  <c r="U9" i="39"/>
  <c r="H39" i="34"/>
  <c r="AB39" i="34" s="1"/>
  <c r="BD5" i="3"/>
  <c r="C5" i="11"/>
  <c r="G400" i="3"/>
  <c r="G413" i="3"/>
  <c r="BA433" i="3"/>
  <c r="AZ433" i="3" s="1"/>
  <c r="G441" i="3"/>
  <c r="BL461" i="3"/>
  <c r="BL348" i="3"/>
  <c r="BA388" i="3"/>
  <c r="G221" i="3"/>
  <c r="BL224" i="3"/>
  <c r="G234" i="3"/>
  <c r="BL237" i="3"/>
  <c r="G247" i="3"/>
  <c r="BA252" i="3"/>
  <c r="G260" i="3"/>
  <c r="BL264" i="3"/>
  <c r="BA266" i="3"/>
  <c r="AZ266" i="3" s="1"/>
  <c r="G290" i="3"/>
  <c r="G115" i="3"/>
  <c r="BL131" i="3"/>
  <c r="AZ131" i="3" s="1"/>
  <c r="BA134" i="3"/>
  <c r="BA145" i="3"/>
  <c r="G152" i="3"/>
  <c r="G206" i="3"/>
  <c r="G43" i="3"/>
  <c r="G56" i="3"/>
  <c r="G83" i="3"/>
  <c r="F62" i="71"/>
  <c r="AJ10" i="43"/>
  <c r="BA404" i="3"/>
  <c r="BA225" i="3"/>
  <c r="BL117" i="3"/>
  <c r="BA47" i="3"/>
  <c r="E74" i="71"/>
  <c r="E73" i="71" s="1"/>
  <c r="AA32" i="71"/>
  <c r="F74" i="71"/>
  <c r="F73" i="71" s="1"/>
  <c r="AF10" i="43"/>
  <c r="BL549" i="3"/>
  <c r="AZ549" i="3" s="1"/>
  <c r="U33" i="35"/>
  <c r="J14" i="35"/>
  <c r="J39" i="40"/>
  <c r="BL582" i="3"/>
  <c r="BA580" i="3"/>
  <c r="G569" i="3"/>
  <c r="BA564" i="3"/>
  <c r="AZ564" i="3" s="1"/>
  <c r="G561" i="3"/>
  <c r="BA556" i="3"/>
  <c r="AZ556" i="3" s="1"/>
  <c r="BL429" i="3"/>
  <c r="G439" i="3"/>
  <c r="G482" i="3"/>
  <c r="BA348" i="3"/>
  <c r="G219" i="3"/>
  <c r="BA224" i="3"/>
  <c r="AZ224" i="3" s="1"/>
  <c r="G245" i="3"/>
  <c r="BL249" i="3"/>
  <c r="G258" i="3"/>
  <c r="BA264" i="3"/>
  <c r="G138" i="3"/>
  <c r="G204" i="3"/>
  <c r="G41" i="3"/>
  <c r="G42" i="3"/>
  <c r="BA46" i="3"/>
  <c r="G54" i="3"/>
  <c r="G55" i="3"/>
  <c r="BL58" i="3"/>
  <c r="G93" i="3"/>
  <c r="D58" i="85"/>
  <c r="E58" i="85" s="1"/>
  <c r="F58" i="85" s="1"/>
  <c r="G58" i="85" s="1"/>
  <c r="H58" i="85" s="1"/>
  <c r="I58" i="85" s="1"/>
  <c r="J58" i="85" s="1"/>
  <c r="K58" i="85" s="1"/>
  <c r="L58" i="85" s="1"/>
  <c r="M58" i="85" s="1"/>
  <c r="N58" i="85" s="1"/>
  <c r="O58" i="85" s="1"/>
  <c r="B70" i="71"/>
  <c r="B69" i="71" s="1"/>
  <c r="G586" i="3"/>
  <c r="BL427" i="3"/>
  <c r="BL456" i="3"/>
  <c r="BA459" i="3"/>
  <c r="AZ459" i="3" s="1"/>
  <c r="BL486" i="3"/>
  <c r="BA154" i="3"/>
  <c r="BL70" i="3"/>
  <c r="C21" i="68"/>
  <c r="E54" i="71"/>
  <c r="E55" i="71" s="1"/>
  <c r="U55" i="71" s="1"/>
  <c r="B66" i="71"/>
  <c r="B65" i="71" s="1"/>
  <c r="F39" i="34"/>
  <c r="S39" i="34" s="1"/>
  <c r="AZ388" i="3"/>
  <c r="AZ342" i="3"/>
  <c r="AZ343" i="3"/>
  <c r="BL499" i="3"/>
  <c r="BL531" i="3"/>
  <c r="BL553" i="3"/>
  <c r="AZ553" i="3" s="1"/>
  <c r="U13" i="33"/>
  <c r="H13" i="35"/>
  <c r="F31" i="33"/>
  <c r="J13" i="21"/>
  <c r="J25" i="34"/>
  <c r="AC25" i="34" s="1"/>
  <c r="AC11" i="40"/>
  <c r="J19" i="33"/>
  <c r="AC19" i="33" s="1"/>
  <c r="U8" i="35"/>
  <c r="G585" i="3"/>
  <c r="BL580" i="3"/>
  <c r="AZ580" i="3" s="1"/>
  <c r="BA559" i="3"/>
  <c r="BM5" i="3"/>
  <c r="G422" i="3"/>
  <c r="BL440" i="3"/>
  <c r="G450" i="3"/>
  <c r="G467" i="3"/>
  <c r="G366" i="3"/>
  <c r="G217" i="3"/>
  <c r="G218" i="3"/>
  <c r="BA222" i="3"/>
  <c r="G256" i="3"/>
  <c r="BA261" i="3"/>
  <c r="BA128" i="3"/>
  <c r="AZ128" i="3" s="1"/>
  <c r="G136" i="3"/>
  <c r="G148" i="3"/>
  <c r="G175" i="3"/>
  <c r="G188" i="3"/>
  <c r="G202" i="3"/>
  <c r="G52" i="3"/>
  <c r="G91" i="3"/>
  <c r="BA112" i="3"/>
  <c r="E108" i="43"/>
  <c r="B25" i="71"/>
  <c r="B26" i="71" s="1"/>
  <c r="B27" i="71" s="1"/>
  <c r="S27" i="71" s="1"/>
  <c r="V63" i="71"/>
  <c r="F66" i="71"/>
  <c r="F65" i="71" s="1"/>
  <c r="H9" i="36"/>
  <c r="BA516" i="3"/>
  <c r="BL494" i="3"/>
  <c r="BA427" i="3"/>
  <c r="BL483" i="3"/>
  <c r="BL330" i="3"/>
  <c r="AZ330" i="3" s="1"/>
  <c r="BA332" i="3"/>
  <c r="BA152" i="3"/>
  <c r="AZ152" i="3" s="1"/>
  <c r="BA70" i="3"/>
  <c r="AZ70" i="3" s="1"/>
  <c r="C42" i="71"/>
  <c r="D42" i="71" s="1"/>
  <c r="E46" i="71"/>
  <c r="E47" i="71" s="1"/>
  <c r="U47" i="71" s="1"/>
  <c r="AZ352" i="3"/>
  <c r="AZ326" i="3"/>
  <c r="BL503" i="3"/>
  <c r="C15" i="39"/>
  <c r="G583" i="3"/>
  <c r="BA581" i="3"/>
  <c r="BL575" i="3"/>
  <c r="G575" i="3"/>
  <c r="BA573" i="3"/>
  <c r="BA570" i="3"/>
  <c r="AZ570" i="3" s="1"/>
  <c r="BA565" i="3"/>
  <c r="G559" i="3"/>
  <c r="G407" i="3"/>
  <c r="BL410" i="3"/>
  <c r="G420" i="3"/>
  <c r="G435" i="3"/>
  <c r="BA440" i="3"/>
  <c r="BL481" i="3"/>
  <c r="AZ481" i="3" s="1"/>
  <c r="BL368" i="3"/>
  <c r="BL219" i="3"/>
  <c r="BA220" i="3"/>
  <c r="BL245" i="3"/>
  <c r="BL257" i="3"/>
  <c r="BA259" i="3"/>
  <c r="G267" i="3"/>
  <c r="BA126" i="3"/>
  <c r="BL191" i="3"/>
  <c r="AZ191" i="3" s="1"/>
  <c r="G50" i="3"/>
  <c r="BL92" i="3"/>
  <c r="S29" i="39"/>
  <c r="C81" i="71"/>
  <c r="D81" i="71" s="1"/>
  <c r="F44" i="39"/>
  <c r="BA425" i="3"/>
  <c r="BL437" i="3"/>
  <c r="G446" i="3"/>
  <c r="BL450" i="3"/>
  <c r="BA482" i="3"/>
  <c r="G491" i="3"/>
  <c r="G313" i="3"/>
  <c r="BL328" i="3"/>
  <c r="AZ328" i="3" s="1"/>
  <c r="G351" i="3"/>
  <c r="G226" i="3"/>
  <c r="BL230" i="3"/>
  <c r="BL272" i="3"/>
  <c r="G283" i="3"/>
  <c r="G120" i="3"/>
  <c r="G199" i="3"/>
  <c r="G48" i="3"/>
  <c r="BA67" i="3"/>
  <c r="G76" i="3"/>
  <c r="G102" i="3"/>
  <c r="BA109" i="3"/>
  <c r="C25" i="40"/>
  <c r="B59" i="71"/>
  <c r="S59" i="71" s="1"/>
  <c r="S27" i="35"/>
  <c r="U26" i="35"/>
  <c r="S26" i="35"/>
  <c r="J26" i="35"/>
  <c r="AC20" i="35"/>
  <c r="AB20" i="35"/>
  <c r="AA16" i="35"/>
  <c r="W16" i="35"/>
  <c r="U14" i="35"/>
  <c r="J25" i="33"/>
  <c r="AC25" i="33" s="1"/>
  <c r="F25" i="33"/>
  <c r="AA25" i="33" s="1"/>
  <c r="AA12" i="33"/>
  <c r="AC28" i="34"/>
  <c r="F28" i="34"/>
  <c r="AA28" i="34" s="1"/>
  <c r="W29" i="34"/>
  <c r="AA29" i="34"/>
  <c r="U29" i="34"/>
  <c r="AB42" i="34"/>
  <c r="AC42" i="34"/>
  <c r="AZ560" i="3"/>
  <c r="D126" i="9"/>
  <c r="I14" i="74" s="1"/>
  <c r="B8" i="74" s="1"/>
  <c r="AC9" i="21"/>
  <c r="AZ559" i="3"/>
  <c r="AZ565" i="3"/>
  <c r="S14" i="33"/>
  <c r="AA14" i="33"/>
  <c r="AC11" i="36"/>
  <c r="W11" i="36"/>
  <c r="F124" i="34"/>
  <c r="G124" i="34" s="1"/>
  <c r="H124" i="34" s="1"/>
  <c r="I124" i="34" s="1"/>
  <c r="J124" i="34" s="1"/>
  <c r="K124" i="34" s="1"/>
  <c r="L124" i="34" s="1"/>
  <c r="M124" i="34" s="1"/>
  <c r="H43" i="34"/>
  <c r="J29" i="33"/>
  <c r="F29" i="33"/>
  <c r="H45" i="33"/>
  <c r="F45" i="33"/>
  <c r="H30" i="34"/>
  <c r="J30" i="34"/>
  <c r="H13" i="37"/>
  <c r="AB13" i="37" s="1"/>
  <c r="J13" i="37"/>
  <c r="H38" i="37"/>
  <c r="F38" i="37"/>
  <c r="AA40" i="39"/>
  <c r="S40" i="39"/>
  <c r="H13" i="40"/>
  <c r="F13" i="40"/>
  <c r="AC32" i="40"/>
  <c r="W32" i="40"/>
  <c r="H40" i="40"/>
  <c r="J40" i="40"/>
  <c r="AA34" i="37"/>
  <c r="S34" i="37"/>
  <c r="BA569" i="3"/>
  <c r="AZ569" i="3" s="1"/>
  <c r="BA568" i="3"/>
  <c r="BA563" i="3"/>
  <c r="H84" i="43"/>
  <c r="H85" i="43"/>
  <c r="AA43" i="21"/>
  <c r="W41" i="21"/>
  <c r="AC11" i="33"/>
  <c r="AB29" i="33"/>
  <c r="AB17" i="37"/>
  <c r="AC12" i="35"/>
  <c r="AA11" i="35"/>
  <c r="AA10" i="35"/>
  <c r="S32" i="35"/>
  <c r="U10" i="36"/>
  <c r="AB20" i="36"/>
  <c r="AB14" i="36"/>
  <c r="AA26" i="36"/>
  <c r="U12" i="39"/>
  <c r="S15" i="39"/>
  <c r="U37" i="39"/>
  <c r="AC17" i="40"/>
  <c r="AC13" i="34"/>
  <c r="F43" i="34"/>
  <c r="S43" i="34" s="1"/>
  <c r="AC11" i="39"/>
  <c r="U43" i="21"/>
  <c r="AZ387" i="3"/>
  <c r="AZ373" i="3"/>
  <c r="AZ310" i="3"/>
  <c r="AZ382" i="3"/>
  <c r="AZ356" i="3"/>
  <c r="AZ355" i="3"/>
  <c r="AZ334" i="3"/>
  <c r="AZ305" i="3"/>
  <c r="AZ389" i="3"/>
  <c r="AZ376" i="3"/>
  <c r="AZ309" i="3"/>
  <c r="W9" i="39"/>
  <c r="W14" i="39"/>
  <c r="U12" i="37"/>
  <c r="F12" i="39"/>
  <c r="F36" i="35"/>
  <c r="AC46" i="21"/>
  <c r="W44" i="21"/>
  <c r="W44" i="33"/>
  <c r="W26" i="37"/>
  <c r="AC33" i="36"/>
  <c r="F32" i="40"/>
  <c r="F24" i="35"/>
  <c r="AZ533" i="3"/>
  <c r="AZ555" i="3"/>
  <c r="BL561" i="3"/>
  <c r="BL567" i="3"/>
  <c r="BL583" i="3"/>
  <c r="AZ583" i="3" s="1"/>
  <c r="G557" i="3"/>
  <c r="AZ527" i="3"/>
  <c r="AZ543" i="3"/>
  <c r="AZ547" i="3"/>
  <c r="AZ538" i="3"/>
  <c r="AZ534" i="3"/>
  <c r="H14" i="39"/>
  <c r="H28" i="37"/>
  <c r="F13" i="37"/>
  <c r="H11" i="35"/>
  <c r="H32" i="34"/>
  <c r="H14" i="34"/>
  <c r="J45" i="33"/>
  <c r="J31" i="33"/>
  <c r="F13" i="33"/>
  <c r="S13" i="33" s="1"/>
  <c r="J43" i="34"/>
  <c r="AC43" i="34" s="1"/>
  <c r="AC8" i="35"/>
  <c r="AB8" i="36"/>
  <c r="AB30" i="35"/>
  <c r="U30" i="35"/>
  <c r="AB34" i="21"/>
  <c r="U34" i="21"/>
  <c r="BA586" i="3"/>
  <c r="H30" i="21"/>
  <c r="J30" i="21"/>
  <c r="AA38" i="33"/>
  <c r="S38" i="33"/>
  <c r="E77" i="33"/>
  <c r="F77" i="33" s="1"/>
  <c r="G77" i="33" s="1"/>
  <c r="J15" i="33"/>
  <c r="AC15" i="33" s="1"/>
  <c r="H15" i="33"/>
  <c r="AB15" i="33" s="1"/>
  <c r="F28" i="33"/>
  <c r="AA28" i="33" s="1"/>
  <c r="H28" i="33"/>
  <c r="U28" i="33" s="1"/>
  <c r="J26" i="33"/>
  <c r="W26" i="33" s="1"/>
  <c r="F26" i="33"/>
  <c r="AA26" i="33" s="1"/>
  <c r="H12" i="34"/>
  <c r="J9" i="34"/>
  <c r="F9" i="34"/>
  <c r="AA9" i="34" s="1"/>
  <c r="E80" i="34"/>
  <c r="H17" i="34"/>
  <c r="J17" i="34"/>
  <c r="W17" i="34" s="1"/>
  <c r="E86" i="34"/>
  <c r="F86" i="34" s="1"/>
  <c r="G86" i="34" s="1"/>
  <c r="H23" i="34"/>
  <c r="U23" i="34" s="1"/>
  <c r="F109" i="34"/>
  <c r="G109" i="34" s="1"/>
  <c r="H109" i="34" s="1"/>
  <c r="I109" i="34" s="1"/>
  <c r="J109" i="34" s="1"/>
  <c r="K109" i="34" s="1"/>
  <c r="L109" i="34" s="1"/>
  <c r="M109" i="34" s="1"/>
  <c r="H36" i="34"/>
  <c r="U36" i="34" s="1"/>
  <c r="AC30" i="36"/>
  <c r="H13" i="36"/>
  <c r="F13" i="36"/>
  <c r="J24" i="36"/>
  <c r="H24" i="36"/>
  <c r="H34" i="36"/>
  <c r="J34" i="36"/>
  <c r="W34" i="36" s="1"/>
  <c r="F34" i="36"/>
  <c r="H33" i="36"/>
  <c r="F33" i="36"/>
  <c r="AA10" i="37"/>
  <c r="S10" i="37"/>
  <c r="F25" i="37"/>
  <c r="J43" i="39"/>
  <c r="H43" i="39"/>
  <c r="W9" i="40"/>
  <c r="AC9" i="40"/>
  <c r="AA34" i="40"/>
  <c r="S34" i="40"/>
  <c r="F40" i="40"/>
  <c r="BA515" i="3"/>
  <c r="AZ515" i="3" s="1"/>
  <c r="BA507" i="3"/>
  <c r="BL506" i="3"/>
  <c r="AZ506" i="3" s="1"/>
  <c r="BL504" i="3"/>
  <c r="AZ504" i="3" s="1"/>
  <c r="BA494" i="3"/>
  <c r="BA399" i="3"/>
  <c r="G401" i="3"/>
  <c r="BA403" i="3"/>
  <c r="AZ403" i="3" s="1"/>
  <c r="BL403" i="3"/>
  <c r="G404" i="3"/>
  <c r="BL407" i="3"/>
  <c r="BA412" i="3"/>
  <c r="BL413" i="3"/>
  <c r="G416" i="3"/>
  <c r="BA416" i="3"/>
  <c r="G417" i="3"/>
  <c r="BA417" i="3"/>
  <c r="G418" i="3"/>
  <c r="BL418" i="3"/>
  <c r="G419" i="3"/>
  <c r="BL420" i="3"/>
  <c r="G421" i="3"/>
  <c r="G424" i="3"/>
  <c r="BL426" i="3"/>
  <c r="G427" i="3"/>
  <c r="BA428" i="3"/>
  <c r="BL430" i="3"/>
  <c r="G431" i="3"/>
  <c r="BA432" i="3"/>
  <c r="G433" i="3"/>
  <c r="BA434" i="3"/>
  <c r="AZ434" i="3" s="1"/>
  <c r="BL436" i="3"/>
  <c r="G437" i="3"/>
  <c r="BL439" i="3"/>
  <c r="G442" i="3"/>
  <c r="BL442" i="3"/>
  <c r="G444" i="3"/>
  <c r="BL446" i="3"/>
  <c r="G447" i="3"/>
  <c r="BL449" i="3"/>
  <c r="G582" i="3"/>
  <c r="G578" i="3"/>
  <c r="BT5" i="3"/>
  <c r="BA577" i="3"/>
  <c r="BO5" i="3"/>
  <c r="BB5" i="3"/>
  <c r="BI5" i="3"/>
  <c r="BR5" i="3"/>
  <c r="G28" i="6" s="1"/>
  <c r="BA574" i="3"/>
  <c r="H5" i="3"/>
  <c r="BA572" i="3"/>
  <c r="AZ572" i="3" s="1"/>
  <c r="BL571" i="3"/>
  <c r="BC5" i="3"/>
  <c r="BK5" i="3"/>
  <c r="BL558" i="3"/>
  <c r="BL546" i="3"/>
  <c r="AZ546" i="3" s="1"/>
  <c r="BL544" i="3"/>
  <c r="BA544" i="3"/>
  <c r="BA541" i="3"/>
  <c r="AZ541" i="3" s="1"/>
  <c r="BA535" i="3"/>
  <c r="BA532" i="3"/>
  <c r="AZ532" i="3" s="1"/>
  <c r="S22" i="31"/>
  <c r="R22" i="31" s="1"/>
  <c r="G14" i="3"/>
  <c r="BL16" i="3"/>
  <c r="AZ16" i="3" s="1"/>
  <c r="BA409" i="3"/>
  <c r="BA411" i="3"/>
  <c r="BA414" i="3"/>
  <c r="BL415" i="3"/>
  <c r="BL431" i="3"/>
  <c r="BA441" i="3"/>
  <c r="BA449" i="3"/>
  <c r="BL452" i="3"/>
  <c r="BL451" i="3"/>
  <c r="G452" i="3"/>
  <c r="G456" i="3"/>
  <c r="BL457" i="3"/>
  <c r="G458" i="3"/>
  <c r="BA460" i="3"/>
  <c r="BL462" i="3"/>
  <c r="G465" i="3"/>
  <c r="G469" i="3"/>
  <c r="G473" i="3"/>
  <c r="G476" i="3"/>
  <c r="G479" i="3"/>
  <c r="BA480" i="3"/>
  <c r="G481" i="3"/>
  <c r="BA484" i="3"/>
  <c r="BL484" i="3"/>
  <c r="G485" i="3"/>
  <c r="G490" i="3"/>
  <c r="G492" i="3"/>
  <c r="G318" i="3"/>
  <c r="BA323" i="3"/>
  <c r="AZ323" i="3" s="1"/>
  <c r="BA331" i="3"/>
  <c r="AZ331" i="3" s="1"/>
  <c r="G345" i="3"/>
  <c r="G347" i="3"/>
  <c r="G362" i="3"/>
  <c r="G369" i="3"/>
  <c r="BA374" i="3"/>
  <c r="AZ374" i="3" s="1"/>
  <c r="G378" i="3"/>
  <c r="G382" i="3"/>
  <c r="G384" i="3"/>
  <c r="G395" i="3"/>
  <c r="BL396" i="3"/>
  <c r="BL209" i="3"/>
  <c r="BL211" i="3"/>
  <c r="G212" i="3"/>
  <c r="BA215" i="3"/>
  <c r="BA221" i="3"/>
  <c r="BL221" i="3"/>
  <c r="BA223" i="3"/>
  <c r="BL223" i="3"/>
  <c r="BA226" i="3"/>
  <c r="BL226" i="3"/>
  <c r="G227" i="3"/>
  <c r="G230" i="3"/>
  <c r="BA232" i="3"/>
  <c r="BA235" i="3"/>
  <c r="BL236" i="3"/>
  <c r="G237" i="3"/>
  <c r="G239" i="3"/>
  <c r="BA239" i="3"/>
  <c r="BL240" i="3"/>
  <c r="BL242" i="3"/>
  <c r="BA251" i="3"/>
  <c r="BA253" i="3"/>
  <c r="AZ253" i="3" s="1"/>
  <c r="BL253" i="3"/>
  <c r="G255" i="3"/>
  <c r="BA256" i="3"/>
  <c r="BL256" i="3"/>
  <c r="G257" i="3"/>
  <c r="BA258" i="3"/>
  <c r="BA260" i="3"/>
  <c r="G261" i="3"/>
  <c r="BA262" i="3"/>
  <c r="G263" i="3"/>
  <c r="G264" i="3"/>
  <c r="BA265" i="3"/>
  <c r="AZ265" i="3" s="1"/>
  <c r="BL265" i="3"/>
  <c r="G266" i="3"/>
  <c r="BA269" i="3"/>
  <c r="BL269" i="3"/>
  <c r="BL273" i="3"/>
  <c r="BA276" i="3"/>
  <c r="G282" i="3"/>
  <c r="G286" i="3"/>
  <c r="BL286" i="3"/>
  <c r="G288" i="3"/>
  <c r="BL288" i="3"/>
  <c r="G291" i="3"/>
  <c r="BA294" i="3"/>
  <c r="G295" i="3"/>
  <c r="BL299" i="3"/>
  <c r="G302" i="3"/>
  <c r="G114" i="3"/>
  <c r="G116" i="3"/>
  <c r="G119" i="3"/>
  <c r="BA121" i="3"/>
  <c r="BA122" i="3"/>
  <c r="BL122" i="3"/>
  <c r="G123" i="3"/>
  <c r="BA125" i="3"/>
  <c r="G126" i="3"/>
  <c r="G127" i="3"/>
  <c r="BA129" i="3"/>
  <c r="G131" i="3"/>
  <c r="G135" i="3"/>
  <c r="G143" i="3"/>
  <c r="BA146" i="3"/>
  <c r="BL147" i="3"/>
  <c r="AZ147" i="3" s="1"/>
  <c r="BL150" i="3"/>
  <c r="BA153" i="3"/>
  <c r="BL153" i="3"/>
  <c r="BA157" i="3"/>
  <c r="G158" i="3"/>
  <c r="BA158" i="3"/>
  <c r="BA161" i="3"/>
  <c r="G163" i="3"/>
  <c r="BA165" i="3"/>
  <c r="G166" i="3"/>
  <c r="BL167" i="3"/>
  <c r="AZ167" i="3" s="1"/>
  <c r="G172" i="3"/>
  <c r="G174" i="3"/>
  <c r="BL174" i="3"/>
  <c r="G179" i="3"/>
  <c r="BA181" i="3"/>
  <c r="G187" i="3"/>
  <c r="G192" i="3"/>
  <c r="BA192" i="3"/>
  <c r="AZ192" i="3" s="1"/>
  <c r="BL194" i="3"/>
  <c r="G196" i="3"/>
  <c r="G203" i="3"/>
  <c r="G205" i="3"/>
  <c r="BL206" i="3"/>
  <c r="G207" i="3"/>
  <c r="G27" i="3"/>
  <c r="BA30" i="3"/>
  <c r="G31" i="3"/>
  <c r="G33" i="3"/>
  <c r="G36" i="3"/>
  <c r="BA37" i="3"/>
  <c r="BL39" i="3"/>
  <c r="BA41" i="3"/>
  <c r="BL45" i="3"/>
  <c r="BL48" i="3"/>
  <c r="G49" i="3"/>
  <c r="C30" i="71"/>
  <c r="D29" i="71"/>
  <c r="C46" i="71"/>
  <c r="D45" i="71"/>
  <c r="BA464" i="3"/>
  <c r="BA474" i="3"/>
  <c r="BL487" i="3"/>
  <c r="BL324" i="3"/>
  <c r="AZ324" i="3" s="1"/>
  <c r="BA339" i="3"/>
  <c r="AZ339" i="3" s="1"/>
  <c r="BL381" i="3"/>
  <c r="AZ381" i="3" s="1"/>
  <c r="BA385" i="3"/>
  <c r="BA392" i="3"/>
  <c r="AZ392" i="3" s="1"/>
  <c r="BL393" i="3"/>
  <c r="AZ393" i="3" s="1"/>
  <c r="BL395" i="3"/>
  <c r="BL208" i="3"/>
  <c r="BA214" i="3"/>
  <c r="BL216" i="3"/>
  <c r="BA229" i="3"/>
  <c r="AZ229" i="3" s="1"/>
  <c r="BL243" i="3"/>
  <c r="BA268" i="3"/>
  <c r="AZ268" i="3" s="1"/>
  <c r="BA278" i="3"/>
  <c r="BA284" i="3"/>
  <c r="BL285" i="3"/>
  <c r="BL287" i="3"/>
  <c r="BL291" i="3"/>
  <c r="BA295" i="3"/>
  <c r="BL298" i="3"/>
  <c r="BL300" i="3"/>
  <c r="BL139" i="3"/>
  <c r="AZ139" i="3" s="1"/>
  <c r="BA142" i="3"/>
  <c r="BA156" i="3"/>
  <c r="AZ156" i="3" s="1"/>
  <c r="BL159" i="3"/>
  <c r="AZ159" i="3" s="1"/>
  <c r="BA164" i="3"/>
  <c r="AZ164" i="3" s="1"/>
  <c r="BA170" i="3"/>
  <c r="BA180" i="3"/>
  <c r="AZ180" i="3" s="1"/>
  <c r="BL183" i="3"/>
  <c r="AZ183" i="3" s="1"/>
  <c r="BL193" i="3"/>
  <c r="BA201" i="3"/>
  <c r="BL203" i="3"/>
  <c r="AZ203" i="3" s="1"/>
  <c r="BL205" i="3"/>
  <c r="BL38" i="3"/>
  <c r="BL73" i="3"/>
  <c r="BL75" i="3"/>
  <c r="BL88" i="3"/>
  <c r="BA106" i="3"/>
  <c r="G19" i="77"/>
  <c r="C7" i="81"/>
  <c r="C59" i="81" s="1"/>
  <c r="C7" i="80"/>
  <c r="C58" i="80" s="1"/>
  <c r="X22" i="71"/>
  <c r="Y31" i="71"/>
  <c r="Z31" i="71" s="1"/>
  <c r="F54" i="71"/>
  <c r="F55" i="71" s="1"/>
  <c r="V55" i="71" s="1"/>
  <c r="AI10" i="43"/>
  <c r="P61" i="15"/>
  <c r="P61" i="67"/>
  <c r="BA49" i="3"/>
  <c r="G53" i="3"/>
  <c r="G57" i="3"/>
  <c r="BA57" i="3"/>
  <c r="BA62" i="3"/>
  <c r="G63" i="3"/>
  <c r="BA63" i="3"/>
  <c r="AZ63" i="3" s="1"/>
  <c r="BL64" i="3"/>
  <c r="G65" i="3"/>
  <c r="G66" i="3"/>
  <c r="G67" i="3"/>
  <c r="G70" i="3"/>
  <c r="G71" i="3"/>
  <c r="G72" i="3"/>
  <c r="BL74" i="3"/>
  <c r="G75" i="3"/>
  <c r="BA76" i="3"/>
  <c r="BA83" i="3"/>
  <c r="BA86" i="3"/>
  <c r="BL87" i="3"/>
  <c r="BL89" i="3"/>
  <c r="BA92" i="3"/>
  <c r="BA94" i="3"/>
  <c r="G95" i="3"/>
  <c r="G96" i="3"/>
  <c r="G98" i="3"/>
  <c r="BA99" i="3"/>
  <c r="BL100" i="3"/>
  <c r="G101" i="3"/>
  <c r="G103" i="3"/>
  <c r="G106" i="3"/>
  <c r="G108" i="3"/>
  <c r="BL108" i="3"/>
  <c r="G109" i="3"/>
  <c r="G111" i="3"/>
  <c r="L100" i="43"/>
  <c r="K108" i="43"/>
  <c r="I20" i="66"/>
  <c r="W18" i="36"/>
  <c r="U25" i="40"/>
  <c r="U18" i="36"/>
  <c r="AA21" i="21"/>
  <c r="B31" i="71"/>
  <c r="S31" i="71" s="1"/>
  <c r="AB20" i="71"/>
  <c r="Y27" i="71"/>
  <c r="Z27" i="71" s="1"/>
  <c r="X20" i="71"/>
  <c r="E38" i="71"/>
  <c r="E39" i="71" s="1"/>
  <c r="U39" i="71" s="1"/>
  <c r="C58" i="71"/>
  <c r="AA47" i="34"/>
  <c r="J35" i="33"/>
  <c r="W35" i="33" s="1"/>
  <c r="H35" i="33"/>
  <c r="U35" i="33" s="1"/>
  <c r="F35" i="33"/>
  <c r="AA35" i="33" s="1"/>
  <c r="C27" i="39"/>
  <c r="AA43" i="34"/>
  <c r="AC38" i="34"/>
  <c r="W37" i="34"/>
  <c r="S39" i="33"/>
  <c r="U39" i="33"/>
  <c r="U43" i="33"/>
  <c r="S43" i="33"/>
  <c r="W43" i="33"/>
  <c r="S28" i="33"/>
  <c r="AC28" i="33"/>
  <c r="AB28" i="33"/>
  <c r="AA27" i="33"/>
  <c r="AC27" i="33"/>
  <c r="AB27" i="33"/>
  <c r="AA36" i="33"/>
  <c r="AA37" i="33"/>
  <c r="AB37" i="33"/>
  <c r="AC37" i="33"/>
  <c r="W34" i="33"/>
  <c r="AA34" i="33"/>
  <c r="AB34" i="33"/>
  <c r="U11" i="33"/>
  <c r="S25" i="33"/>
  <c r="U25" i="33"/>
  <c r="U23" i="33"/>
  <c r="W23" i="33"/>
  <c r="AC21" i="33"/>
  <c r="U19" i="33"/>
  <c r="AA19" i="33"/>
  <c r="W19" i="33"/>
  <c r="AA17" i="33"/>
  <c r="U17" i="33"/>
  <c r="AC17" i="33"/>
  <c r="S15" i="33"/>
  <c r="AC45" i="34"/>
  <c r="AB45" i="34"/>
  <c r="S33" i="34"/>
  <c r="AB33" i="34"/>
  <c r="W8" i="33"/>
  <c r="U8" i="33"/>
  <c r="S8" i="33"/>
  <c r="S42" i="34"/>
  <c r="AC44" i="34"/>
  <c r="U44" i="34"/>
  <c r="W43" i="34"/>
  <c r="AA40" i="34"/>
  <c r="W35" i="34"/>
  <c r="S35" i="34"/>
  <c r="AZ501" i="3"/>
  <c r="B38" i="72"/>
  <c r="D20" i="53"/>
  <c r="B40" i="72" s="1"/>
  <c r="F29" i="6"/>
  <c r="S20" i="35"/>
  <c r="BP5" i="3"/>
  <c r="BF5" i="3"/>
  <c r="AZ336" i="3"/>
  <c r="AZ311" i="3"/>
  <c r="G573" i="3"/>
  <c r="AZ503" i="3"/>
  <c r="BA571" i="3"/>
  <c r="AZ524" i="3"/>
  <c r="BL576" i="3"/>
  <c r="AB46" i="33"/>
  <c r="W39" i="33"/>
  <c r="AC39" i="33"/>
  <c r="C7" i="43"/>
  <c r="BH5" i="3"/>
  <c r="AZ379" i="3"/>
  <c r="AZ573" i="3"/>
  <c r="AC33" i="37"/>
  <c r="W33" i="37"/>
  <c r="S39" i="37"/>
  <c r="AA39" i="37"/>
  <c r="AB9" i="36"/>
  <c r="U9" i="36"/>
  <c r="AZ516" i="3"/>
  <c r="AZ507" i="3"/>
  <c r="AZ494" i="3"/>
  <c r="AQ13" i="1"/>
  <c r="AB13" i="39"/>
  <c r="U23" i="21"/>
  <c r="U36" i="33"/>
  <c r="AC19" i="37"/>
  <c r="S32" i="21"/>
  <c r="AA19" i="37"/>
  <c r="AB9" i="35"/>
  <c r="AC26" i="21"/>
  <c r="W33" i="34"/>
  <c r="H53" i="43"/>
  <c r="S23" i="35"/>
  <c r="AB19" i="40"/>
  <c r="U35" i="40"/>
  <c r="AZ327" i="3"/>
  <c r="AZ511" i="3"/>
  <c r="BA575" i="3"/>
  <c r="AZ528" i="3"/>
  <c r="AZ584" i="3"/>
  <c r="AC22" i="35"/>
  <c r="W22" i="35"/>
  <c r="AZ535" i="3"/>
  <c r="H49" i="43"/>
  <c r="W23" i="37"/>
  <c r="U30" i="40"/>
  <c r="AC14" i="34"/>
  <c r="AB33" i="21"/>
  <c r="U28" i="34"/>
  <c r="AA9" i="37"/>
  <c r="AA25" i="35"/>
  <c r="S25" i="39"/>
  <c r="AZ329" i="3"/>
  <c r="AZ566" i="3"/>
  <c r="AZ530" i="3"/>
  <c r="AA14" i="37"/>
  <c r="U12" i="33"/>
  <c r="AB12" i="33"/>
  <c r="AC28" i="35"/>
  <c r="W28" i="35"/>
  <c r="F46" i="34"/>
  <c r="S46" i="34" s="1"/>
  <c r="J46" i="34"/>
  <c r="AA10" i="36"/>
  <c r="S10" i="36"/>
  <c r="AZ568" i="3"/>
  <c r="G562" i="3"/>
  <c r="AC32" i="39"/>
  <c r="H48" i="43"/>
  <c r="AC13" i="40"/>
  <c r="AZ561" i="3"/>
  <c r="AZ552" i="3"/>
  <c r="AZ587" i="3"/>
  <c r="U12" i="35"/>
  <c r="AB12" i="35"/>
  <c r="W27" i="35"/>
  <c r="AC27" i="35"/>
  <c r="H35" i="39"/>
  <c r="F35" i="39"/>
  <c r="W10" i="34"/>
  <c r="AB32" i="39"/>
  <c r="H51" i="43"/>
  <c r="S11" i="33"/>
  <c r="AC34" i="37"/>
  <c r="H56" i="43"/>
  <c r="AC11" i="21"/>
  <c r="AC15" i="37"/>
  <c r="AA19" i="40"/>
  <c r="S10" i="33"/>
  <c r="BE5" i="3"/>
  <c r="AZ313" i="3"/>
  <c r="AZ380" i="3"/>
  <c r="AZ341" i="3"/>
  <c r="AZ523" i="3"/>
  <c r="BL574" i="3"/>
  <c r="AB31" i="33"/>
  <c r="AB11" i="36"/>
  <c r="AA31" i="36"/>
  <c r="S31" i="36"/>
  <c r="J33" i="40"/>
  <c r="H33" i="40"/>
  <c r="D125" i="9"/>
  <c r="D11" i="52" s="1"/>
  <c r="H55" i="43"/>
  <c r="AZ512" i="3"/>
  <c r="AZ536" i="3"/>
  <c r="BA576" i="3"/>
  <c r="J28" i="21"/>
  <c r="H28" i="21"/>
  <c r="F28" i="21"/>
  <c r="G17" i="43"/>
  <c r="D17" i="53"/>
  <c r="B36" i="72" s="1"/>
  <c r="AA23" i="33"/>
  <c r="AC10" i="37"/>
  <c r="AA29" i="21"/>
  <c r="AC13" i="33"/>
  <c r="BQ5" i="3"/>
  <c r="F28" i="6" s="1"/>
  <c r="AZ369" i="3"/>
  <c r="AZ357" i="3"/>
  <c r="AZ377" i="3"/>
  <c r="AZ364" i="3"/>
  <c r="AZ351" i="3"/>
  <c r="AZ304" i="3"/>
  <c r="BL577" i="3"/>
  <c r="AZ577" i="3" s="1"/>
  <c r="AZ495" i="3"/>
  <c r="AZ514" i="3"/>
  <c r="AZ578" i="3"/>
  <c r="AC35" i="39"/>
  <c r="W35" i="39"/>
  <c r="B71" i="43"/>
  <c r="C21" i="39"/>
  <c r="H12" i="36"/>
  <c r="J12" i="36"/>
  <c r="F12" i="36"/>
  <c r="AB14" i="37"/>
  <c r="U14" i="37"/>
  <c r="AA38" i="40"/>
  <c r="S38" i="40"/>
  <c r="U23" i="37"/>
  <c r="AZ318" i="3"/>
  <c r="AZ518" i="3"/>
  <c r="AA40" i="21"/>
  <c r="S40" i="21"/>
  <c r="AA9" i="33"/>
  <c r="S9" i="33"/>
  <c r="H54" i="43"/>
  <c r="T13" i="1"/>
  <c r="AB8" i="34"/>
  <c r="U32" i="37"/>
  <c r="AZ390" i="3"/>
  <c r="AZ338" i="3"/>
  <c r="AZ499" i="3"/>
  <c r="AZ531" i="3"/>
  <c r="AZ520" i="3"/>
  <c r="AZ582" i="3"/>
  <c r="W11" i="35"/>
  <c r="AA41" i="33"/>
  <c r="H9" i="33"/>
  <c r="J9" i="33"/>
  <c r="AC28" i="36"/>
  <c r="W28" i="36"/>
  <c r="F32" i="36"/>
  <c r="J32" i="36"/>
  <c r="U39" i="40"/>
  <c r="AB39" i="40"/>
  <c r="AB27" i="37"/>
  <c r="W16" i="36"/>
  <c r="AC16" i="36"/>
  <c r="S38" i="39"/>
  <c r="BL585" i="3"/>
  <c r="AZ585" i="3" s="1"/>
  <c r="J23" i="35"/>
  <c r="J25" i="37"/>
  <c r="AZ418" i="3"/>
  <c r="J45" i="39"/>
  <c r="G402" i="3"/>
  <c r="BA422" i="3"/>
  <c r="AZ422" i="3" s="1"/>
  <c r="BA424" i="3"/>
  <c r="BA426" i="3"/>
  <c r="AZ426" i="3" s="1"/>
  <c r="BL428" i="3"/>
  <c r="AZ428" i="3" s="1"/>
  <c r="BA431" i="3"/>
  <c r="AZ431" i="3" s="1"/>
  <c r="BL435" i="3"/>
  <c r="BL438" i="3"/>
  <c r="BL443" i="3"/>
  <c r="BA453" i="3"/>
  <c r="BA456" i="3"/>
  <c r="AZ456" i="3" s="1"/>
  <c r="BA457" i="3"/>
  <c r="AZ457" i="3" s="1"/>
  <c r="BA458" i="3"/>
  <c r="BL460" i="3"/>
  <c r="BA465" i="3"/>
  <c r="BL466" i="3"/>
  <c r="BA316" i="3"/>
  <c r="BA240" i="3"/>
  <c r="AZ240" i="3" s="1"/>
  <c r="BL250" i="3"/>
  <c r="AA29" i="71"/>
  <c r="AA30" i="71"/>
  <c r="AA31" i="71"/>
  <c r="AA26" i="71"/>
  <c r="C54" i="71"/>
  <c r="D53" i="71"/>
  <c r="F26" i="37"/>
  <c r="BL548" i="3"/>
  <c r="BA421" i="3"/>
  <c r="BA430" i="3"/>
  <c r="BL441" i="3"/>
  <c r="AZ441" i="3" s="1"/>
  <c r="BA445" i="3"/>
  <c r="BA446" i="3"/>
  <c r="AZ446" i="3" s="1"/>
  <c r="BA448" i="3"/>
  <c r="AZ448" i="3" s="1"/>
  <c r="C22" i="71"/>
  <c r="D23" i="71"/>
  <c r="U23" i="71" s="1"/>
  <c r="T23" i="71"/>
  <c r="BL557" i="3"/>
  <c r="AZ562" i="3"/>
  <c r="AC34" i="36"/>
  <c r="F45" i="39"/>
  <c r="F12" i="35"/>
  <c r="H26" i="37"/>
  <c r="G410" i="3"/>
  <c r="G412" i="3"/>
  <c r="BA435" i="3"/>
  <c r="AZ435" i="3" s="1"/>
  <c r="BA436" i="3"/>
  <c r="AZ436" i="3" s="1"/>
  <c r="BA437" i="3"/>
  <c r="BA438" i="3"/>
  <c r="AZ438" i="3" s="1"/>
  <c r="BA439" i="3"/>
  <c r="AZ439" i="3" s="1"/>
  <c r="BA442" i="3"/>
  <c r="AZ442" i="3" s="1"/>
  <c r="BA450" i="3"/>
  <c r="AZ450" i="3" s="1"/>
  <c r="BA488" i="3"/>
  <c r="BL312" i="3"/>
  <c r="AZ312" i="3" s="1"/>
  <c r="BA335" i="3"/>
  <c r="AZ335" i="3" s="1"/>
  <c r="BL365" i="3"/>
  <c r="AZ365" i="3" s="1"/>
  <c r="BA366" i="3"/>
  <c r="AZ366" i="3" s="1"/>
  <c r="G208" i="3"/>
  <c r="BA233" i="3"/>
  <c r="BA234" i="3"/>
  <c r="BL248" i="3"/>
  <c r="BA272" i="3"/>
  <c r="AZ272" i="3" s="1"/>
  <c r="AB8" i="39"/>
  <c r="U31" i="36"/>
  <c r="J12" i="34"/>
  <c r="F9" i="36"/>
  <c r="H38" i="40"/>
  <c r="G551" i="3"/>
  <c r="G414" i="3"/>
  <c r="BL444" i="3"/>
  <c r="G471" i="3"/>
  <c r="BL479" i="3"/>
  <c r="AZ479" i="3" s="1"/>
  <c r="BL482" i="3"/>
  <c r="AZ482" i="3" s="1"/>
  <c r="BL333" i="3"/>
  <c r="BA213" i="3"/>
  <c r="BA217" i="3"/>
  <c r="BL247" i="3"/>
  <c r="BL401" i="3"/>
  <c r="BL476" i="3"/>
  <c r="BA487" i="3"/>
  <c r="AZ487" i="3" s="1"/>
  <c r="G274" i="3"/>
  <c r="BA137" i="3"/>
  <c r="BA198" i="3"/>
  <c r="AB26" i="33"/>
  <c r="H37" i="34"/>
  <c r="BL586" i="3"/>
  <c r="AZ586" i="3" s="1"/>
  <c r="BL398" i="3"/>
  <c r="BL400" i="3"/>
  <c r="BA402" i="3"/>
  <c r="BL404" i="3"/>
  <c r="BL406" i="3"/>
  <c r="BL473" i="3"/>
  <c r="BL475" i="3"/>
  <c r="BA478" i="3"/>
  <c r="BL386" i="3"/>
  <c r="BL293" i="3"/>
  <c r="BL135" i="3"/>
  <c r="AZ135" i="3" s="1"/>
  <c r="BL178" i="3"/>
  <c r="BA401" i="3"/>
  <c r="AZ401" i="3" s="1"/>
  <c r="BL409" i="3"/>
  <c r="AZ409" i="3" s="1"/>
  <c r="BL411" i="3"/>
  <c r="BL412" i="3"/>
  <c r="AZ412" i="3" s="1"/>
  <c r="G423" i="3"/>
  <c r="G425" i="3"/>
  <c r="G454" i="3"/>
  <c r="G455" i="3"/>
  <c r="BL472" i="3"/>
  <c r="BL477" i="3"/>
  <c r="BL317" i="3"/>
  <c r="BA319" i="3"/>
  <c r="AZ319" i="3" s="1"/>
  <c r="BA210" i="3"/>
  <c r="BA281" i="3"/>
  <c r="BL177" i="3"/>
  <c r="BL550" i="3"/>
  <c r="BA398" i="3"/>
  <c r="BA400" i="3"/>
  <c r="BA405" i="3"/>
  <c r="AZ405" i="3" s="1"/>
  <c r="BA406" i="3"/>
  <c r="BA407" i="3"/>
  <c r="AZ407" i="3" s="1"/>
  <c r="BA408" i="3"/>
  <c r="AZ408" i="3" s="1"/>
  <c r="BA410" i="3"/>
  <c r="AZ410" i="3" s="1"/>
  <c r="BL414" i="3"/>
  <c r="G463" i="3"/>
  <c r="BA473" i="3"/>
  <c r="BA477" i="3"/>
  <c r="BA486" i="3"/>
  <c r="AZ486" i="3" s="1"/>
  <c r="BA349" i="3"/>
  <c r="AZ349" i="3" s="1"/>
  <c r="BL222" i="3"/>
  <c r="BA231" i="3"/>
  <c r="BA244" i="3"/>
  <c r="BA279" i="3"/>
  <c r="BA296" i="3"/>
  <c r="F37" i="34"/>
  <c r="G574" i="3"/>
  <c r="BA413" i="3"/>
  <c r="AZ413" i="3" s="1"/>
  <c r="BL416" i="3"/>
  <c r="AZ416" i="3" s="1"/>
  <c r="G429" i="3"/>
  <c r="G445" i="3"/>
  <c r="G461" i="3"/>
  <c r="BL470" i="3"/>
  <c r="BA471" i="3"/>
  <c r="BA472" i="3"/>
  <c r="BA476" i="3"/>
  <c r="BL359" i="3"/>
  <c r="AZ359" i="3" s="1"/>
  <c r="BL383" i="3"/>
  <c r="AZ383" i="3" s="1"/>
  <c r="BA292" i="3"/>
  <c r="BA33" i="3"/>
  <c r="G566" i="3"/>
  <c r="BA551" i="3"/>
  <c r="AZ551" i="3" s="1"/>
  <c r="BA550" i="3"/>
  <c r="BA415" i="3"/>
  <c r="AZ415" i="3" s="1"/>
  <c r="BL417" i="3"/>
  <c r="AZ417" i="3" s="1"/>
  <c r="BL468" i="3"/>
  <c r="G488" i="3"/>
  <c r="BL314" i="3"/>
  <c r="AZ314" i="3" s="1"/>
  <c r="G323" i="3"/>
  <c r="BA358" i="3"/>
  <c r="AZ358" i="3" s="1"/>
  <c r="BA118" i="3"/>
  <c r="BL173" i="3"/>
  <c r="J44" i="39"/>
  <c r="G558" i="3"/>
  <c r="G542" i="3"/>
  <c r="BL419" i="3"/>
  <c r="BL421" i="3"/>
  <c r="BL424" i="3"/>
  <c r="BL425" i="3"/>
  <c r="AZ425" i="3" s="1"/>
  <c r="BL454" i="3"/>
  <c r="AZ454" i="3" s="1"/>
  <c r="BL455" i="3"/>
  <c r="BL458" i="3"/>
  <c r="BL464" i="3"/>
  <c r="AZ464" i="3" s="1"/>
  <c r="BA467" i="3"/>
  <c r="G487" i="3"/>
  <c r="BL491" i="3"/>
  <c r="BA370" i="3"/>
  <c r="AZ370" i="3" s="1"/>
  <c r="BA397" i="3"/>
  <c r="G232" i="3"/>
  <c r="BL238" i="3"/>
  <c r="BA241" i="3"/>
  <c r="BL251" i="3"/>
  <c r="AZ251" i="3" s="1"/>
  <c r="BA289" i="3"/>
  <c r="BL290" i="3"/>
  <c r="BL127" i="3"/>
  <c r="AZ127" i="3" s="1"/>
  <c r="BA176" i="3"/>
  <c r="AZ176" i="3" s="1"/>
  <c r="AZ226" i="3"/>
  <c r="AZ228" i="3"/>
  <c r="AZ255" i="3"/>
  <c r="AZ264" i="3"/>
  <c r="G146" i="3"/>
  <c r="G147" i="3"/>
  <c r="G183" i="3"/>
  <c r="BL187" i="3"/>
  <c r="AZ187" i="3" s="1"/>
  <c r="BL35" i="3"/>
  <c r="BL42" i="3"/>
  <c r="BL44" i="3"/>
  <c r="BA45" i="3"/>
  <c r="AZ45" i="3" s="1"/>
  <c r="BL69" i="3"/>
  <c r="BA71" i="3"/>
  <c r="BA81" i="3"/>
  <c r="BA483" i="3"/>
  <c r="AZ483" i="3" s="1"/>
  <c r="BA307" i="3"/>
  <c r="AZ307" i="3" s="1"/>
  <c r="BA350" i="3"/>
  <c r="AZ350" i="3" s="1"/>
  <c r="BL397" i="3"/>
  <c r="BL231" i="3"/>
  <c r="AZ122" i="3"/>
  <c r="AZ153" i="3"/>
  <c r="BA188" i="3"/>
  <c r="AZ188" i="3" s="1"/>
  <c r="BA43" i="3"/>
  <c r="BA44" i="3"/>
  <c r="BL68" i="3"/>
  <c r="AA25" i="40"/>
  <c r="S25" i="40"/>
  <c r="BA461" i="3"/>
  <c r="AZ461" i="3" s="1"/>
  <c r="BA462" i="3"/>
  <c r="AZ462" i="3" s="1"/>
  <c r="BA463" i="3"/>
  <c r="AZ463" i="3" s="1"/>
  <c r="BL465" i="3"/>
  <c r="BA485" i="3"/>
  <c r="AZ485" i="3" s="1"/>
  <c r="BA395" i="3"/>
  <c r="AZ395" i="3" s="1"/>
  <c r="BA396" i="3"/>
  <c r="AZ396" i="3" s="1"/>
  <c r="BL210" i="3"/>
  <c r="BA230" i="3"/>
  <c r="AZ230" i="3" s="1"/>
  <c r="BL232" i="3"/>
  <c r="AZ232" i="3" s="1"/>
  <c r="BA270" i="3"/>
  <c r="AZ270" i="3" s="1"/>
  <c r="BA271" i="3"/>
  <c r="AZ271" i="3" s="1"/>
  <c r="BL277" i="3"/>
  <c r="BL278" i="3"/>
  <c r="BL283" i="3"/>
  <c r="BL284" i="3"/>
  <c r="AZ284" i="3" s="1"/>
  <c r="BA120" i="3"/>
  <c r="AZ120" i="3" s="1"/>
  <c r="BL149" i="3"/>
  <c r="BL185" i="3"/>
  <c r="BL18" i="3"/>
  <c r="BL31" i="3"/>
  <c r="BA40" i="3"/>
  <c r="BL98" i="3"/>
  <c r="BL111" i="3"/>
  <c r="E61" i="71"/>
  <c r="P62" i="71"/>
  <c r="G406" i="3"/>
  <c r="G408" i="3"/>
  <c r="G409" i="3"/>
  <c r="BA419" i="3"/>
  <c r="BA420" i="3"/>
  <c r="AZ420" i="3" s="1"/>
  <c r="BL445" i="3"/>
  <c r="BL467" i="3"/>
  <c r="BL469" i="3"/>
  <c r="BL488" i="3"/>
  <c r="BA208" i="3"/>
  <c r="AZ208" i="3" s="1"/>
  <c r="BA209" i="3"/>
  <c r="AZ209" i="3" s="1"/>
  <c r="BL212" i="3"/>
  <c r="BL233" i="3"/>
  <c r="BA273" i="3"/>
  <c r="AZ273" i="3" s="1"/>
  <c r="BA274" i="3"/>
  <c r="AZ274" i="3" s="1"/>
  <c r="BA275" i="3"/>
  <c r="AZ275" i="3" s="1"/>
  <c r="BL279" i="3"/>
  <c r="BL280" i="3"/>
  <c r="BL282" i="3"/>
  <c r="BL289" i="3"/>
  <c r="BL115" i="3"/>
  <c r="AZ115" i="3" s="1"/>
  <c r="BA117" i="3"/>
  <c r="AZ117" i="3" s="1"/>
  <c r="BA150" i="3"/>
  <c r="AZ150" i="3" s="1"/>
  <c r="BL175" i="3"/>
  <c r="AZ175" i="3" s="1"/>
  <c r="BL179" i="3"/>
  <c r="AZ179" i="3" s="1"/>
  <c r="BA186" i="3"/>
  <c r="BL29" i="3"/>
  <c r="BL30" i="3"/>
  <c r="BA42" i="3"/>
  <c r="BL110" i="3"/>
  <c r="C34" i="71"/>
  <c r="D33" i="71"/>
  <c r="E18" i="71"/>
  <c r="E17" i="71" s="1"/>
  <c r="E16" i="71" s="1"/>
  <c r="E15" i="71" s="1"/>
  <c r="E14" i="71" s="1"/>
  <c r="E13" i="71" s="1"/>
  <c r="E12" i="71" s="1"/>
  <c r="E11" i="71" s="1"/>
  <c r="V19" i="71"/>
  <c r="BL399" i="3"/>
  <c r="BL402" i="3"/>
  <c r="G411" i="3"/>
  <c r="BL423" i="3"/>
  <c r="G430" i="3"/>
  <c r="BA443" i="3"/>
  <c r="BA444" i="3"/>
  <c r="G451" i="3"/>
  <c r="G453" i="3"/>
  <c r="BA466" i="3"/>
  <c r="BL471" i="3"/>
  <c r="G478" i="3"/>
  <c r="BL492" i="3"/>
  <c r="G311" i="3"/>
  <c r="BL340" i="3"/>
  <c r="AZ340" i="3" s="1"/>
  <c r="BL363" i="3"/>
  <c r="AZ363" i="3" s="1"/>
  <c r="BL367" i="3"/>
  <c r="AZ367" i="3" s="1"/>
  <c r="G380" i="3"/>
  <c r="BA211" i="3"/>
  <c r="AZ211" i="3" s="1"/>
  <c r="BL213" i="3"/>
  <c r="BL234" i="3"/>
  <c r="G241" i="3"/>
  <c r="G242" i="3"/>
  <c r="G243" i="3"/>
  <c r="G244" i="3"/>
  <c r="BA277" i="3"/>
  <c r="BA283" i="3"/>
  <c r="AZ283" i="3" s="1"/>
  <c r="BA285" i="3"/>
  <c r="BA286" i="3"/>
  <c r="AZ286" i="3" s="1"/>
  <c r="BA287" i="3"/>
  <c r="BA288" i="3"/>
  <c r="AZ288" i="3" s="1"/>
  <c r="BL292" i="3"/>
  <c r="BL114" i="3"/>
  <c r="BA116" i="3"/>
  <c r="AZ116" i="3" s="1"/>
  <c r="BL146" i="3"/>
  <c r="BA149" i="3"/>
  <c r="AZ149" i="3" s="1"/>
  <c r="BL169" i="3"/>
  <c r="BL182" i="3"/>
  <c r="BA185" i="3"/>
  <c r="AZ185" i="3" s="1"/>
  <c r="BL28" i="3"/>
  <c r="BA32" i="3"/>
  <c r="BL61" i="3"/>
  <c r="BA65" i="3"/>
  <c r="BA66" i="3"/>
  <c r="BL91" i="3"/>
  <c r="BA93" i="3"/>
  <c r="BA97" i="3"/>
  <c r="BL109" i="3"/>
  <c r="AZ109" i="3" s="1"/>
  <c r="BA111" i="3"/>
  <c r="C31" i="71"/>
  <c r="D30" i="71"/>
  <c r="G432" i="3"/>
  <c r="BL447" i="3"/>
  <c r="AZ447" i="3" s="1"/>
  <c r="BA468" i="3"/>
  <c r="BA469" i="3"/>
  <c r="BA470" i="3"/>
  <c r="BL474" i="3"/>
  <c r="AZ474" i="3" s="1"/>
  <c r="G480" i="3"/>
  <c r="BA489" i="3"/>
  <c r="AZ489" i="3" s="1"/>
  <c r="BA490" i="3"/>
  <c r="BA491" i="3"/>
  <c r="BA303" i="3"/>
  <c r="AZ303" i="3" s="1"/>
  <c r="BL316" i="3"/>
  <c r="G334" i="3"/>
  <c r="BA368" i="3"/>
  <c r="AZ368" i="3" s="1"/>
  <c r="BL385" i="3"/>
  <c r="BL214" i="3"/>
  <c r="AZ214" i="3" s="1"/>
  <c r="G220" i="3"/>
  <c r="BL235" i="3"/>
  <c r="AZ235" i="3" s="1"/>
  <c r="G246" i="3"/>
  <c r="G248" i="3"/>
  <c r="G249" i="3"/>
  <c r="G250" i="3"/>
  <c r="G251" i="3"/>
  <c r="G262" i="3"/>
  <c r="BA280" i="3"/>
  <c r="BA282" i="3"/>
  <c r="BA290" i="3"/>
  <c r="BA291" i="3"/>
  <c r="AZ291" i="3" s="1"/>
  <c r="BL294" i="3"/>
  <c r="AZ294" i="3" s="1"/>
  <c r="BL295" i="3"/>
  <c r="AZ295" i="3" s="1"/>
  <c r="BL113" i="3"/>
  <c r="BL141" i="3"/>
  <c r="BL143" i="3"/>
  <c r="AZ143" i="3" s="1"/>
  <c r="G156" i="3"/>
  <c r="BL166" i="3"/>
  <c r="BL171" i="3"/>
  <c r="AZ171" i="3" s="1"/>
  <c r="BA173" i="3"/>
  <c r="BA174" i="3"/>
  <c r="AZ174" i="3" s="1"/>
  <c r="BA177" i="3"/>
  <c r="BA178" i="3"/>
  <c r="AZ178" i="3" s="1"/>
  <c r="BL202" i="3"/>
  <c r="BA207" i="3"/>
  <c r="G24" i="3"/>
  <c r="BA29" i="3"/>
  <c r="AZ29" i="3" s="1"/>
  <c r="BA31" i="3"/>
  <c r="G51" i="3"/>
  <c r="BL56" i="3"/>
  <c r="BL60" i="3"/>
  <c r="BA61" i="3"/>
  <c r="BA85" i="3"/>
  <c r="BA96" i="3"/>
  <c r="BA110" i="3"/>
  <c r="BA317" i="3"/>
  <c r="BA386" i="3"/>
  <c r="BL215" i="3"/>
  <c r="AZ215" i="3" s="1"/>
  <c r="G222" i="3"/>
  <c r="G223" i="3"/>
  <c r="G224" i="3"/>
  <c r="G225" i="3"/>
  <c r="BL239" i="3"/>
  <c r="AZ239" i="3" s="1"/>
  <c r="G252" i="3"/>
  <c r="G253" i="3"/>
  <c r="G254" i="3"/>
  <c r="BA293" i="3"/>
  <c r="AZ293" i="3" s="1"/>
  <c r="BL296" i="3"/>
  <c r="BL297" i="3"/>
  <c r="BL302" i="3"/>
  <c r="BA114" i="3"/>
  <c r="BL138" i="3"/>
  <c r="BA144" i="3"/>
  <c r="AZ144" i="3" s="1"/>
  <c r="BA169" i="3"/>
  <c r="BA182" i="3"/>
  <c r="BL199" i="3"/>
  <c r="AZ199" i="3" s="1"/>
  <c r="BL26" i="3"/>
  <c r="BA28" i="3"/>
  <c r="G47" i="3"/>
  <c r="BA59" i="3"/>
  <c r="BA60" i="3"/>
  <c r="G78" i="3"/>
  <c r="BL81" i="3"/>
  <c r="BA90" i="3"/>
  <c r="BA475" i="3"/>
  <c r="BA315" i="3"/>
  <c r="AZ315" i="3" s="1"/>
  <c r="BA384" i="3"/>
  <c r="AZ384" i="3" s="1"/>
  <c r="BL217" i="3"/>
  <c r="BA236" i="3"/>
  <c r="AZ236" i="3" s="1"/>
  <c r="BA237" i="3"/>
  <c r="BA238" i="3"/>
  <c r="BA113" i="3"/>
  <c r="AZ113" i="3" s="1"/>
  <c r="BL137" i="3"/>
  <c r="BA141" i="3"/>
  <c r="BL161" i="3"/>
  <c r="BA166" i="3"/>
  <c r="AZ166" i="3" s="1"/>
  <c r="BA168" i="3"/>
  <c r="AZ168" i="3" s="1"/>
  <c r="BL54" i="3"/>
  <c r="BA56" i="3"/>
  <c r="BL80" i="3"/>
  <c r="BA84" i="3"/>
  <c r="BA108" i="3"/>
  <c r="AZ108" i="3" s="1"/>
  <c r="AB29" i="39"/>
  <c r="U29" i="39"/>
  <c r="G438" i="3"/>
  <c r="G440" i="3"/>
  <c r="BL453" i="3"/>
  <c r="G460" i="3"/>
  <c r="BL478" i="3"/>
  <c r="G484" i="3"/>
  <c r="BA216" i="3"/>
  <c r="AZ216" i="3" s="1"/>
  <c r="BL218" i="3"/>
  <c r="AZ218" i="3" s="1"/>
  <c r="BL241" i="3"/>
  <c r="BL244" i="3"/>
  <c r="BL246" i="3"/>
  <c r="BA297" i="3"/>
  <c r="BA298" i="3"/>
  <c r="AZ298" i="3" s="1"/>
  <c r="BA299" i="3"/>
  <c r="AZ299" i="3" s="1"/>
  <c r="BA300" i="3"/>
  <c r="AZ300" i="3" s="1"/>
  <c r="BA302" i="3"/>
  <c r="BL133" i="3"/>
  <c r="BL134" i="3"/>
  <c r="BA138" i="3"/>
  <c r="BA140" i="3"/>
  <c r="AZ140" i="3" s="1"/>
  <c r="BL158" i="3"/>
  <c r="AZ158" i="3" s="1"/>
  <c r="BL195" i="3"/>
  <c r="AZ195" i="3" s="1"/>
  <c r="BA197" i="3"/>
  <c r="BA202" i="3"/>
  <c r="AZ202" i="3" s="1"/>
  <c r="BL51" i="3"/>
  <c r="AZ51" i="3" s="1"/>
  <c r="BL53" i="3"/>
  <c r="BA55" i="3"/>
  <c r="BA58" i="3"/>
  <c r="AZ58" i="3" s="1"/>
  <c r="BL79" i="3"/>
  <c r="BA82" i="3"/>
  <c r="BL105" i="3"/>
  <c r="BA429" i="3"/>
  <c r="BL432" i="3"/>
  <c r="AZ432" i="3" s="1"/>
  <c r="BA451" i="3"/>
  <c r="BA452" i="3"/>
  <c r="AZ452" i="3" s="1"/>
  <c r="G462" i="3"/>
  <c r="G464" i="3"/>
  <c r="BL480" i="3"/>
  <c r="G486" i="3"/>
  <c r="BL332" i="3"/>
  <c r="G392" i="3"/>
  <c r="G396" i="3"/>
  <c r="G397" i="3"/>
  <c r="BL220" i="3"/>
  <c r="G231" i="3"/>
  <c r="BA242" i="3"/>
  <c r="AZ242" i="3" s="1"/>
  <c r="BA243" i="3"/>
  <c r="AZ243" i="3" s="1"/>
  <c r="BL261" i="3"/>
  <c r="AZ261" i="3" s="1"/>
  <c r="BL262" i="3"/>
  <c r="AZ262" i="3" s="1"/>
  <c r="G271" i="3"/>
  <c r="G272" i="3"/>
  <c r="BL125" i="3"/>
  <c r="AZ125" i="3" s="1"/>
  <c r="BL126" i="3"/>
  <c r="AZ126" i="3" s="1"/>
  <c r="BL129" i="3"/>
  <c r="AZ129" i="3" s="1"/>
  <c r="BL157" i="3"/>
  <c r="AZ157" i="3" s="1"/>
  <c r="BA162" i="3"/>
  <c r="BA196" i="3"/>
  <c r="AZ196" i="3" s="1"/>
  <c r="BL23" i="3"/>
  <c r="AZ23" i="3" s="1"/>
  <c r="G35" i="3"/>
  <c r="BL52" i="3"/>
  <c r="BA54" i="3"/>
  <c r="BL78" i="3"/>
  <c r="BL102" i="3"/>
  <c r="BL104" i="3"/>
  <c r="BL308" i="3"/>
  <c r="AZ308" i="3" s="1"/>
  <c r="BA333" i="3"/>
  <c r="G343" i="3"/>
  <c r="BL353" i="3"/>
  <c r="BL354" i="3"/>
  <c r="AZ354" i="3" s="1"/>
  <c r="G209" i="3"/>
  <c r="G210" i="3"/>
  <c r="BA219" i="3"/>
  <c r="AZ219" i="3" s="1"/>
  <c r="BL225" i="3"/>
  <c r="BA245" i="3"/>
  <c r="BA246" i="3"/>
  <c r="BA247" i="3"/>
  <c r="BA248" i="3"/>
  <c r="BA249" i="3"/>
  <c r="AZ249" i="3" s="1"/>
  <c r="BA250" i="3"/>
  <c r="BL254" i="3"/>
  <c r="AZ254" i="3" s="1"/>
  <c r="BL258" i="3"/>
  <c r="AZ258" i="3" s="1"/>
  <c r="BL260" i="3"/>
  <c r="BL263" i="3"/>
  <c r="AZ263" i="3" s="1"/>
  <c r="G275" i="3"/>
  <c r="G276" i="3"/>
  <c r="G278" i="3"/>
  <c r="G284" i="3"/>
  <c r="BL130" i="3"/>
  <c r="AZ130" i="3" s="1"/>
  <c r="BA133" i="3"/>
  <c r="AZ133" i="3" s="1"/>
  <c r="BL154" i="3"/>
  <c r="AZ154" i="3" s="1"/>
  <c r="AZ161" i="3"/>
  <c r="G186" i="3"/>
  <c r="G34" i="3"/>
  <c r="BL47" i="3"/>
  <c r="AZ47" i="3" s="1"/>
  <c r="U21" i="21"/>
  <c r="AB21" i="21"/>
  <c r="AA21" i="33"/>
  <c r="S21" i="33"/>
  <c r="C38" i="71"/>
  <c r="D37" i="71"/>
  <c r="C59" i="71"/>
  <c r="T59" i="71" s="1"/>
  <c r="D58" i="71"/>
  <c r="F3" i="35"/>
  <c r="F42" i="71"/>
  <c r="F43" i="71" s="1"/>
  <c r="V43" i="71" s="1"/>
  <c r="BA78" i="3"/>
  <c r="BA79" i="3"/>
  <c r="BA80" i="3"/>
  <c r="BL82" i="3"/>
  <c r="BL96" i="3"/>
  <c r="D100" i="43"/>
  <c r="S18" i="36"/>
  <c r="D51" i="71"/>
  <c r="C77" i="71"/>
  <c r="D77" i="71" s="1"/>
  <c r="E70" i="71"/>
  <c r="E69" i="71" s="1"/>
  <c r="F27" i="71"/>
  <c r="V27" i="71" s="1"/>
  <c r="AA25" i="71"/>
  <c r="B50" i="71"/>
  <c r="B51" i="71" s="1"/>
  <c r="S51" i="71" s="1"/>
  <c r="BA148" i="3"/>
  <c r="AZ148" i="3" s="1"/>
  <c r="BL162" i="3"/>
  <c r="BL163" i="3"/>
  <c r="AZ163" i="3" s="1"/>
  <c r="BL32" i="3"/>
  <c r="BL49" i="3"/>
  <c r="BL65" i="3"/>
  <c r="BL83" i="3"/>
  <c r="AZ83" i="3" s="1"/>
  <c r="BA95" i="3"/>
  <c r="AZ95" i="3" s="1"/>
  <c r="BL97" i="3"/>
  <c r="W18" i="35"/>
  <c r="P27" i="6"/>
  <c r="C70" i="71"/>
  <c r="Y32" i="71"/>
  <c r="Z32" i="71" s="1"/>
  <c r="E35" i="71"/>
  <c r="U35" i="71" s="1"/>
  <c r="X25" i="71"/>
  <c r="Y25" i="71"/>
  <c r="Z25" i="71" s="1"/>
  <c r="G299" i="3"/>
  <c r="G300" i="3"/>
  <c r="G301" i="3"/>
  <c r="G118" i="3"/>
  <c r="BA160" i="3"/>
  <c r="AZ160" i="3" s="1"/>
  <c r="BL165" i="3"/>
  <c r="AZ165" i="3" s="1"/>
  <c r="G184" i="3"/>
  <c r="G190" i="3"/>
  <c r="G191" i="3"/>
  <c r="G194" i="3"/>
  <c r="G195" i="3"/>
  <c r="G21" i="3"/>
  <c r="BL24" i="3"/>
  <c r="BL33" i="3"/>
  <c r="G39" i="3"/>
  <c r="G40" i="3"/>
  <c r="BA48" i="3"/>
  <c r="BL50" i="3"/>
  <c r="AZ50" i="3" s="1"/>
  <c r="BA64" i="3"/>
  <c r="AZ64" i="3" s="1"/>
  <c r="BL66" i="3"/>
  <c r="BL84" i="3"/>
  <c r="G88" i="3"/>
  <c r="G89" i="3"/>
  <c r="G90" i="3"/>
  <c r="BL99" i="3"/>
  <c r="AZ99" i="3" s="1"/>
  <c r="S23" i="71"/>
  <c r="D67" i="71"/>
  <c r="F35" i="71"/>
  <c r="V35" i="71" s="1"/>
  <c r="F38" i="71"/>
  <c r="F39" i="71" s="1"/>
  <c r="V39" i="71" s="1"/>
  <c r="T71" i="71"/>
  <c r="E17" i="77"/>
  <c r="BL67" i="3"/>
  <c r="AZ67" i="3" s="1"/>
  <c r="BL85" i="3"/>
  <c r="BA98" i="3"/>
  <c r="AZ98" i="3" s="1"/>
  <c r="BL103" i="3"/>
  <c r="AZ103" i="3" s="1"/>
  <c r="I10" i="66"/>
  <c r="U18" i="35"/>
  <c r="AA3" i="71"/>
  <c r="X33" i="71"/>
  <c r="G128" i="3"/>
  <c r="G134" i="3"/>
  <c r="BL170" i="3"/>
  <c r="AZ170" i="3" s="1"/>
  <c r="BL181" i="3"/>
  <c r="AZ181" i="3" s="1"/>
  <c r="G200" i="3"/>
  <c r="G19" i="3"/>
  <c r="BA34" i="3"/>
  <c r="AZ34" i="3" s="1"/>
  <c r="BA35" i="3"/>
  <c r="BL37" i="3"/>
  <c r="AZ37" i="3" s="1"/>
  <c r="BL86" i="3"/>
  <c r="AZ86" i="3" s="1"/>
  <c r="G92" i="3"/>
  <c r="BA100" i="3"/>
  <c r="AZ100" i="3" s="1"/>
  <c r="BA101" i="3"/>
  <c r="AZ101" i="3" s="1"/>
  <c r="BA102" i="3"/>
  <c r="BL106" i="3"/>
  <c r="AZ106" i="3" s="1"/>
  <c r="M108" i="43"/>
  <c r="G108" i="43"/>
  <c r="S18" i="35"/>
  <c r="B55" i="43"/>
  <c r="AB25" i="71"/>
  <c r="F50" i="71"/>
  <c r="F51" i="71" s="1"/>
  <c r="V51" i="71" s="1"/>
  <c r="P63" i="71"/>
  <c r="AB10" i="43"/>
  <c r="BA104" i="3"/>
  <c r="AZ104" i="3" s="1"/>
  <c r="BA105" i="3"/>
  <c r="BL107" i="3"/>
  <c r="AZ107" i="3" s="1"/>
  <c r="AA22" i="71"/>
  <c r="X28" i="71"/>
  <c r="BL276" i="3"/>
  <c r="AZ276" i="3" s="1"/>
  <c r="BL301" i="3"/>
  <c r="AZ301" i="3" s="1"/>
  <c r="BL118" i="3"/>
  <c r="BL121" i="3"/>
  <c r="BL123" i="3"/>
  <c r="AZ123" i="3" s="1"/>
  <c r="G140" i="3"/>
  <c r="BA172" i="3"/>
  <c r="AZ172" i="3" s="1"/>
  <c r="BL186" i="3"/>
  <c r="BL197" i="3"/>
  <c r="BL20" i="3"/>
  <c r="BL40" i="3"/>
  <c r="G45" i="3"/>
  <c r="G46" i="3"/>
  <c r="BA52" i="3"/>
  <c r="BA53" i="3"/>
  <c r="BL55" i="3"/>
  <c r="G61" i="3"/>
  <c r="G62" i="3"/>
  <c r="BA68" i="3"/>
  <c r="BA69" i="3"/>
  <c r="BL71" i="3"/>
  <c r="BL90" i="3"/>
  <c r="AB21" i="33"/>
  <c r="AA20" i="71"/>
  <c r="F30" i="71"/>
  <c r="F31" i="71" s="1"/>
  <c r="V31" i="71" s="1"/>
  <c r="AE10" i="43"/>
  <c r="G144" i="3"/>
  <c r="G150" i="3"/>
  <c r="G151" i="3"/>
  <c r="G154" i="3"/>
  <c r="G155" i="3"/>
  <c r="BA184" i="3"/>
  <c r="AZ184" i="3" s="1"/>
  <c r="BA189" i="3"/>
  <c r="AZ189" i="3" s="1"/>
  <c r="BA190" i="3"/>
  <c r="AZ190" i="3" s="1"/>
  <c r="BA193" i="3"/>
  <c r="AZ193" i="3" s="1"/>
  <c r="BA194" i="3"/>
  <c r="AZ194" i="3" s="1"/>
  <c r="BL198" i="3"/>
  <c r="BL201" i="3"/>
  <c r="AZ201" i="3" s="1"/>
  <c r="BL19" i="3"/>
  <c r="G29" i="3"/>
  <c r="G30" i="3"/>
  <c r="BA38" i="3"/>
  <c r="AZ38" i="3" s="1"/>
  <c r="BA39" i="3"/>
  <c r="AZ39" i="3" s="1"/>
  <c r="BL41" i="3"/>
  <c r="AZ41" i="3" s="1"/>
  <c r="BL57" i="3"/>
  <c r="AZ57" i="3" s="1"/>
  <c r="BL72" i="3"/>
  <c r="AZ72" i="3" s="1"/>
  <c r="G79" i="3"/>
  <c r="G80" i="3"/>
  <c r="G81" i="3"/>
  <c r="BA87" i="3"/>
  <c r="AZ87" i="3" s="1"/>
  <c r="BA88" i="3"/>
  <c r="AZ88" i="3" s="1"/>
  <c r="BA89" i="3"/>
  <c r="AZ89" i="3" s="1"/>
  <c r="BL112" i="3"/>
  <c r="S21" i="37"/>
  <c r="C65" i="71"/>
  <c r="D65" i="71" s="1"/>
  <c r="E23" i="71"/>
  <c r="E22" i="71" s="1"/>
  <c r="E21" i="71" s="1"/>
  <c r="C62" i="71"/>
  <c r="Y20" i="71"/>
  <c r="Z20" i="71" s="1"/>
  <c r="AB33" i="71"/>
  <c r="K56" i="9"/>
  <c r="BA200" i="3"/>
  <c r="AZ200" i="3" s="1"/>
  <c r="BL207" i="3"/>
  <c r="BL43" i="3"/>
  <c r="BL59" i="3"/>
  <c r="BL76" i="3"/>
  <c r="BA91" i="3"/>
  <c r="BL93" i="3"/>
  <c r="K13" i="1"/>
  <c r="AC21" i="34"/>
  <c r="AB22" i="71"/>
  <c r="O63" i="71"/>
  <c r="AB24" i="71"/>
  <c r="X21" i="71"/>
  <c r="AB31" i="71"/>
  <c r="B74" i="71"/>
  <c r="B73" i="71" s="1"/>
  <c r="M56" i="9"/>
  <c r="BA257" i="3"/>
  <c r="AZ257" i="3" s="1"/>
  <c r="BL259" i="3"/>
  <c r="AZ259" i="3" s="1"/>
  <c r="BL281" i="3"/>
  <c r="G294" i="3"/>
  <c r="BA132" i="3"/>
  <c r="AZ132" i="3" s="1"/>
  <c r="BA136" i="3"/>
  <c r="AZ136" i="3" s="1"/>
  <c r="BL142" i="3"/>
  <c r="AZ142" i="3" s="1"/>
  <c r="BL145" i="3"/>
  <c r="AZ145" i="3" s="1"/>
  <c r="BL151" i="3"/>
  <c r="AZ151" i="3" s="1"/>
  <c r="BL155" i="3"/>
  <c r="AZ155" i="3" s="1"/>
  <c r="BA204" i="3"/>
  <c r="AZ204" i="3" s="1"/>
  <c r="BA205" i="3"/>
  <c r="AZ205" i="3" s="1"/>
  <c r="BA206" i="3"/>
  <c r="AZ206" i="3" s="1"/>
  <c r="G25" i="3"/>
  <c r="BL46" i="3"/>
  <c r="AZ46" i="3" s="1"/>
  <c r="BL62" i="3"/>
  <c r="BA73" i="3"/>
  <c r="AZ73" i="3" s="1"/>
  <c r="BA74" i="3"/>
  <c r="AZ74" i="3" s="1"/>
  <c r="BA75" i="3"/>
  <c r="AZ75" i="3" s="1"/>
  <c r="BL77" i="3"/>
  <c r="BL94" i="3"/>
  <c r="AZ94" i="3" s="1"/>
  <c r="G99" i="3"/>
  <c r="I15" i="66"/>
  <c r="AC21" i="37"/>
  <c r="AB21" i="71"/>
  <c r="AA28" i="71"/>
  <c r="W11" i="34"/>
  <c r="AB41" i="34"/>
  <c r="AC40" i="34"/>
  <c r="AB40" i="34"/>
  <c r="AC39" i="34"/>
  <c r="U38" i="34"/>
  <c r="AA38" i="34"/>
  <c r="AC36" i="34"/>
  <c r="F23" i="34"/>
  <c r="AA23" i="34" s="1"/>
  <c r="J23" i="34"/>
  <c r="AC23" i="34" s="1"/>
  <c r="F78" i="34"/>
  <c r="G78" i="34" s="1"/>
  <c r="J15" i="34"/>
  <c r="F15" i="34"/>
  <c r="S15" i="34" s="1"/>
  <c r="H15" i="34"/>
  <c r="AB15" i="34" s="1"/>
  <c r="U25" i="34"/>
  <c r="AA25" i="34"/>
  <c r="AB23" i="34"/>
  <c r="U21" i="34"/>
  <c r="S21" i="34"/>
  <c r="U19" i="34"/>
  <c r="S13" i="34"/>
  <c r="S10" i="34"/>
  <c r="AA14" i="34"/>
  <c r="AA11" i="34"/>
  <c r="S9" i="34"/>
  <c r="AB46" i="34"/>
  <c r="I20" i="77"/>
  <c r="C20" i="77" s="1"/>
  <c r="I5" i="78"/>
  <c r="C70" i="39"/>
  <c r="D68" i="39"/>
  <c r="AA32" i="37"/>
  <c r="S32" i="37"/>
  <c r="AA27" i="36"/>
  <c r="S27" i="36"/>
  <c r="AC39" i="39"/>
  <c r="W39" i="39"/>
  <c r="W27" i="36"/>
  <c r="AC27" i="36"/>
  <c r="AZ345" i="3"/>
  <c r="W36" i="40"/>
  <c r="AC36" i="40"/>
  <c r="S32" i="40"/>
  <c r="AA32" i="40"/>
  <c r="AC41" i="34"/>
  <c r="W41" i="34"/>
  <c r="AB27" i="34"/>
  <c r="U27" i="34"/>
  <c r="S25" i="21"/>
  <c r="AA25" i="21"/>
  <c r="AC5" i="3"/>
  <c r="G509" i="3"/>
  <c r="AZ557" i="3"/>
  <c r="AZ513" i="3"/>
  <c r="AZ517" i="3"/>
  <c r="AZ563" i="3"/>
  <c r="AZ567" i="3"/>
  <c r="AZ571" i="3"/>
  <c r="AZ575" i="3"/>
  <c r="AZ579" i="3"/>
  <c r="S38" i="37"/>
  <c r="AA38" i="37"/>
  <c r="AC28" i="37"/>
  <c r="W28" i="37"/>
  <c r="S25" i="36"/>
  <c r="AA25" i="36"/>
  <c r="AB35" i="35"/>
  <c r="U35" i="35"/>
  <c r="U13" i="35"/>
  <c r="AB13" i="35"/>
  <c r="S13" i="35"/>
  <c r="AA13" i="35"/>
  <c r="S45" i="34"/>
  <c r="AA45" i="34"/>
  <c r="AC37" i="37"/>
  <c r="W37" i="37"/>
  <c r="W32" i="36"/>
  <c r="AC32" i="36"/>
  <c r="U11" i="35"/>
  <c r="AB11" i="35"/>
  <c r="W31" i="33"/>
  <c r="AC31" i="33"/>
  <c r="S33" i="35"/>
  <c r="AA33" i="35"/>
  <c r="AA44" i="34"/>
  <c r="S44" i="34"/>
  <c r="S12" i="34"/>
  <c r="AA12" i="34"/>
  <c r="W33" i="40"/>
  <c r="AC33" i="40"/>
  <c r="AZ550" i="3"/>
  <c r="E10" i="71"/>
  <c r="E9" i="71" s="1"/>
  <c r="E8" i="71" s="1"/>
  <c r="E7" i="71" s="1"/>
  <c r="V11" i="71"/>
  <c r="V15" i="71"/>
  <c r="D12" i="52"/>
  <c r="D127" i="9"/>
  <c r="D13" i="52" s="1"/>
  <c r="L67" i="9"/>
  <c r="M67" i="9" s="1"/>
  <c r="L63" i="9"/>
  <c r="M63" i="9" s="1"/>
  <c r="M69" i="9" s="1"/>
  <c r="N69" i="9" s="1"/>
  <c r="L64" i="9"/>
  <c r="M64" i="9" s="1"/>
  <c r="L66" i="9"/>
  <c r="M66" i="9" s="1"/>
  <c r="L65" i="9"/>
  <c r="M65" i="9" s="1"/>
  <c r="C23" i="12"/>
  <c r="AB45" i="21"/>
  <c r="S13" i="21"/>
  <c r="H83" i="43"/>
  <c r="H82" i="43"/>
  <c r="AZ391" i="3"/>
  <c r="AZ322" i="3"/>
  <c r="AZ347" i="3"/>
  <c r="AZ378" i="3"/>
  <c r="AA41" i="34"/>
  <c r="AA37" i="37"/>
  <c r="S37" i="37"/>
  <c r="U35" i="34"/>
  <c r="AB35" i="34"/>
  <c r="AA14" i="36"/>
  <c r="S14" i="36"/>
  <c r="AZ581" i="3"/>
  <c r="AC10" i="36"/>
  <c r="W10" i="36"/>
  <c r="U31" i="34"/>
  <c r="AA14" i="40"/>
  <c r="S14" i="40"/>
  <c r="U33" i="40"/>
  <c r="AB33" i="40"/>
  <c r="S12" i="40"/>
  <c r="AA12" i="40"/>
  <c r="AC38" i="37"/>
  <c r="W38" i="37"/>
  <c r="U28" i="37"/>
  <c r="AB28" i="37"/>
  <c r="AC13" i="35"/>
  <c r="W13" i="35"/>
  <c r="AC47" i="34"/>
  <c r="W47" i="34"/>
  <c r="AC31" i="34"/>
  <c r="W31" i="34"/>
  <c r="AZ14" i="3"/>
  <c r="AZ548" i="3"/>
  <c r="AC9" i="34"/>
  <c r="W9" i="34"/>
  <c r="AC34" i="35"/>
  <c r="W34" i="35"/>
  <c r="AC31" i="40"/>
  <c r="W31" i="40"/>
  <c r="G3" i="77"/>
  <c r="B70" i="43"/>
  <c r="B59" i="43"/>
  <c r="B81" i="43"/>
  <c r="B82" i="43"/>
  <c r="B85" i="43"/>
  <c r="B88" i="43"/>
  <c r="H9" i="34"/>
  <c r="F34" i="35"/>
  <c r="H34" i="35"/>
  <c r="J36" i="35"/>
  <c r="F19" i="6"/>
  <c r="D29" i="43" s="1"/>
  <c r="D1" i="43" s="1"/>
  <c r="E25" i="6"/>
  <c r="K12" i="1" s="1"/>
  <c r="M12" i="1" s="1"/>
  <c r="G41" i="43"/>
  <c r="F8" i="1"/>
  <c r="G8" i="1" s="1"/>
  <c r="AZ399" i="3"/>
  <c r="AZ404" i="3"/>
  <c r="AZ411" i="3"/>
  <c r="AZ414" i="3"/>
  <c r="AZ423" i="3"/>
  <c r="AZ427" i="3"/>
  <c r="AZ430" i="3"/>
  <c r="AZ440" i="3"/>
  <c r="AZ449" i="3"/>
  <c r="AZ453" i="3"/>
  <c r="AZ455" i="3"/>
  <c r="AZ460" i="3"/>
  <c r="AZ471" i="3"/>
  <c r="AZ478" i="3"/>
  <c r="AZ484" i="3"/>
  <c r="AZ492" i="3"/>
  <c r="AZ225" i="3"/>
  <c r="AZ244" i="3"/>
  <c r="AZ121" i="3"/>
  <c r="AZ134" i="3"/>
  <c r="B71" i="77"/>
  <c r="B60" i="77"/>
  <c r="B49" i="77"/>
  <c r="B77" i="77"/>
  <c r="B67" i="77"/>
  <c r="B56" i="77"/>
  <c r="B74" i="77"/>
  <c r="B65" i="77"/>
  <c r="B54" i="77"/>
  <c r="B73" i="77"/>
  <c r="B63" i="77"/>
  <c r="B52" i="77"/>
  <c r="E24" i="6"/>
  <c r="D3" i="35" s="1"/>
  <c r="BL15" i="3"/>
  <c r="AZ332" i="3"/>
  <c r="AZ212" i="3"/>
  <c r="AZ220" i="3"/>
  <c r="AZ231" i="3"/>
  <c r="AZ267" i="3"/>
  <c r="AZ278" i="3"/>
  <c r="AZ292" i="3"/>
  <c r="AZ169" i="3"/>
  <c r="AZ207" i="3"/>
  <c r="D59" i="71"/>
  <c r="P60" i="71"/>
  <c r="P61" i="71"/>
  <c r="AZ30" i="3"/>
  <c r="AZ49" i="3"/>
  <c r="AZ65" i="3"/>
  <c r="AZ90" i="3"/>
  <c r="AZ92" i="3"/>
  <c r="AZ96" i="3"/>
  <c r="AZ112" i="3"/>
  <c r="C21" i="71"/>
  <c r="D21" i="71" s="1"/>
  <c r="D22" i="71"/>
  <c r="BA18" i="3"/>
  <c r="AZ18" i="3" s="1"/>
  <c r="BA19" i="3"/>
  <c r="AZ19" i="3" s="1"/>
  <c r="BA20" i="3"/>
  <c r="BA21" i="3"/>
  <c r="AZ21" i="3" s="1"/>
  <c r="BA22" i="3"/>
  <c r="AZ22" i="3" s="1"/>
  <c r="BL22" i="3"/>
  <c r="G23" i="3"/>
  <c r="BA24" i="3"/>
  <c r="AZ24" i="3" s="1"/>
  <c r="BL25" i="3"/>
  <c r="G26" i="3"/>
  <c r="BL27" i="3"/>
  <c r="G28" i="3"/>
  <c r="O19" i="77"/>
  <c r="C29" i="39"/>
  <c r="B66" i="43"/>
  <c r="B86" i="43"/>
  <c r="V23" i="71"/>
  <c r="AA23" i="71"/>
  <c r="AA21" i="71"/>
  <c r="X23" i="71"/>
  <c r="Y23" i="71"/>
  <c r="Z23" i="71" s="1"/>
  <c r="Y22" i="71"/>
  <c r="Z22" i="71" s="1"/>
  <c r="Y21" i="71"/>
  <c r="Z21" i="71" s="1"/>
  <c r="X31" i="71"/>
  <c r="X30" i="71"/>
  <c r="X29" i="71"/>
  <c r="AA27" i="71"/>
  <c r="Y24" i="71"/>
  <c r="Z24" i="71" s="1"/>
  <c r="E30" i="71"/>
  <c r="E31" i="71" s="1"/>
  <c r="U31" i="71" s="1"/>
  <c r="Y26" i="71"/>
  <c r="Z26" i="71" s="1"/>
  <c r="AB26" i="71"/>
  <c r="X26" i="71"/>
  <c r="X27" i="71"/>
  <c r="AB27" i="71"/>
  <c r="AB29" i="71"/>
  <c r="AB28" i="71"/>
  <c r="X5" i="71"/>
  <c r="X34" i="71"/>
  <c r="X19" i="71"/>
  <c r="Y19" i="71"/>
  <c r="Z19" i="71" s="1"/>
  <c r="AA17" i="71"/>
  <c r="X16" i="71"/>
  <c r="AA13" i="71"/>
  <c r="AB13" i="71"/>
  <c r="X9" i="71"/>
  <c r="AA9" i="71"/>
  <c r="X12" i="71"/>
  <c r="AA12" i="71"/>
  <c r="B75" i="77"/>
  <c r="B66" i="77"/>
  <c r="B55" i="77"/>
  <c r="E25" i="71"/>
  <c r="E26" i="71" s="1"/>
  <c r="E27" i="71" s="1"/>
  <c r="U27" i="71" s="1"/>
  <c r="AA24" i="71"/>
  <c r="Y30" i="71"/>
  <c r="Z30" i="71" s="1"/>
  <c r="Y28" i="71"/>
  <c r="Z28" i="71" s="1"/>
  <c r="B33" i="71"/>
  <c r="B34" i="71" s="1"/>
  <c r="B35" i="71" s="1"/>
  <c r="S35" i="71" s="1"/>
  <c r="X32" i="71"/>
  <c r="AB5" i="71"/>
  <c r="AB34" i="71"/>
  <c r="S63" i="71"/>
  <c r="B62" i="71"/>
  <c r="N63" i="71"/>
  <c r="Y16" i="71"/>
  <c r="Z16" i="71" s="1"/>
  <c r="AB16" i="71"/>
  <c r="X13" i="71"/>
  <c r="Y13" i="71"/>
  <c r="Z13" i="71" s="1"/>
  <c r="Y9" i="71"/>
  <c r="Z9" i="71" s="1"/>
  <c r="Y12" i="71"/>
  <c r="Z12" i="71" s="1"/>
  <c r="AB12" i="71"/>
  <c r="Y5" i="71"/>
  <c r="Z5" i="71" s="1"/>
  <c r="AA5" i="71"/>
  <c r="AH10" i="43"/>
  <c r="AD10" i="43"/>
  <c r="Z10" i="43"/>
  <c r="AG10" i="43"/>
  <c r="AC10" i="43"/>
  <c r="AA19" i="71"/>
  <c r="AB19" i="71"/>
  <c r="B19" i="71"/>
  <c r="C19" i="71"/>
  <c r="Y18" i="71"/>
  <c r="Z18" i="71" s="1"/>
  <c r="Y17" i="71"/>
  <c r="Z17" i="71" s="1"/>
  <c r="AA18" i="71"/>
  <c r="AB18" i="71"/>
  <c r="X17" i="71"/>
  <c r="AA16" i="71"/>
  <c r="AB10" i="71"/>
  <c r="AA6" i="71"/>
  <c r="X7" i="71"/>
  <c r="AB8" i="71"/>
  <c r="Y6" i="71"/>
  <c r="Z6" i="71" s="1"/>
  <c r="Y8" i="71"/>
  <c r="Z8" i="71" s="1"/>
  <c r="X10" i="71"/>
  <c r="AA10" i="71"/>
  <c r="AA7" i="71"/>
  <c r="AA8" i="71"/>
  <c r="X6" i="71"/>
  <c r="X8" i="71"/>
  <c r="AB6" i="71"/>
  <c r="AB7" i="71"/>
  <c r="AB9" i="71"/>
  <c r="Y7" i="71"/>
  <c r="Z7" i="71" s="1"/>
  <c r="J59" i="43"/>
  <c r="J60" i="43"/>
  <c r="J61" i="43"/>
  <c r="J62" i="43"/>
  <c r="J63" i="43"/>
  <c r="J64" i="43"/>
  <c r="J65" i="43"/>
  <c r="J67" i="43"/>
  <c r="E59" i="43"/>
  <c r="B57" i="43" s="1"/>
  <c r="C24" i="43" s="1"/>
  <c r="H62" i="43"/>
  <c r="H66" i="43"/>
  <c r="H64" i="43"/>
  <c r="H67" i="43"/>
  <c r="H60" i="43"/>
  <c r="H59" i="43"/>
  <c r="H61" i="43"/>
  <c r="H65" i="43"/>
  <c r="H63" i="43"/>
  <c r="C16" i="43"/>
  <c r="D5" i="43" s="1"/>
  <c r="K5" i="4"/>
  <c r="B47" i="48" s="1"/>
  <c r="L27" i="6"/>
  <c r="BA27" i="3"/>
  <c r="BA26" i="3"/>
  <c r="AZ26" i="3" s="1"/>
  <c r="BA25" i="3"/>
  <c r="C36" i="69"/>
  <c r="D9" i="68"/>
  <c r="C9" i="68" s="1"/>
  <c r="D9" i="69"/>
  <c r="C9" i="69" s="1"/>
  <c r="C92" i="9"/>
  <c r="C94" i="9"/>
  <c r="F28" i="15"/>
  <c r="C28" i="15" s="1"/>
  <c r="F31" i="12"/>
  <c r="C31" i="12" s="1"/>
  <c r="D68" i="9"/>
  <c r="M18" i="67"/>
  <c r="F30" i="68"/>
  <c r="C24" i="12"/>
  <c r="C36" i="11"/>
  <c r="F54" i="9"/>
  <c r="M18" i="15"/>
  <c r="F32" i="15"/>
  <c r="F60" i="15" s="1"/>
  <c r="F30" i="69"/>
  <c r="F32" i="67"/>
  <c r="F60" i="67" s="1"/>
  <c r="F52" i="9"/>
  <c r="F28" i="67"/>
  <c r="C28" i="67" s="1"/>
  <c r="F30" i="11"/>
  <c r="F53" i="9"/>
  <c r="C21" i="69"/>
  <c r="D22" i="67"/>
  <c r="E2" i="70"/>
  <c r="D19" i="12"/>
  <c r="C19" i="12" s="1"/>
  <c r="E13" i="6"/>
  <c r="E15" i="6"/>
  <c r="E12" i="6"/>
  <c r="E57" i="40" s="1"/>
  <c r="H50" i="43"/>
  <c r="H75" i="43"/>
  <c r="O14" i="1"/>
  <c r="P14" i="1" s="1"/>
  <c r="O11" i="1"/>
  <c r="P11" i="1" s="1"/>
  <c r="P7" i="1"/>
  <c r="O9" i="1"/>
  <c r="P9" i="1" s="1"/>
  <c r="O8" i="1"/>
  <c r="P8" i="1" s="1"/>
  <c r="P6" i="1"/>
  <c r="O12" i="1"/>
  <c r="P12"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Z10" i="71" s="1"/>
  <c r="AA11" i="71"/>
  <c r="AB3" i="71"/>
  <c r="X11" i="71"/>
  <c r="AB11" i="71"/>
  <c r="Y3" i="71"/>
  <c r="Z3" i="71" s="1"/>
  <c r="F11" i="71"/>
  <c r="F10" i="71" s="1"/>
  <c r="F9" i="71" s="1"/>
  <c r="F8" i="71" s="1"/>
  <c r="F7" i="71" s="1"/>
  <c r="F6" i="71" s="1"/>
  <c r="F5" i="71" s="1"/>
  <c r="AF3" i="71"/>
  <c r="P22" i="43" s="1"/>
  <c r="C36" i="68"/>
  <c r="B10" i="70"/>
  <c r="Q71" i="15"/>
  <c r="B6" i="70"/>
  <c r="K1" i="73"/>
  <c r="B20" i="31"/>
  <c r="B21" i="31" s="1"/>
  <c r="I1" i="73"/>
  <c r="B39" i="1" s="1"/>
  <c r="J20" i="67"/>
  <c r="B12" i="70"/>
  <c r="F51" i="15"/>
  <c r="B7" i="70"/>
  <c r="B11" i="70"/>
  <c r="B8" i="70"/>
  <c r="F64" i="15"/>
  <c r="F65" i="15"/>
  <c r="B9" i="70"/>
  <c r="B13" i="70"/>
  <c r="M21" i="15"/>
  <c r="M24" i="15"/>
  <c r="M6" i="15"/>
  <c r="F40" i="67"/>
  <c r="F16" i="15"/>
  <c r="F9" i="67"/>
  <c r="M28" i="67"/>
  <c r="C76" i="67"/>
  <c r="J15" i="15"/>
  <c r="D7" i="73"/>
  <c r="F13" i="67"/>
  <c r="F43" i="15"/>
  <c r="F8" i="67"/>
  <c r="F35" i="67"/>
  <c r="M28" i="15"/>
  <c r="F41" i="67"/>
  <c r="D6" i="73"/>
  <c r="L47" i="67"/>
  <c r="M22" i="67"/>
  <c r="D5" i="73"/>
  <c r="F26" i="15"/>
  <c r="F37" i="67"/>
  <c r="M29" i="67"/>
  <c r="F42" i="67"/>
  <c r="M8" i="67"/>
  <c r="M24" i="67"/>
  <c r="F7" i="67"/>
  <c r="M9" i="15"/>
  <c r="F41" i="15"/>
  <c r="F6" i="67"/>
  <c r="F35" i="15"/>
  <c r="M22" i="15"/>
  <c r="M26" i="67"/>
  <c r="M29" i="15"/>
  <c r="F38" i="67"/>
  <c r="F7" i="15"/>
  <c r="J15" i="67"/>
  <c r="F26" i="67"/>
  <c r="M6" i="67"/>
  <c r="M27" i="15"/>
  <c r="F40" i="15"/>
  <c r="L48" i="67"/>
  <c r="F6" i="15"/>
  <c r="F9" i="15"/>
  <c r="M23" i="67"/>
  <c r="F43" i="67"/>
  <c r="D3" i="73"/>
  <c r="L48" i="15"/>
  <c r="M9" i="67"/>
  <c r="F38" i="15"/>
  <c r="M27" i="67"/>
  <c r="L47" i="15"/>
  <c r="F36" i="67"/>
  <c r="J57" i="15" l="1"/>
  <c r="J55" i="15" s="1"/>
  <c r="J58" i="15" s="1"/>
  <c r="Q50" i="15" s="1"/>
  <c r="J53" i="15"/>
  <c r="L56" i="15" s="1"/>
  <c r="I54" i="15"/>
  <c r="F68" i="15"/>
  <c r="C27" i="15"/>
  <c r="J20" i="15"/>
  <c r="AZ69" i="3"/>
  <c r="AZ35" i="3"/>
  <c r="AZ470" i="3"/>
  <c r="AZ476" i="3"/>
  <c r="AZ252" i="3"/>
  <c r="AC29" i="35"/>
  <c r="W29" i="35"/>
  <c r="AB25" i="36"/>
  <c r="U25" i="36"/>
  <c r="U14" i="33"/>
  <c r="AB14" i="33"/>
  <c r="AA27" i="34"/>
  <c r="S27" i="34"/>
  <c r="W31" i="39"/>
  <c r="AC31" i="39"/>
  <c r="S31" i="34"/>
  <c r="AA31" i="34"/>
  <c r="I87" i="35"/>
  <c r="J87" i="35" s="1"/>
  <c r="K87" i="35" s="1"/>
  <c r="L87" i="35" s="1"/>
  <c r="M87" i="35" s="1"/>
  <c r="F29" i="35"/>
  <c r="AC35" i="35"/>
  <c r="W35" i="35"/>
  <c r="U23" i="35"/>
  <c r="AB23" i="35"/>
  <c r="AA46" i="33"/>
  <c r="S46" i="33"/>
  <c r="AB31" i="39"/>
  <c r="U31" i="39"/>
  <c r="AB25" i="35"/>
  <c r="U25" i="35"/>
  <c r="S36" i="34"/>
  <c r="AB36" i="34"/>
  <c r="U28" i="35"/>
  <c r="H14" i="74"/>
  <c r="B7" i="74" s="1"/>
  <c r="D10" i="52"/>
  <c r="AZ27" i="3"/>
  <c r="AZ68" i="3"/>
  <c r="AZ53" i="3"/>
  <c r="AZ40" i="3"/>
  <c r="AZ250" i="3"/>
  <c r="AZ238" i="3"/>
  <c r="AZ444" i="3"/>
  <c r="U46" i="21"/>
  <c r="AB46" i="21"/>
  <c r="W14" i="21"/>
  <c r="AC14" i="21"/>
  <c r="AZ210" i="3"/>
  <c r="AA46" i="21"/>
  <c r="S46" i="21"/>
  <c r="U14" i="21"/>
  <c r="AB14" i="21"/>
  <c r="AB30" i="33"/>
  <c r="U30" i="33"/>
  <c r="AC19" i="34"/>
  <c r="W19" i="34"/>
  <c r="F66" i="15"/>
  <c r="L59" i="15"/>
  <c r="Q74" i="15" s="1"/>
  <c r="L58" i="15"/>
  <c r="Q73" i="15" s="1"/>
  <c r="N59" i="15"/>
  <c r="M59" i="15"/>
  <c r="F69" i="15"/>
  <c r="C34" i="15"/>
  <c r="F63" i="15"/>
  <c r="C62" i="15" s="1"/>
  <c r="G5" i="3"/>
  <c r="B3" i="3" s="1"/>
  <c r="E376" i="3" s="1"/>
  <c r="AZ317" i="3"/>
  <c r="AZ177" i="3"/>
  <c r="AZ290" i="3"/>
  <c r="AZ468" i="3"/>
  <c r="AZ241" i="3"/>
  <c r="AZ421" i="3"/>
  <c r="AZ76" i="3"/>
  <c r="AZ221" i="3"/>
  <c r="AA28" i="37"/>
  <c r="S28" i="37"/>
  <c r="AA23" i="36"/>
  <c r="S23" i="36"/>
  <c r="U16" i="35"/>
  <c r="AB16" i="35"/>
  <c r="AC12" i="21"/>
  <c r="W12" i="21"/>
  <c r="AA45" i="21"/>
  <c r="S45" i="21"/>
  <c r="U29" i="21"/>
  <c r="AB29" i="21"/>
  <c r="AB27" i="21"/>
  <c r="U27" i="21"/>
  <c r="AZ316" i="3"/>
  <c r="F80" i="34"/>
  <c r="G80" i="34" s="1"/>
  <c r="F17" i="34"/>
  <c r="E14" i="6"/>
  <c r="E64" i="39" s="1"/>
  <c r="AC13" i="39"/>
  <c r="W13" i="39"/>
  <c r="AC23" i="36"/>
  <c r="W23" i="36"/>
  <c r="AB12" i="21"/>
  <c r="U12" i="21"/>
  <c r="AC29" i="21"/>
  <c r="W29" i="21"/>
  <c r="W27" i="21"/>
  <c r="AC27" i="21"/>
  <c r="S26" i="33"/>
  <c r="U15" i="33"/>
  <c r="AA13" i="33"/>
  <c r="S28" i="34"/>
  <c r="AA39" i="34"/>
  <c r="U39" i="34"/>
  <c r="W25" i="34"/>
  <c r="AC17" i="34"/>
  <c r="U42" i="33"/>
  <c r="W42" i="33"/>
  <c r="W25" i="33"/>
  <c r="S42" i="33"/>
  <c r="AA44" i="33"/>
  <c r="M59" i="67"/>
  <c r="N59" i="67"/>
  <c r="L59" i="67"/>
  <c r="Q74" i="67" s="1"/>
  <c r="L58" i="67"/>
  <c r="Q60" i="67" s="1"/>
  <c r="I54" i="67"/>
  <c r="J53" i="67"/>
  <c r="F1" i="67" s="1"/>
  <c r="J57" i="67"/>
  <c r="J55" i="67" s="1"/>
  <c r="J58" i="67" s="1"/>
  <c r="Q50" i="67" s="1"/>
  <c r="L56" i="67"/>
  <c r="F68" i="67"/>
  <c r="F66" i="67"/>
  <c r="C34" i="67"/>
  <c r="F63" i="67"/>
  <c r="C62" i="67" s="1"/>
  <c r="F65" i="67"/>
  <c r="F69" i="67"/>
  <c r="F64" i="67"/>
  <c r="C27" i="67"/>
  <c r="Q71" i="67"/>
  <c r="F51" i="67"/>
  <c r="U32" i="33"/>
  <c r="AB32" i="33"/>
  <c r="AZ477" i="3"/>
  <c r="AC26" i="33"/>
  <c r="W37" i="39"/>
  <c r="AC37" i="39"/>
  <c r="AZ77" i="3"/>
  <c r="AZ353" i="3"/>
  <c r="AZ429" i="3"/>
  <c r="AZ285" i="3"/>
  <c r="AZ510" i="3"/>
  <c r="AA31" i="21"/>
  <c r="S31" i="21"/>
  <c r="U31" i="40"/>
  <c r="AB31" i="40"/>
  <c r="AA44" i="21"/>
  <c r="S44" i="21"/>
  <c r="AC31" i="21"/>
  <c r="W31" i="21"/>
  <c r="E8" i="6"/>
  <c r="E51" i="40" s="1"/>
  <c r="AZ102" i="3"/>
  <c r="AZ48" i="3"/>
  <c r="AZ574" i="3"/>
  <c r="U31" i="21"/>
  <c r="AB31" i="21"/>
  <c r="AA44" i="39"/>
  <c r="S44" i="39"/>
  <c r="F7" i="85"/>
  <c r="J7" i="36"/>
  <c r="W23" i="34"/>
  <c r="AZ62" i="3"/>
  <c r="AZ247" i="3"/>
  <c r="AZ302" i="3"/>
  <c r="AZ490" i="3"/>
  <c r="AZ544" i="3"/>
  <c r="H7" i="85"/>
  <c r="F32" i="33"/>
  <c r="F101" i="33"/>
  <c r="G101" i="33" s="1"/>
  <c r="H101" i="33" s="1"/>
  <c r="I101" i="33" s="1"/>
  <c r="J101" i="33" s="1"/>
  <c r="K101" i="33" s="1"/>
  <c r="L101" i="33" s="1"/>
  <c r="M101" i="33" s="1"/>
  <c r="J32" i="33"/>
  <c r="AZ146" i="3"/>
  <c r="W15" i="33"/>
  <c r="AC13" i="21"/>
  <c r="W13" i="21"/>
  <c r="J7" i="85"/>
  <c r="AZ245" i="3"/>
  <c r="AZ480" i="3"/>
  <c r="AZ437" i="3"/>
  <c r="AA31" i="33"/>
  <c r="S31" i="33"/>
  <c r="S12" i="21"/>
  <c r="AA12" i="21"/>
  <c r="AC36" i="39"/>
  <c r="W36" i="39"/>
  <c r="AZ25" i="3"/>
  <c r="U13" i="37"/>
  <c r="AZ60" i="3"/>
  <c r="AZ558" i="3"/>
  <c r="D26" i="71"/>
  <c r="C27" i="71"/>
  <c r="AB36" i="39"/>
  <c r="U36" i="39"/>
  <c r="AZ81" i="3"/>
  <c r="AZ222" i="3"/>
  <c r="E10" i="6"/>
  <c r="AC39" i="40"/>
  <c r="W39" i="40"/>
  <c r="S36" i="39"/>
  <c r="AA36" i="39"/>
  <c r="AZ42" i="3"/>
  <c r="W14" i="35"/>
  <c r="AC14" i="35"/>
  <c r="F61" i="71"/>
  <c r="Q62" i="71"/>
  <c r="AA37" i="39"/>
  <c r="S37" i="39"/>
  <c r="W14" i="40"/>
  <c r="AC14" i="40"/>
  <c r="AZ52" i="3"/>
  <c r="AZ79" i="3"/>
  <c r="AZ260" i="3"/>
  <c r="AZ451" i="3"/>
  <c r="AZ237" i="3"/>
  <c r="AZ28" i="3"/>
  <c r="AZ385" i="3"/>
  <c r="AZ287" i="3"/>
  <c r="AZ443" i="3"/>
  <c r="AZ348" i="3"/>
  <c r="AZ542" i="3"/>
  <c r="H111" i="33"/>
  <c r="I111" i="33" s="1"/>
  <c r="J111" i="33" s="1"/>
  <c r="K111" i="33" s="1"/>
  <c r="L111" i="33" s="1"/>
  <c r="M111" i="33" s="1"/>
  <c r="J36" i="33"/>
  <c r="AC26" i="35"/>
  <c r="W26" i="35"/>
  <c r="U15" i="34"/>
  <c r="BL5" i="3"/>
  <c r="AZ80" i="3"/>
  <c r="AZ78" i="3"/>
  <c r="AZ248" i="3"/>
  <c r="AZ54" i="3"/>
  <c r="AZ197" i="3"/>
  <c r="AZ138" i="3"/>
  <c r="AZ56" i="3"/>
  <c r="AZ475" i="3"/>
  <c r="AZ182" i="3"/>
  <c r="AZ386" i="3"/>
  <c r="AZ491" i="3"/>
  <c r="AZ111" i="3"/>
  <c r="AZ97" i="3"/>
  <c r="AZ71" i="3"/>
  <c r="AZ118" i="3"/>
  <c r="AZ472" i="3"/>
  <c r="AZ424" i="3"/>
  <c r="D59" i="81"/>
  <c r="E59" i="81" s="1"/>
  <c r="F59" i="81" s="1"/>
  <c r="G59" i="81" s="1"/>
  <c r="H59" i="81" s="1"/>
  <c r="I59" i="81" s="1"/>
  <c r="J59" i="81" s="1"/>
  <c r="K59" i="81" s="1"/>
  <c r="L59" i="81" s="1"/>
  <c r="M59" i="81" s="1"/>
  <c r="N59" i="81" s="1"/>
  <c r="O59" i="81" s="1"/>
  <c r="D46" i="71"/>
  <c r="C47" i="71"/>
  <c r="AZ269" i="3"/>
  <c r="AZ256" i="3"/>
  <c r="AZ223" i="3"/>
  <c r="AB43" i="39"/>
  <c r="U43" i="39"/>
  <c r="AA25" i="37"/>
  <c r="S25" i="37"/>
  <c r="AB33" i="36"/>
  <c r="U33" i="36"/>
  <c r="AB24" i="36"/>
  <c r="U24" i="36"/>
  <c r="S13" i="36"/>
  <c r="AA13" i="36"/>
  <c r="U17" i="34"/>
  <c r="AB17" i="34"/>
  <c r="AB12" i="34"/>
  <c r="U12" i="34"/>
  <c r="AC30" i="21"/>
  <c r="W30" i="21"/>
  <c r="W45" i="33"/>
  <c r="AC45" i="33"/>
  <c r="AB32" i="34"/>
  <c r="U32" i="34"/>
  <c r="S13" i="37"/>
  <c r="AA13" i="37"/>
  <c r="AB14" i="39"/>
  <c r="U14" i="39"/>
  <c r="S36" i="35"/>
  <c r="AA36" i="35"/>
  <c r="AB40" i="40"/>
  <c r="U40" i="40"/>
  <c r="U13" i="40"/>
  <c r="AB13" i="40"/>
  <c r="AB38" i="37"/>
  <c r="U38" i="37"/>
  <c r="U30" i="34"/>
  <c r="AB30" i="34"/>
  <c r="U45" i="33"/>
  <c r="AB45" i="33"/>
  <c r="AC29" i="33"/>
  <c r="W29" i="33"/>
  <c r="AZ59" i="3"/>
  <c r="AZ397" i="3"/>
  <c r="D58" i="80"/>
  <c r="E58" i="80" s="1"/>
  <c r="F58" i="80" s="1"/>
  <c r="G58" i="80" s="1"/>
  <c r="H58" i="80" s="1"/>
  <c r="I58" i="80" s="1"/>
  <c r="J58" i="80" s="1"/>
  <c r="K58" i="80" s="1"/>
  <c r="L58" i="80" s="1"/>
  <c r="M58" i="80" s="1"/>
  <c r="N58" i="80" s="1"/>
  <c r="O58" i="80" s="1"/>
  <c r="AA40" i="40"/>
  <c r="S40" i="40"/>
  <c r="W43" i="39"/>
  <c r="AC43" i="39"/>
  <c r="AA33" i="36"/>
  <c r="S33" i="36"/>
  <c r="S34" i="36"/>
  <c r="AA34" i="36"/>
  <c r="AB34" i="36"/>
  <c r="U34" i="36"/>
  <c r="AC24" i="36"/>
  <c r="W24" i="36"/>
  <c r="AB13" i="36"/>
  <c r="U13" i="36"/>
  <c r="U30" i="21"/>
  <c r="AB30" i="21"/>
  <c r="AB14" i="34"/>
  <c r="U14" i="34"/>
  <c r="AA24" i="35"/>
  <c r="S24" i="35"/>
  <c r="S12" i="39"/>
  <c r="AA12" i="39"/>
  <c r="W40" i="40"/>
  <c r="AC40" i="40"/>
  <c r="AA13" i="40"/>
  <c r="S13" i="40"/>
  <c r="W13" i="37"/>
  <c r="AC13" i="37"/>
  <c r="W30" i="34"/>
  <c r="AC30" i="34"/>
  <c r="AA45" i="33"/>
  <c r="S45" i="33"/>
  <c r="S29" i="33"/>
  <c r="AA29" i="33"/>
  <c r="AB43" i="34"/>
  <c r="U43" i="34"/>
  <c r="S35" i="33"/>
  <c r="AC35" i="33"/>
  <c r="AB35" i="33"/>
  <c r="AA46" i="34"/>
  <c r="F71" i="67"/>
  <c r="F71" i="15"/>
  <c r="M7" i="15"/>
  <c r="J6" i="15" s="1"/>
  <c r="J18" i="15" s="1"/>
  <c r="F50" i="15"/>
  <c r="C49" i="15" s="1"/>
  <c r="C6" i="15"/>
  <c r="C32" i="15" s="1"/>
  <c r="F50" i="67"/>
  <c r="C6" i="67"/>
  <c r="C32" i="67" s="1"/>
  <c r="M7" i="67"/>
  <c r="J6" i="67" s="1"/>
  <c r="J18" i="67" s="1"/>
  <c r="F70" i="67"/>
  <c r="M13" i="1"/>
  <c r="AZ186" i="3"/>
  <c r="AZ137" i="3"/>
  <c r="AC25" i="37"/>
  <c r="W25" i="37"/>
  <c r="U12" i="36"/>
  <c r="AB12" i="36"/>
  <c r="AB35" i="39"/>
  <c r="U35" i="39"/>
  <c r="AZ333" i="3"/>
  <c r="AZ82" i="3"/>
  <c r="T31" i="71"/>
  <c r="D31" i="71"/>
  <c r="AZ277" i="3"/>
  <c r="AZ400" i="3"/>
  <c r="AC23" i="35"/>
  <c r="W23" i="35"/>
  <c r="AZ91" i="3"/>
  <c r="C39" i="71"/>
  <c r="D38" i="71"/>
  <c r="AZ398" i="3"/>
  <c r="AA32" i="36"/>
  <c r="S32" i="36"/>
  <c r="AA28" i="21"/>
  <c r="S28" i="21"/>
  <c r="AZ15" i="3"/>
  <c r="I21" i="66"/>
  <c r="D1" i="66" s="1"/>
  <c r="E10" i="66" s="1"/>
  <c r="AZ31" i="3"/>
  <c r="AC44" i="39"/>
  <c r="W44" i="39"/>
  <c r="AZ465" i="3"/>
  <c r="U28" i="21"/>
  <c r="AB28" i="21"/>
  <c r="F27" i="6"/>
  <c r="AA15" i="34"/>
  <c r="AZ246" i="3"/>
  <c r="AZ55" i="3"/>
  <c r="AZ114" i="3"/>
  <c r="AZ467" i="3"/>
  <c r="AZ234" i="3"/>
  <c r="AA26" i="37"/>
  <c r="S26" i="37"/>
  <c r="AC28" i="21"/>
  <c r="W28" i="21"/>
  <c r="J7" i="34"/>
  <c r="W7" i="34" s="1"/>
  <c r="AZ20" i="3"/>
  <c r="AZ141" i="3"/>
  <c r="AZ93" i="3"/>
  <c r="AZ466" i="3"/>
  <c r="AZ33" i="3"/>
  <c r="AZ473" i="3"/>
  <c r="AZ402" i="3"/>
  <c r="AZ233" i="3"/>
  <c r="AZ458" i="3"/>
  <c r="AC9" i="33"/>
  <c r="W9" i="33"/>
  <c r="AZ576" i="3"/>
  <c r="S23" i="34"/>
  <c r="C35" i="71"/>
  <c r="D34" i="71"/>
  <c r="AZ289" i="3"/>
  <c r="AZ281" i="3"/>
  <c r="D54" i="71"/>
  <c r="C55" i="71"/>
  <c r="AC45" i="39"/>
  <c r="W45" i="39"/>
  <c r="AB9" i="33"/>
  <c r="U9" i="33"/>
  <c r="C69" i="71"/>
  <c r="D69" i="71" s="1"/>
  <c r="D70" i="71"/>
  <c r="AZ297" i="3"/>
  <c r="AZ66" i="3"/>
  <c r="AA37" i="34"/>
  <c r="S37" i="34"/>
  <c r="F30" i="6"/>
  <c r="E28" i="6"/>
  <c r="W46" i="34"/>
  <c r="AC46" i="34"/>
  <c r="E19" i="6"/>
  <c r="K6" i="1" s="1"/>
  <c r="M6" i="1" s="1"/>
  <c r="O6" i="1" s="1"/>
  <c r="AZ110" i="3"/>
  <c r="AZ469" i="3"/>
  <c r="AB38" i="40"/>
  <c r="U38" i="40"/>
  <c r="AZ44" i="3"/>
  <c r="AZ296" i="3"/>
  <c r="U37" i="34"/>
  <c r="AB37" i="34"/>
  <c r="AA9" i="36"/>
  <c r="S9" i="36"/>
  <c r="AB26" i="37"/>
  <c r="U26" i="37"/>
  <c r="E11" i="6"/>
  <c r="AZ84" i="3"/>
  <c r="AZ85" i="3"/>
  <c r="AZ282" i="3"/>
  <c r="AZ32" i="3"/>
  <c r="AZ419" i="3"/>
  <c r="AZ43" i="3"/>
  <c r="AZ279" i="3"/>
  <c r="AZ217" i="3"/>
  <c r="W12" i="34"/>
  <c r="AC12" i="34"/>
  <c r="S12" i="35"/>
  <c r="AA12" i="35"/>
  <c r="S12" i="36"/>
  <c r="AA12" i="36"/>
  <c r="C5" i="43"/>
  <c r="O62" i="71"/>
  <c r="C61" i="71"/>
  <c r="D62" i="71"/>
  <c r="AZ105" i="3"/>
  <c r="AZ162" i="3"/>
  <c r="AZ61" i="3"/>
  <c r="AZ173" i="3"/>
  <c r="AZ280" i="3"/>
  <c r="AZ406" i="3"/>
  <c r="AZ198" i="3"/>
  <c r="AZ213" i="3"/>
  <c r="AZ488" i="3"/>
  <c r="S45" i="39"/>
  <c r="AA45" i="39"/>
  <c r="AZ445" i="3"/>
  <c r="W12" i="36"/>
  <c r="AC12" i="36"/>
  <c r="AA35" i="39"/>
  <c r="S35" i="39"/>
  <c r="G29" i="6"/>
  <c r="E29" i="6" s="1"/>
  <c r="K15" i="1" s="1"/>
  <c r="W15" i="34"/>
  <c r="AC15" i="34"/>
  <c r="F7" i="36"/>
  <c r="J7" i="37"/>
  <c r="AC7" i="37" s="1"/>
  <c r="V42" i="37" s="1"/>
  <c r="I42" i="37" s="1"/>
  <c r="H7" i="36"/>
  <c r="H7" i="34"/>
  <c r="U7" i="34" s="1"/>
  <c r="F7" i="34"/>
  <c r="AA7" i="34" s="1"/>
  <c r="BA5" i="3"/>
  <c r="E27" i="6" s="1"/>
  <c r="B18" i="71"/>
  <c r="B17" i="71" s="1"/>
  <c r="B16" i="71" s="1"/>
  <c r="B15" i="71" s="1"/>
  <c r="S19" i="71"/>
  <c r="N62" i="71"/>
  <c r="B61" i="71"/>
  <c r="C19" i="77"/>
  <c r="P25" i="77"/>
  <c r="P21" i="77"/>
  <c r="P24" i="77"/>
  <c r="AC36" i="35"/>
  <c r="W36" i="35"/>
  <c r="AA34" i="35"/>
  <c r="S34" i="35"/>
  <c r="AG11" i="77"/>
  <c r="AG13" i="77" s="1"/>
  <c r="AC11" i="77"/>
  <c r="AC13" i="77" s="1"/>
  <c r="Y11" i="77"/>
  <c r="Y13" i="77" s="1"/>
  <c r="S3" i="77"/>
  <c r="AI11" i="77"/>
  <c r="AI13" i="77" s="1"/>
  <c r="AE11" i="77"/>
  <c r="AE13" i="77" s="1"/>
  <c r="AA11" i="77"/>
  <c r="AA13" i="77" s="1"/>
  <c r="S6" i="77"/>
  <c r="S5" i="77"/>
  <c r="S2" i="77"/>
  <c r="L101" i="77"/>
  <c r="H101" i="77"/>
  <c r="D101" i="77"/>
  <c r="M101" i="77"/>
  <c r="I101" i="77"/>
  <c r="E101" i="77"/>
  <c r="H22" i="77"/>
  <c r="S4" i="77"/>
  <c r="Z7" i="77"/>
  <c r="AB11" i="77"/>
  <c r="AB13" i="77" s="1"/>
  <c r="AF11" i="77"/>
  <c r="AF13" i="77" s="1"/>
  <c r="AJ11" i="77"/>
  <c r="AJ13" i="77" s="1"/>
  <c r="E22" i="77"/>
  <c r="G22" i="77"/>
  <c r="N101" i="77"/>
  <c r="J101" i="77"/>
  <c r="F101" i="77"/>
  <c r="B113" i="77"/>
  <c r="K101" i="77"/>
  <c r="G101" i="77"/>
  <c r="C101" i="77"/>
  <c r="F22" i="77"/>
  <c r="S7" i="77"/>
  <c r="Z11" i="77"/>
  <c r="Z13" i="77" s="1"/>
  <c r="AD11" i="77"/>
  <c r="AD13" i="77" s="1"/>
  <c r="AH11" i="77"/>
  <c r="AH13" i="77" s="1"/>
  <c r="J22" i="77"/>
  <c r="C23" i="77"/>
  <c r="C21" i="77" s="1"/>
  <c r="E6" i="71"/>
  <c r="E5" i="71" s="1"/>
  <c r="V7" i="71"/>
  <c r="D70" i="39"/>
  <c r="E68" i="39"/>
  <c r="C18" i="71"/>
  <c r="D19" i="71"/>
  <c r="U19" i="71" s="1"/>
  <c r="T19" i="71"/>
  <c r="P22" i="77"/>
  <c r="P23" i="77"/>
  <c r="E7" i="12"/>
  <c r="K11" i="1"/>
  <c r="AB34" i="35"/>
  <c r="U34" i="35"/>
  <c r="U9" i="34"/>
  <c r="AB9" i="34"/>
  <c r="C19" i="43"/>
  <c r="E59" i="40"/>
  <c r="E490" i="3"/>
  <c r="F48" i="68"/>
  <c r="C30" i="68"/>
  <c r="C48" i="68"/>
  <c r="C30" i="11"/>
  <c r="C48" i="11"/>
  <c r="F48" i="69"/>
  <c r="C30" i="69"/>
  <c r="C48" i="69"/>
  <c r="E410" i="3"/>
  <c r="E156" i="3"/>
  <c r="E399" i="3"/>
  <c r="E453" i="3"/>
  <c r="E439" i="3"/>
  <c r="E148" i="3"/>
  <c r="E262" i="3"/>
  <c r="E568" i="3"/>
  <c r="E305" i="3"/>
  <c r="E533" i="3"/>
  <c r="E361" i="3"/>
  <c r="E493" i="3"/>
  <c r="E236" i="3"/>
  <c r="E136" i="3"/>
  <c r="E296" i="3"/>
  <c r="E536" i="3"/>
  <c r="E143" i="3"/>
  <c r="E388" i="3"/>
  <c r="E530" i="3"/>
  <c r="E561" i="3"/>
  <c r="E124" i="3"/>
  <c r="E347" i="3"/>
  <c r="E69" i="3"/>
  <c r="E238" i="3"/>
  <c r="E486" i="3"/>
  <c r="E228" i="3"/>
  <c r="E188" i="3"/>
  <c r="E99" i="3"/>
  <c r="E191" i="3"/>
  <c r="E196" i="3"/>
  <c r="E244" i="3"/>
  <c r="E368" i="3"/>
  <c r="E549" i="3"/>
  <c r="I6" i="3"/>
  <c r="E397" i="3"/>
  <c r="E337" i="3"/>
  <c r="E555" i="3"/>
  <c r="E508" i="3"/>
  <c r="E343" i="3"/>
  <c r="E175" i="3"/>
  <c r="E538" i="3"/>
  <c r="AR6" i="3"/>
  <c r="E270" i="3"/>
  <c r="E280" i="3"/>
  <c r="AA6" i="3"/>
  <c r="E503" i="3"/>
  <c r="E563" i="3"/>
  <c r="E61" i="3"/>
  <c r="E122" i="3"/>
  <c r="E105" i="3"/>
  <c r="E543" i="3"/>
  <c r="E422" i="3"/>
  <c r="E62" i="39"/>
  <c r="E56" i="39"/>
  <c r="E159" i="3"/>
  <c r="E245" i="3"/>
  <c r="E301" i="3"/>
  <c r="E263" i="3"/>
  <c r="E303" i="3"/>
  <c r="E306" i="3"/>
  <c r="E434" i="3"/>
  <c r="AK6" i="3"/>
  <c r="E16" i="3"/>
  <c r="E511" i="3"/>
  <c r="E314" i="3"/>
  <c r="E97" i="3"/>
  <c r="E285" i="3"/>
  <c r="E359" i="3"/>
  <c r="E574" i="3"/>
  <c r="O6" i="3"/>
  <c r="E328" i="3"/>
  <c r="E426" i="3"/>
  <c r="E153" i="3"/>
  <c r="E501" i="3"/>
  <c r="E319" i="3"/>
  <c r="E53" i="3"/>
  <c r="E418" i="3"/>
  <c r="E506" i="3"/>
  <c r="E523" i="3"/>
  <c r="S6" i="3"/>
  <c r="E390" i="3"/>
  <c r="E293" i="3"/>
  <c r="E246" i="3"/>
  <c r="E336" i="3"/>
  <c r="X6" i="3"/>
  <c r="E583" i="3"/>
  <c r="E302" i="3"/>
  <c r="E17" i="3"/>
  <c r="E172" i="3"/>
  <c r="E278" i="3"/>
  <c r="E298" i="3"/>
  <c r="E161" i="3"/>
  <c r="E230" i="3"/>
  <c r="E85" i="3"/>
  <c r="E116" i="3"/>
  <c r="E393" i="3"/>
  <c r="E564" i="3"/>
  <c r="E427" i="3"/>
  <c r="E507" i="3"/>
  <c r="E440" i="3"/>
  <c r="E562" i="3"/>
  <c r="E556" i="3"/>
  <c r="E360" i="3"/>
  <c r="E451" i="3"/>
  <c r="E408" i="3"/>
  <c r="E512" i="3"/>
  <c r="E469" i="3"/>
  <c r="E456" i="3"/>
  <c r="E405" i="3"/>
  <c r="T6" i="3"/>
  <c r="E534" i="3"/>
  <c r="E525" i="3"/>
  <c r="E369" i="3"/>
  <c r="E173" i="3"/>
  <c r="E197" i="3"/>
  <c r="E223" i="3"/>
  <c r="E140" i="3"/>
  <c r="E254" i="3"/>
  <c r="E320" i="3"/>
  <c r="E117" i="3"/>
  <c r="E290" i="3"/>
  <c r="E169" i="3"/>
  <c r="E321" i="3"/>
  <c r="E114" i="3"/>
  <c r="E415" i="3"/>
  <c r="E395"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58" i="40"/>
  <c r="E63" i="39"/>
  <c r="E60" i="40"/>
  <c r="E65" i="39"/>
  <c r="E213" i="3"/>
  <c r="E183" i="3"/>
  <c r="E565" i="3"/>
  <c r="E528" i="3"/>
  <c r="E304" i="3"/>
  <c r="E261" i="3"/>
  <c r="E237" i="3"/>
  <c r="E380" i="3"/>
  <c r="E231" i="3"/>
  <c r="E216" i="3"/>
  <c r="E185" i="3"/>
  <c r="E135" i="3"/>
  <c r="E221" i="3"/>
  <c r="E180" i="3"/>
  <c r="E294" i="3"/>
  <c r="E130" i="3"/>
  <c r="E269"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38" i="3"/>
  <c r="E335" i="3"/>
  <c r="E189" i="3"/>
  <c r="E9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215" i="3"/>
  <c r="E181" i="3"/>
  <c r="E207" i="3"/>
  <c r="E271" i="3"/>
  <c r="E145" i="3"/>
  <c r="E107" i="3"/>
  <c r="E379" i="3"/>
  <c r="E585" i="3"/>
  <c r="U6" i="3"/>
  <c r="E515" i="3"/>
  <c r="E411" i="3"/>
  <c r="E478" i="3"/>
  <c r="E548" i="3"/>
  <c r="E414" i="3"/>
  <c r="E432" i="3"/>
  <c r="E477" i="3"/>
  <c r="E367" i="3"/>
  <c r="E587" i="3"/>
  <c r="W6" i="3"/>
  <c r="AE6" i="3"/>
  <c r="E571" i="3"/>
  <c r="E577" i="3"/>
  <c r="E537" i="3"/>
  <c r="E429" i="3"/>
  <c r="E450" i="3"/>
  <c r="E468" i="3"/>
  <c r="E471" i="3"/>
  <c r="E496" i="3"/>
  <c r="E433" i="3"/>
  <c r="E454" i="3"/>
  <c r="E475" i="3"/>
  <c r="E55" i="3"/>
  <c r="E72" i="3"/>
  <c r="E106" i="3"/>
  <c r="E54" i="3"/>
  <c r="E73" i="3"/>
  <c r="E111" i="3"/>
  <c r="E146" i="3"/>
  <c r="E168" i="3"/>
  <c r="E203" i="3"/>
  <c r="E150" i="3"/>
  <c r="E171"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134" i="3"/>
  <c r="E252" i="3"/>
  <c r="E204" i="3"/>
  <c r="E164" i="3"/>
  <c r="E327" i="3"/>
  <c r="E576" i="3"/>
  <c r="AG6" i="3"/>
  <c r="E448" i="3"/>
  <c r="P6" i="3"/>
  <c r="E443" i="3"/>
  <c r="E558" i="3"/>
  <c r="E497" i="3"/>
  <c r="E13" i="3"/>
  <c r="E494" i="3"/>
  <c r="E452" i="3"/>
  <c r="E470" i="3"/>
  <c r="E420" i="3"/>
  <c r="E26" i="3"/>
  <c r="E104" i="3"/>
  <c r="E41" i="3"/>
  <c r="E115" i="3"/>
  <c r="E198" i="3"/>
  <c r="E139" i="3"/>
  <c r="E208" i="3"/>
  <c r="E256" i="3"/>
  <c r="E279" i="3"/>
  <c r="E214" i="3"/>
  <c r="E257" i="3"/>
  <c r="E274" i="3"/>
  <c r="E351" i="3"/>
  <c r="E315" i="3"/>
  <c r="E357" i="3"/>
  <c r="E394" i="3"/>
  <c r="E318" i="3"/>
  <c r="E362" i="3"/>
  <c r="E14" i="3"/>
  <c r="E580" i="3"/>
  <c r="E31" i="3"/>
  <c r="E74" i="3"/>
  <c r="E93" i="3"/>
  <c r="E32" i="3"/>
  <c r="E75" i="3"/>
  <c r="E409" i="3"/>
  <c r="E473"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Z6" i="3"/>
  <c r="AO6" i="3"/>
  <c r="E485" i="3"/>
  <c r="E400" i="3"/>
  <c r="E345" i="3"/>
  <c r="AH6" i="3"/>
  <c r="J6" i="3"/>
  <c r="E498" i="3"/>
  <c r="E419" i="3"/>
  <c r="E483" i="3"/>
  <c r="E401" i="3"/>
  <c r="E463" i="3"/>
  <c r="E40" i="3"/>
  <c r="E25" i="3"/>
  <c r="E108" i="3"/>
  <c r="E178" i="3"/>
  <c r="E119" i="3"/>
  <c r="E202" i="3"/>
  <c r="E225" i="3"/>
  <c r="E242" i="3"/>
  <c r="E281" i="3"/>
  <c r="E226" i="3"/>
  <c r="E243" i="3"/>
  <c r="E276" i="3"/>
  <c r="E332" i="3"/>
  <c r="E346" i="3"/>
  <c r="E391" i="3"/>
  <c r="E333" i="3"/>
  <c r="E356" i="3"/>
  <c r="E372" i="3"/>
  <c r="AL6" i="3"/>
  <c r="L6" i="3"/>
  <c r="E42" i="3"/>
  <c r="E60" i="3"/>
  <c r="E94" i="3"/>
  <c r="E43" i="3"/>
  <c r="E488" i="3"/>
  <c r="E428" i="3"/>
  <c r="E482"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4" i="43"/>
  <c r="B66" i="40" s="1"/>
  <c r="P21" i="43"/>
  <c r="P25" i="43"/>
  <c r="P23" i="43"/>
  <c r="B71" i="39" s="1"/>
  <c r="M28" i="43"/>
  <c r="N28" i="43"/>
  <c r="G20" i="43" s="1"/>
  <c r="O28" i="43"/>
  <c r="P28" i="43"/>
  <c r="M11" i="67"/>
  <c r="J10" i="67" s="1"/>
  <c r="F11" i="15"/>
  <c r="M11" i="15"/>
  <c r="F11" i="67"/>
  <c r="B2" i="70"/>
  <c r="B3" i="70" s="1"/>
  <c r="C17" i="15"/>
  <c r="C16" i="15"/>
  <c r="C17" i="67"/>
  <c r="C14" i="15"/>
  <c r="C14" i="67"/>
  <c r="G1" i="73"/>
  <c r="C16" i="67"/>
  <c r="Q52" i="15" l="1"/>
  <c r="F1" i="15"/>
  <c r="S29" i="35"/>
  <c r="AA29" i="35"/>
  <c r="B40" i="1"/>
  <c r="I18" i="78" s="1"/>
  <c r="C18" i="78" s="1"/>
  <c r="E16" i="78" s="1"/>
  <c r="Q60" i="15"/>
  <c r="F7" i="80"/>
  <c r="Q61" i="15"/>
  <c r="AA17" i="34"/>
  <c r="S17" i="34"/>
  <c r="J7" i="80"/>
  <c r="H7" i="80"/>
  <c r="Q61" i="67"/>
  <c r="Q52" i="67"/>
  <c r="Q73" i="67"/>
  <c r="C49" i="67"/>
  <c r="J7" i="81"/>
  <c r="W7" i="81" s="1"/>
  <c r="AA7" i="85"/>
  <c r="S7" i="85"/>
  <c r="W32" i="33"/>
  <c r="AC32" i="33"/>
  <c r="W36" i="33"/>
  <c r="AC36" i="33"/>
  <c r="AA32" i="33"/>
  <c r="S32" i="33"/>
  <c r="Q61" i="71"/>
  <c r="Q60" i="71"/>
  <c r="U7" i="85"/>
  <c r="AB7" i="85"/>
  <c r="T27" i="71"/>
  <c r="D27" i="71"/>
  <c r="W7" i="85"/>
  <c r="AC7" i="85"/>
  <c r="K26" i="6"/>
  <c r="M26" i="6" s="1"/>
  <c r="I26" i="6" s="1"/>
  <c r="S26" i="6" s="1"/>
  <c r="K22" i="6"/>
  <c r="K24" i="6"/>
  <c r="AZ5" i="3"/>
  <c r="E3" i="6" s="1"/>
  <c r="AA7" i="80"/>
  <c r="S7" i="80"/>
  <c r="T47" i="71"/>
  <c r="D47" i="71"/>
  <c r="H7" i="81"/>
  <c r="F7" i="81"/>
  <c r="W7" i="80"/>
  <c r="AC7" i="80"/>
  <c r="AB7" i="80"/>
  <c r="U7" i="80"/>
  <c r="AC7" i="34"/>
  <c r="S7" i="34"/>
  <c r="AB7" i="34"/>
  <c r="J10" i="15"/>
  <c r="J5" i="15" s="1"/>
  <c r="J24" i="15" s="1"/>
  <c r="C15" i="15"/>
  <c r="C18" i="15"/>
  <c r="C15" i="67"/>
  <c r="C18" i="67"/>
  <c r="T39" i="71"/>
  <c r="D39" i="71"/>
  <c r="E61" i="39"/>
  <c r="E56" i="40"/>
  <c r="E30" i="6"/>
  <c r="E31" i="6" s="1"/>
  <c r="K14" i="1"/>
  <c r="M14" i="1" s="1"/>
  <c r="T55" i="71"/>
  <c r="D55" i="71"/>
  <c r="E16" i="6"/>
  <c r="J5" i="67"/>
  <c r="J26" i="67" s="1"/>
  <c r="J29" i="67" s="1"/>
  <c r="D61" i="71"/>
  <c r="O61" i="71"/>
  <c r="O60" i="71"/>
  <c r="M19" i="77"/>
  <c r="D35" i="71"/>
  <c r="M19" i="43" s="1"/>
  <c r="T35" i="71"/>
  <c r="O13" i="1"/>
  <c r="K25" i="6"/>
  <c r="M25" i="6" s="1"/>
  <c r="I25" i="6" s="1"/>
  <c r="S25" i="6" s="1"/>
  <c r="F31" i="6"/>
  <c r="K21" i="6"/>
  <c r="M21" i="6" s="1"/>
  <c r="I21" i="6" s="1"/>
  <c r="S21" i="6" s="1"/>
  <c r="G30" i="6"/>
  <c r="G31" i="6" s="1"/>
  <c r="U7" i="37"/>
  <c r="M11" i="1"/>
  <c r="H16" i="1"/>
  <c r="Q16" i="1"/>
  <c r="G16" i="1"/>
  <c r="C17" i="71"/>
  <c r="D18" i="71"/>
  <c r="F68" i="39"/>
  <c r="E70" i="39"/>
  <c r="G109" i="77"/>
  <c r="G106" i="77"/>
  <c r="G104" i="77"/>
  <c r="G102" i="77"/>
  <c r="G107" i="77"/>
  <c r="G105" i="77"/>
  <c r="G103" i="77"/>
  <c r="G118" i="77"/>
  <c r="H118" i="77" s="1"/>
  <c r="I116" i="77"/>
  <c r="J116" i="77" s="1"/>
  <c r="K116" i="77" s="1"/>
  <c r="L116" i="77" s="1"/>
  <c r="M116"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7" i="77"/>
  <c r="J117" i="77" s="1"/>
  <c r="K117" i="77" s="1"/>
  <c r="L117" i="77" s="1"/>
  <c r="M117" i="77" s="1"/>
  <c r="I115" i="77"/>
  <c r="J115" i="77" s="1"/>
  <c r="K115" i="77" s="1"/>
  <c r="L115" i="77" s="1"/>
  <c r="M115" i="77" s="1"/>
  <c r="B118" i="77"/>
  <c r="C118" i="77" s="1"/>
  <c r="B117" i="77"/>
  <c r="C117" i="77" s="1"/>
  <c r="B116" i="77"/>
  <c r="C116" i="77" s="1"/>
  <c r="B115" i="77"/>
  <c r="J109" i="77"/>
  <c r="J107" i="77"/>
  <c r="J105" i="77"/>
  <c r="J103" i="77"/>
  <c r="J106" i="77"/>
  <c r="J104" i="77"/>
  <c r="J102" i="77"/>
  <c r="E106" i="77"/>
  <c r="E104" i="77"/>
  <c r="E102" i="77"/>
  <c r="E109" i="77"/>
  <c r="E107" i="77"/>
  <c r="E105" i="77"/>
  <c r="E103" i="77"/>
  <c r="M106" i="77"/>
  <c r="M104" i="77"/>
  <c r="M102" i="77"/>
  <c r="M109" i="77"/>
  <c r="M107" i="77"/>
  <c r="M105" i="77"/>
  <c r="M103" i="77"/>
  <c r="H109" i="77"/>
  <c r="H106" i="77"/>
  <c r="H104" i="77"/>
  <c r="H102" i="77"/>
  <c r="H105" i="77"/>
  <c r="H107" i="77"/>
  <c r="H103" i="77"/>
  <c r="N61" i="71"/>
  <c r="N60" i="71"/>
  <c r="C20" i="43"/>
  <c r="T12" i="43" s="1"/>
  <c r="V12" i="43" s="1"/>
  <c r="E41" i="43"/>
  <c r="C41" i="43" s="1"/>
  <c r="C35" i="43"/>
  <c r="C109" i="77"/>
  <c r="C106" i="77"/>
  <c r="C104" i="77"/>
  <c r="C102" i="77"/>
  <c r="C107" i="77"/>
  <c r="C105" i="77"/>
  <c r="C103" i="77"/>
  <c r="K109" i="77"/>
  <c r="K106" i="77"/>
  <c r="K104" i="77"/>
  <c r="K102" i="77"/>
  <c r="K107" i="77"/>
  <c r="K105" i="77"/>
  <c r="K103" i="77"/>
  <c r="F109" i="77"/>
  <c r="F107" i="77"/>
  <c r="F105" i="77"/>
  <c r="F103" i="77"/>
  <c r="F106" i="77"/>
  <c r="F104" i="77"/>
  <c r="F102" i="77"/>
  <c r="N109" i="77"/>
  <c r="N107" i="77"/>
  <c r="N105" i="77"/>
  <c r="N103" i="77"/>
  <c r="N106" i="77"/>
  <c r="N104" i="77"/>
  <c r="N102" i="77"/>
  <c r="D22" i="77"/>
  <c r="I106" i="77"/>
  <c r="I104" i="77"/>
  <c r="I102" i="77"/>
  <c r="I109" i="77"/>
  <c r="I107" i="77"/>
  <c r="I105" i="77"/>
  <c r="I103" i="77"/>
  <c r="D109" i="77"/>
  <c r="D106" i="77"/>
  <c r="D104" i="77"/>
  <c r="D102" i="77"/>
  <c r="D107" i="77"/>
  <c r="D103" i="77"/>
  <c r="D105" i="77"/>
  <c r="L109" i="77"/>
  <c r="L106" i="77"/>
  <c r="L104" i="77"/>
  <c r="L102" i="77"/>
  <c r="L107" i="77"/>
  <c r="L103" i="77"/>
  <c r="L105" i="77"/>
  <c r="C39" i="77"/>
  <c r="C37" i="77"/>
  <c r="C35" i="77"/>
  <c r="C33" i="77"/>
  <c r="C38" i="77"/>
  <c r="C36" i="77"/>
  <c r="C34" i="77"/>
  <c r="T16" i="77"/>
  <c r="V16" i="77" s="1"/>
  <c r="T3" i="77"/>
  <c r="V3" i="77" s="1"/>
  <c r="T9" i="77"/>
  <c r="V9" i="77" s="1"/>
  <c r="T13" i="77"/>
  <c r="V13" i="77" s="1"/>
  <c r="T14" i="77"/>
  <c r="V14" i="77" s="1"/>
  <c r="T7" i="77"/>
  <c r="V7" i="77" s="1"/>
  <c r="T15" i="77"/>
  <c r="V15" i="77" s="1"/>
  <c r="T8" i="77"/>
  <c r="V8" i="77" s="1"/>
  <c r="C29" i="77"/>
  <c r="T10" i="77"/>
  <c r="V10" i="77" s="1"/>
  <c r="T4" i="77"/>
  <c r="V4" i="77" s="1"/>
  <c r="T6" i="77"/>
  <c r="V6" i="77" s="1"/>
  <c r="T2" i="77"/>
  <c r="V2" i="77" s="1"/>
  <c r="T11" i="77"/>
  <c r="V11" i="77" s="1"/>
  <c r="T5" i="77"/>
  <c r="V5" i="77" s="1"/>
  <c r="T12" i="77"/>
  <c r="V12" i="77" s="1"/>
  <c r="B14" i="71"/>
  <c r="B13" i="71" s="1"/>
  <c r="B12" i="71" s="1"/>
  <c r="B11" i="71" s="1"/>
  <c r="S15" i="71"/>
  <c r="AC6" i="3"/>
  <c r="H6" i="3"/>
  <c r="K19" i="6"/>
  <c r="K20" i="6"/>
  <c r="K23" i="6"/>
  <c r="M22" i="6"/>
  <c r="I22" i="6" s="1"/>
  <c r="S22" i="6" s="1"/>
  <c r="S9" i="1"/>
  <c r="M24" i="6"/>
  <c r="I24" i="6" s="1"/>
  <c r="S24" i="6" s="1"/>
  <c r="S11" i="1"/>
  <c r="E66"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10" i="15"/>
  <c r="C5" i="15" s="1"/>
  <c r="S8" i="1" l="1"/>
  <c r="S12" i="1"/>
  <c r="F22" i="69"/>
  <c r="F41" i="69" s="1"/>
  <c r="F24" i="15"/>
  <c r="C24" i="15" s="1"/>
  <c r="F24" i="67"/>
  <c r="C24" i="67" s="1"/>
  <c r="F22" i="68"/>
  <c r="F41" i="68" s="1"/>
  <c r="F25" i="12"/>
  <c r="C26" i="12" s="1"/>
  <c r="D25" i="12" s="1"/>
  <c r="F22" i="11"/>
  <c r="C48" i="67"/>
  <c r="C60" i="67" s="1"/>
  <c r="C33" i="85"/>
  <c r="D3" i="85"/>
  <c r="D19" i="11"/>
  <c r="C19" i="11" s="1"/>
  <c r="C20" i="11" s="1"/>
  <c r="L18" i="9"/>
  <c r="M18" i="9"/>
  <c r="B118" i="9" s="1"/>
  <c r="B14" i="74" s="1"/>
  <c r="B1" i="74" s="1"/>
  <c r="C8" i="74" s="1"/>
  <c r="D37" i="11"/>
  <c r="C37" i="11" s="1"/>
  <c r="C34" i="69"/>
  <c r="C35" i="69" s="1"/>
  <c r="AC7" i="81"/>
  <c r="M16" i="1"/>
  <c r="AY6" i="3"/>
  <c r="AA7" i="81"/>
  <c r="S7" i="81"/>
  <c r="D3" i="81"/>
  <c r="C33" i="80"/>
  <c r="D3" i="80"/>
  <c r="U7" i="81"/>
  <c r="AB7" i="81"/>
  <c r="J24" i="67"/>
  <c r="J26" i="15"/>
  <c r="J29" i="15" s="1"/>
  <c r="C19" i="67"/>
  <c r="C20" i="67" s="1"/>
  <c r="C26" i="67" s="1"/>
  <c r="C19" i="15"/>
  <c r="C20" i="15" s="1"/>
  <c r="C26" i="15" s="1"/>
  <c r="AY122" i="3"/>
  <c r="AY285" i="3"/>
  <c r="AY91" i="3"/>
  <c r="AY490" i="3"/>
  <c r="AY582" i="3"/>
  <c r="AY329" i="3"/>
  <c r="AY565" i="3"/>
  <c r="AY172" i="3"/>
  <c r="AY351" i="3"/>
  <c r="AY165" i="3"/>
  <c r="AY340" i="3"/>
  <c r="AY235" i="3"/>
  <c r="AY129" i="3"/>
  <c r="AY249" i="3"/>
  <c r="AY55" i="3"/>
  <c r="AY448" i="3"/>
  <c r="AY140" i="3"/>
  <c r="AY347" i="3"/>
  <c r="AY528" i="3"/>
  <c r="AY175" i="3"/>
  <c r="AY339" i="3"/>
  <c r="AY583" i="3"/>
  <c r="AY302" i="3"/>
  <c r="AY385" i="3"/>
  <c r="AY232" i="3"/>
  <c r="AY151" i="3"/>
  <c r="AY568" i="3"/>
  <c r="AY307" i="3"/>
  <c r="AY467" i="3"/>
  <c r="AY369" i="3"/>
  <c r="AY429" i="3"/>
  <c r="AY312" i="3"/>
  <c r="AY315" i="3"/>
  <c r="AY143" i="3"/>
  <c r="BT6" i="3"/>
  <c r="AY239" i="3"/>
  <c r="AY454" i="3"/>
  <c r="AY321" i="3"/>
  <c r="AY487" i="3"/>
  <c r="AY378" i="3"/>
  <c r="AY184" i="3"/>
  <c r="AY550" i="3"/>
  <c r="AY48" i="3"/>
  <c r="AY471" i="3"/>
  <c r="AY578" i="3"/>
  <c r="AY120" i="3"/>
  <c r="AY330" i="3"/>
  <c r="AY576" i="3"/>
  <c r="AY136" i="3"/>
  <c r="AY322" i="3"/>
  <c r="AY567" i="3"/>
  <c r="BD6" i="3"/>
  <c r="AY468" i="3"/>
  <c r="AY301" i="3"/>
  <c r="AY485" i="3"/>
  <c r="AY107" i="3"/>
  <c r="AY293" i="3"/>
  <c r="AY477" i="3"/>
  <c r="AY226" i="3"/>
  <c r="AY222" i="3"/>
  <c r="AY435" i="3"/>
  <c r="AY304" i="3"/>
  <c r="AY410" i="3"/>
  <c r="AY362" i="3"/>
  <c r="AY148" i="3"/>
  <c r="AY194" i="3"/>
  <c r="AY493" i="3"/>
  <c r="AY257" i="3"/>
  <c r="BL6" i="3"/>
  <c r="AY524" i="3"/>
  <c r="AY375" i="3"/>
  <c r="AY350" i="3"/>
  <c r="AY389" i="3"/>
  <c r="AY525" i="3"/>
  <c r="AY461" i="3"/>
  <c r="D3" i="6"/>
  <c r="AY346" i="3"/>
  <c r="AY128" i="3"/>
  <c r="BC6" i="3"/>
  <c r="AY158" i="3"/>
  <c r="AY458" i="3"/>
  <c r="AY110" i="3"/>
  <c r="AY296" i="3"/>
  <c r="AY482" i="3"/>
  <c r="AY102" i="3"/>
  <c r="AY288" i="3"/>
  <c r="AY474" i="3"/>
  <c r="AY71" i="3"/>
  <c r="AY544" i="3"/>
  <c r="AY135" i="3"/>
  <c r="AY494" i="3"/>
  <c r="AY13" i="3"/>
  <c r="AY53" i="3"/>
  <c r="BS6" i="3"/>
  <c r="BN6" i="3"/>
  <c r="AY418" i="3"/>
  <c r="AY531" i="3"/>
  <c r="AY469" i="3"/>
  <c r="AY277" i="3"/>
  <c r="AY511" i="3"/>
  <c r="AY137" i="3"/>
  <c r="AY426" i="3"/>
  <c r="AY79" i="3"/>
  <c r="AY265" i="3"/>
  <c r="AY451" i="3"/>
  <c r="AY443" i="3"/>
  <c r="AY584" i="3"/>
  <c r="AY364" i="3"/>
  <c r="AY195" i="3"/>
  <c r="AY230" i="3"/>
  <c r="AY93" i="3"/>
  <c r="AY518" i="3"/>
  <c r="AY399" i="3"/>
  <c r="AY63" i="3"/>
  <c r="AY456" i="3"/>
  <c r="AY241" i="3"/>
  <c r="AY504" i="3"/>
  <c r="AY287" i="3"/>
  <c r="AY439" i="3"/>
  <c r="AY47" i="3"/>
  <c r="AY233" i="3"/>
  <c r="AY440" i="3"/>
  <c r="AY39" i="3"/>
  <c r="AY272" i="3"/>
  <c r="AY432" i="3"/>
  <c r="AY332" i="3"/>
  <c r="AY40" i="3"/>
  <c r="AY508" i="3"/>
  <c r="AY564" i="3"/>
  <c r="AY46" i="3"/>
  <c r="AY224" i="3"/>
  <c r="AY586" i="3"/>
  <c r="AY251" i="3"/>
  <c r="AY407" i="3"/>
  <c r="AY62" i="3"/>
  <c r="AY248" i="3"/>
  <c r="AY408" i="3"/>
  <c r="AY54" i="3"/>
  <c r="AY240" i="3"/>
  <c r="AY400" i="3"/>
  <c r="AY200" i="3"/>
  <c r="AY203" i="3"/>
  <c r="AY437" i="3"/>
  <c r="AY510" i="3"/>
  <c r="AY150" i="3"/>
  <c r="AY577" i="3"/>
  <c r="AY537" i="3"/>
  <c r="AY192" i="3"/>
  <c r="AY558" i="3"/>
  <c r="AY391" i="3"/>
  <c r="AY498" i="3"/>
  <c r="AY234" i="3"/>
  <c r="AY506" i="3"/>
  <c r="AY30" i="3"/>
  <c r="AY216" i="3"/>
  <c r="AY421" i="3"/>
  <c r="AY22" i="3"/>
  <c r="AY208" i="3"/>
  <c r="AY413" i="3"/>
  <c r="AY156" i="3"/>
  <c r="AY500" i="3"/>
  <c r="AY521" i="3"/>
  <c r="AY205" i="3"/>
  <c r="AY338" i="3"/>
  <c r="AY383" i="3"/>
  <c r="AY15" i="3"/>
  <c r="AY217" i="3"/>
  <c r="AY279" i="3"/>
  <c r="AY49" i="3"/>
  <c r="AY548" i="3"/>
  <c r="AY560" i="3"/>
  <c r="AY354" i="3"/>
  <c r="AY501" i="3"/>
  <c r="AY380" i="3"/>
  <c r="AY14" i="3"/>
  <c r="AY19" i="3"/>
  <c r="AY394" i="3"/>
  <c r="AY386" i="3"/>
  <c r="D3" i="33"/>
  <c r="C34" i="34"/>
  <c r="L45" i="34" s="1"/>
  <c r="I3" i="78"/>
  <c r="D3" i="34"/>
  <c r="E6" i="6"/>
  <c r="D14" i="12"/>
  <c r="C17" i="4"/>
  <c r="B4" i="52" s="1"/>
  <c r="B43" i="72" s="1"/>
  <c r="D3" i="21"/>
  <c r="D3" i="37"/>
  <c r="K16" i="1"/>
  <c r="P13" i="1"/>
  <c r="P16" i="1" s="1"/>
  <c r="C11" i="12" s="1"/>
  <c r="O16" i="1"/>
  <c r="G34" i="77"/>
  <c r="I34" i="77" s="1"/>
  <c r="E34" i="77"/>
  <c r="G38" i="77"/>
  <c r="I38" i="77" s="1"/>
  <c r="E38" i="77"/>
  <c r="G35" i="77"/>
  <c r="I35" i="77" s="1"/>
  <c r="E35" i="77"/>
  <c r="G39" i="77"/>
  <c r="I39" i="77" s="1"/>
  <c r="E39" i="77"/>
  <c r="C38" i="43"/>
  <c r="C39" i="43"/>
  <c r="C115" i="77"/>
  <c r="D113" i="77" s="1"/>
  <c r="F10" i="39"/>
  <c r="H10" i="39"/>
  <c r="J10" i="39"/>
  <c r="J10" i="40"/>
  <c r="F10" i="40"/>
  <c r="H10" i="40"/>
  <c r="N16" i="1"/>
  <c r="C34" i="68"/>
  <c r="C34" i="11"/>
  <c r="L16" i="1"/>
  <c r="C37" i="43"/>
  <c r="C33" i="43"/>
  <c r="B10" i="71"/>
  <c r="B9" i="71" s="1"/>
  <c r="B8" i="71" s="1"/>
  <c r="B7" i="71" s="1"/>
  <c r="S11" i="71"/>
  <c r="C30" i="77"/>
  <c r="E30" i="77" s="1"/>
  <c r="E29" i="77"/>
  <c r="G36" i="77"/>
  <c r="I36" i="77" s="1"/>
  <c r="E36" i="77"/>
  <c r="G33" i="77"/>
  <c r="I33" i="77" s="1"/>
  <c r="E33" i="77"/>
  <c r="G37" i="77"/>
  <c r="I37" i="77" s="1"/>
  <c r="E37" i="77"/>
  <c r="E35" i="43"/>
  <c r="G35" i="43"/>
  <c r="I35" i="43" s="1"/>
  <c r="T15" i="43"/>
  <c r="V15" i="43" s="1"/>
  <c r="T13" i="43"/>
  <c r="V13" i="43" s="1"/>
  <c r="T11" i="43"/>
  <c r="V11" i="43" s="1"/>
  <c r="T8" i="43"/>
  <c r="V8" i="43" s="1"/>
  <c r="T10" i="43"/>
  <c r="V10" i="43" s="1"/>
  <c r="G68" i="39"/>
  <c r="F70" i="39"/>
  <c r="D17" i="71"/>
  <c r="C16" i="71"/>
  <c r="F27" i="69"/>
  <c r="F27" i="11"/>
  <c r="F27" i="68"/>
  <c r="F28" i="12"/>
  <c r="C29" i="12" s="1"/>
  <c r="D28" i="12" s="1"/>
  <c r="C34" i="43"/>
  <c r="T9" i="43"/>
  <c r="V9" i="43" s="1"/>
  <c r="C36" i="43"/>
  <c r="T16" i="43"/>
  <c r="V16" i="43" s="1"/>
  <c r="T14" i="43"/>
  <c r="V14" i="43" s="1"/>
  <c r="AQ12" i="1"/>
  <c r="AR12" i="1"/>
  <c r="T12" i="1"/>
  <c r="E6" i="3"/>
  <c r="S7" i="1"/>
  <c r="M20" i="6"/>
  <c r="I20" i="6" s="1"/>
  <c r="S10" i="1"/>
  <c r="M23" i="6"/>
  <c r="I23" i="6" s="1"/>
  <c r="S6" i="1"/>
  <c r="K27" i="6"/>
  <c r="M19" i="6"/>
  <c r="AQ11" i="1"/>
  <c r="T11" i="1"/>
  <c r="AR11" i="1"/>
  <c r="AR8" i="1"/>
  <c r="AQ8" i="1"/>
  <c r="T8" i="1"/>
  <c r="AR9" i="1"/>
  <c r="AQ9" i="1"/>
  <c r="T9" i="1"/>
  <c r="E40" i="36"/>
  <c r="F40" i="36" s="1"/>
  <c r="E41" i="36"/>
  <c r="F41" i="36" s="1"/>
  <c r="H48" i="35"/>
  <c r="I41" i="36"/>
  <c r="J41" i="36" s="1"/>
  <c r="R43" i="37"/>
  <c r="E42" i="37"/>
  <c r="G63" i="40"/>
  <c r="F65" i="40"/>
  <c r="C37" i="36"/>
  <c r="B2" i="36" s="1"/>
  <c r="B3" i="36" s="1"/>
  <c r="C36" i="36"/>
  <c r="G58" i="21"/>
  <c r="C60" i="15"/>
  <c r="C66" i="15"/>
  <c r="C38" i="67"/>
  <c r="C38" i="15"/>
  <c r="C44" i="68" l="1"/>
  <c r="D41" i="68" s="1"/>
  <c r="C26" i="68"/>
  <c r="D22" i="68" s="1"/>
  <c r="C44" i="69"/>
  <c r="D41" i="69" s="1"/>
  <c r="C26" i="69"/>
  <c r="D22" i="69" s="1"/>
  <c r="C24" i="11"/>
  <c r="C23" i="11"/>
  <c r="C44" i="11"/>
  <c r="D41" i="11" s="1"/>
  <c r="C26" i="11"/>
  <c r="D22" i="11" s="1"/>
  <c r="C25" i="11"/>
  <c r="C66" i="67"/>
  <c r="C38" i="69"/>
  <c r="AY463" i="3"/>
  <c r="AY243" i="3"/>
  <c r="AY32" i="3"/>
  <c r="AY563" i="3"/>
  <c r="AY167" i="3"/>
  <c r="AY512" i="3"/>
  <c r="AY323" i="3"/>
  <c r="AY427" i="3"/>
  <c r="AY371" i="3"/>
  <c r="AY123" i="3"/>
  <c r="AY66" i="3"/>
  <c r="AY229" i="3"/>
  <c r="AY105" i="3"/>
  <c r="AY51" i="3"/>
  <c r="AY553" i="3"/>
  <c r="AY392" i="3"/>
  <c r="AY334" i="3"/>
  <c r="AY535" i="3"/>
  <c r="AY358" i="3"/>
  <c r="AY73" i="3"/>
  <c r="AY316" i="3"/>
  <c r="BG6" i="3"/>
  <c r="AY533" i="3"/>
  <c r="AY227" i="3"/>
  <c r="AY275" i="3"/>
  <c r="AY419" i="3"/>
  <c r="AY64" i="3"/>
  <c r="AY479" i="3"/>
  <c r="BP6" i="3"/>
  <c r="AY423" i="3"/>
  <c r="AY152" i="3"/>
  <c r="AY197" i="3"/>
  <c r="AY89" i="3"/>
  <c r="AY43" i="3"/>
  <c r="AY300" i="3"/>
  <c r="AY130" i="3"/>
  <c r="AY530" i="3"/>
  <c r="AY238" i="3"/>
  <c r="AY92" i="3"/>
  <c r="AY393" i="3"/>
  <c r="AY142" i="3"/>
  <c r="AY519" i="3"/>
  <c r="AY127" i="3"/>
  <c r="AY587" i="3"/>
  <c r="AY306" i="3"/>
  <c r="AY446" i="3"/>
  <c r="AY488" i="3"/>
  <c r="AY425" i="3"/>
  <c r="AY261" i="3"/>
  <c r="AY176" i="3"/>
  <c r="AY212" i="3"/>
  <c r="AY100" i="3"/>
  <c r="AY124" i="3"/>
  <c r="AY77" i="3"/>
  <c r="AY381" i="3"/>
  <c r="AY444" i="3"/>
  <c r="AY574" i="3"/>
  <c r="AY433" i="3"/>
  <c r="AY56" i="3"/>
  <c r="AY475" i="3"/>
  <c r="AY34" i="3"/>
  <c r="AY97" i="3"/>
  <c r="AY384" i="3"/>
  <c r="AY258" i="3"/>
  <c r="AY503" i="3"/>
  <c r="AY21" i="3"/>
  <c r="AY476" i="3"/>
  <c r="AY16" i="3"/>
  <c r="AY499" i="3"/>
  <c r="AY87" i="3"/>
  <c r="AY41" i="3"/>
  <c r="AY562" i="3"/>
  <c r="AY571" i="3"/>
  <c r="BF6" i="3"/>
  <c r="AY569" i="3"/>
  <c r="AY495" i="3"/>
  <c r="AY81" i="3"/>
  <c r="AY36" i="3"/>
  <c r="AY185" i="3"/>
  <c r="AY325" i="3"/>
  <c r="AY298" i="3"/>
  <c r="AY189" i="3"/>
  <c r="AY280" i="3"/>
  <c r="AY86" i="3"/>
  <c r="AY459" i="3"/>
  <c r="AY210" i="3"/>
  <c r="AY349" i="3"/>
  <c r="AY147" i="3"/>
  <c r="AY204" i="3"/>
  <c r="AY115" i="3"/>
  <c r="AY379" i="3"/>
  <c r="AY69" i="3"/>
  <c r="AY281" i="3"/>
  <c r="AY60" i="3"/>
  <c r="AY357" i="3"/>
  <c r="AY83" i="3"/>
  <c r="AY555" i="3"/>
  <c r="AY541" i="3"/>
  <c r="AY202" i="3"/>
  <c r="AY472" i="3"/>
  <c r="AY95" i="3"/>
  <c r="AY61" i="3"/>
  <c r="AY373" i="3"/>
  <c r="AY215" i="3"/>
  <c r="AY580" i="3"/>
  <c r="AY174" i="3"/>
  <c r="AY445" i="3"/>
  <c r="AY514" i="3"/>
  <c r="AY502" i="3"/>
  <c r="AY546" i="3"/>
  <c r="BJ6" i="3"/>
  <c r="AY481" i="3"/>
  <c r="AY199" i="3"/>
  <c r="AY450" i="3"/>
  <c r="AY314" i="3"/>
  <c r="AY395" i="3"/>
  <c r="AY157" i="3"/>
  <c r="AY483" i="3"/>
  <c r="AY491" i="3"/>
  <c r="AY214" i="3"/>
  <c r="AY320" i="3"/>
  <c r="AY125" i="3"/>
  <c r="AY308" i="3"/>
  <c r="AY218" i="3"/>
  <c r="AY266" i="3"/>
  <c r="AY264" i="3"/>
  <c r="AY70" i="3"/>
  <c r="AY416" i="3"/>
  <c r="AY104" i="3"/>
  <c r="AY290" i="3"/>
  <c r="AY103" i="3"/>
  <c r="AY284" i="3"/>
  <c r="AY188" i="3"/>
  <c r="AY343" i="3"/>
  <c r="AY84" i="3"/>
  <c r="AY236" i="3"/>
  <c r="AY206" i="3"/>
  <c r="AY554" i="3"/>
  <c r="AY155" i="3"/>
  <c r="AY85" i="3"/>
  <c r="AY45" i="3"/>
  <c r="AY166" i="3"/>
  <c r="AY462" i="3"/>
  <c r="AY111" i="3"/>
  <c r="AY44" i="3"/>
  <c r="AY368" i="3"/>
  <c r="AY370" i="3"/>
  <c r="AY572" i="3"/>
  <c r="AY153" i="3"/>
  <c r="AY434" i="3"/>
  <c r="AY96" i="3"/>
  <c r="BR6" i="3"/>
  <c r="AY561" i="3"/>
  <c r="AY397" i="3"/>
  <c r="AY244" i="3"/>
  <c r="AY516" i="3"/>
  <c r="AY417" i="3"/>
  <c r="AY526" i="3"/>
  <c r="AY260" i="3"/>
  <c r="AY396" i="3"/>
  <c r="BE6" i="3"/>
  <c r="AY486" i="3"/>
  <c r="AY556" i="3"/>
  <c r="AY237" i="3"/>
  <c r="AY484" i="3"/>
  <c r="AY253" i="3"/>
  <c r="AY112" i="3"/>
  <c r="AY517" i="3"/>
  <c r="AY183" i="3"/>
  <c r="AY134" i="3"/>
  <c r="AY387" i="3"/>
  <c r="AY348" i="3"/>
  <c r="AY406" i="3"/>
  <c r="AY114" i="3"/>
  <c r="AY271" i="3"/>
  <c r="AY464" i="3"/>
  <c r="AY352" i="3"/>
  <c r="AY313" i="3"/>
  <c r="AY221" i="3"/>
  <c r="AY27" i="3"/>
  <c r="AY28" i="3"/>
  <c r="AY24" i="3"/>
  <c r="AY67" i="3"/>
  <c r="AY252" i="3"/>
  <c r="AY276" i="3"/>
  <c r="AY326" i="3"/>
  <c r="AY52" i="3"/>
  <c r="AY473" i="3"/>
  <c r="AY170" i="3"/>
  <c r="AY98" i="3"/>
  <c r="AY131" i="3"/>
  <c r="AY68" i="3"/>
  <c r="AY201" i="3"/>
  <c r="AY145" i="3"/>
  <c r="AY430" i="3"/>
  <c r="AY382" i="3"/>
  <c r="AY190" i="3"/>
  <c r="AY507" i="3"/>
  <c r="AY341" i="3"/>
  <c r="AY536" i="3"/>
  <c r="AY113" i="3"/>
  <c r="AY402" i="3"/>
  <c r="AY37" i="3"/>
  <c r="BA6" i="3"/>
  <c r="AY581" i="3"/>
  <c r="AY247" i="3"/>
  <c r="AY428" i="3"/>
  <c r="AY119" i="3"/>
  <c r="AY59" i="3"/>
  <c r="BK6" i="3"/>
  <c r="AY160" i="3"/>
  <c r="AY335" i="3"/>
  <c r="AY193" i="3"/>
  <c r="AY90" i="3"/>
  <c r="AY262" i="3"/>
  <c r="AY291" i="3"/>
  <c r="AY223" i="3"/>
  <c r="AY405" i="3"/>
  <c r="AY412" i="3"/>
  <c r="AY513" i="3"/>
  <c r="BH6" i="3"/>
  <c r="AY161" i="3"/>
  <c r="AY305" i="3"/>
  <c r="AY132" i="3"/>
  <c r="AY497" i="3"/>
  <c r="AY121" i="3"/>
  <c r="AY82" i="3"/>
  <c r="AY254" i="3"/>
  <c r="AY422" i="3"/>
  <c r="AY336" i="3"/>
  <c r="AY453" i="3"/>
  <c r="AY376" i="3"/>
  <c r="AY179" i="3"/>
  <c r="AY126" i="3"/>
  <c r="AY360" i="3"/>
  <c r="AY50" i="3"/>
  <c r="AY209" i="3"/>
  <c r="AY297" i="3"/>
  <c r="AY478" i="3"/>
  <c r="AY20" i="3"/>
  <c r="AY106" i="3"/>
  <c r="AY149" i="3"/>
  <c r="AY18" i="3"/>
  <c r="AY268" i="3"/>
  <c r="AY25" i="3"/>
  <c r="AY118" i="3"/>
  <c r="AY295" i="3"/>
  <c r="AY398" i="3"/>
  <c r="AY460" i="3"/>
  <c r="AY154" i="3"/>
  <c r="BB6" i="3"/>
  <c r="AY309" i="3"/>
  <c r="AY520" i="3"/>
  <c r="AY267" i="3"/>
  <c r="AY415" i="3"/>
  <c r="AY169" i="3"/>
  <c r="AY94" i="3"/>
  <c r="AY414" i="3"/>
  <c r="AY138" i="3"/>
  <c r="AY58" i="3"/>
  <c r="AY365" i="3"/>
  <c r="AY294" i="3"/>
  <c r="BQ6" i="3"/>
  <c r="AY543" i="3"/>
  <c r="AY538" i="3"/>
  <c r="AY465" i="3"/>
  <c r="AY246" i="3"/>
  <c r="AY367" i="3"/>
  <c r="AY539" i="3"/>
  <c r="AY447" i="3"/>
  <c r="AY549" i="3"/>
  <c r="AY303" i="3"/>
  <c r="AY191" i="3"/>
  <c r="AY211" i="3"/>
  <c r="AY403" i="3"/>
  <c r="AY492" i="3"/>
  <c r="AY579" i="3"/>
  <c r="AY331" i="3"/>
  <c r="AY159" i="3"/>
  <c r="AY404" i="3"/>
  <c r="AY283" i="3"/>
  <c r="AY196" i="3"/>
  <c r="AY363" i="3"/>
  <c r="AY225" i="3"/>
  <c r="AY436" i="3"/>
  <c r="AY198" i="3"/>
  <c r="AY245" i="3"/>
  <c r="AY299" i="3"/>
  <c r="AY171" i="3"/>
  <c r="AY318" i="3"/>
  <c r="AY178" i="3"/>
  <c r="AY278" i="3"/>
  <c r="AY259" i="3"/>
  <c r="AY411" i="3"/>
  <c r="AY26" i="3"/>
  <c r="AY133" i="3"/>
  <c r="AY88" i="3"/>
  <c r="AY324" i="3"/>
  <c r="AY552" i="3"/>
  <c r="AY250" i="3"/>
  <c r="AY505" i="3"/>
  <c r="AY282" i="3"/>
  <c r="AY76" i="3"/>
  <c r="AY457" i="3"/>
  <c r="AY108" i="3"/>
  <c r="AY23" i="3"/>
  <c r="AY72" i="3"/>
  <c r="BM6" i="3"/>
  <c r="AY74" i="3"/>
  <c r="AY311" i="3"/>
  <c r="AY420" i="3"/>
  <c r="AY551" i="3"/>
  <c r="AY355" i="3"/>
  <c r="AY180" i="3"/>
  <c r="AY545" i="3"/>
  <c r="AY509" i="3"/>
  <c r="AY319" i="3"/>
  <c r="AY242" i="3"/>
  <c r="AY228" i="3"/>
  <c r="BI6" i="3"/>
  <c r="AY527" i="3"/>
  <c r="AY431" i="3"/>
  <c r="AY99" i="3"/>
  <c r="AY466" i="3"/>
  <c r="AY273" i="3"/>
  <c r="AY31" i="3"/>
  <c r="AY168" i="3"/>
  <c r="AY139" i="3"/>
  <c r="AY489" i="3"/>
  <c r="AY470" i="3"/>
  <c r="AY557" i="3"/>
  <c r="AY162" i="3"/>
  <c r="AY342" i="3"/>
  <c r="AY263" i="3"/>
  <c r="AY163" i="3"/>
  <c r="AY269" i="3"/>
  <c r="AY117" i="3"/>
  <c r="AY219" i="3"/>
  <c r="AY388" i="3"/>
  <c r="AY585" i="3"/>
  <c r="AY372" i="3"/>
  <c r="AY286" i="3"/>
  <c r="AY29" i="3"/>
  <c r="AY480" i="3"/>
  <c r="AY532" i="3"/>
  <c r="AY361" i="3"/>
  <c r="AY522" i="3"/>
  <c r="AY345" i="3"/>
  <c r="AY401" i="3"/>
  <c r="AY317" i="3"/>
  <c r="AY441" i="3"/>
  <c r="AY220" i="3"/>
  <c r="AY35" i="3"/>
  <c r="AY144" i="3"/>
  <c r="AY141" i="3"/>
  <c r="AY333" i="3"/>
  <c r="AY438" i="3"/>
  <c r="AY274" i="3"/>
  <c r="AY177" i="3"/>
  <c r="AY57" i="3"/>
  <c r="AY559" i="3"/>
  <c r="AY17" i="3"/>
  <c r="AY78" i="3"/>
  <c r="AY424" i="3"/>
  <c r="AY256" i="3"/>
  <c r="AY529" i="3"/>
  <c r="AY182" i="3"/>
  <c r="AY289" i="3"/>
  <c r="AY455" i="3"/>
  <c r="AY409" i="3"/>
  <c r="AY573" i="3"/>
  <c r="AY173" i="3"/>
  <c r="AY452" i="3"/>
  <c r="AY231" i="3"/>
  <c r="AY75" i="3"/>
  <c r="AY390" i="3"/>
  <c r="AY42" i="3"/>
  <c r="AY374" i="3"/>
  <c r="AY353" i="3"/>
  <c r="AY534" i="3"/>
  <c r="AY310" i="3"/>
  <c r="AY255" i="3"/>
  <c r="AY181" i="3"/>
  <c r="AY449" i="3"/>
  <c r="AY496" i="3"/>
  <c r="AY337" i="3"/>
  <c r="AY515" i="3"/>
  <c r="AY328" i="3"/>
  <c r="AY327" i="3"/>
  <c r="AY377" i="3"/>
  <c r="AY207" i="3"/>
  <c r="AY292" i="3"/>
  <c r="AY186" i="3"/>
  <c r="AY575" i="3"/>
  <c r="AY213" i="3"/>
  <c r="BO6" i="3"/>
  <c r="AY540" i="3"/>
  <c r="AY366" i="3"/>
  <c r="AY270" i="3"/>
  <c r="AY523" i="3"/>
  <c r="AY146" i="3"/>
  <c r="AY187" i="3"/>
  <c r="AY116" i="3"/>
  <c r="AY109" i="3"/>
  <c r="AY442" i="3"/>
  <c r="AY566" i="3"/>
  <c r="AY80" i="3"/>
  <c r="AY570" i="3"/>
  <c r="AY542" i="3"/>
  <c r="AY164" i="3"/>
  <c r="AY356" i="3"/>
  <c r="AY65" i="3"/>
  <c r="AY344" i="3"/>
  <c r="AY547" i="3"/>
  <c r="AY33" i="3"/>
  <c r="AY38" i="3"/>
  <c r="AY101" i="3"/>
  <c r="AY359" i="3"/>
  <c r="C7" i="74"/>
  <c r="J33" i="85"/>
  <c r="F33" i="85"/>
  <c r="H33" i="85"/>
  <c r="J33" i="33"/>
  <c r="F33" i="33"/>
  <c r="H33" i="33"/>
  <c r="J33" i="80"/>
  <c r="F33" i="80"/>
  <c r="H33" i="80"/>
  <c r="J34" i="81"/>
  <c r="F34" i="81"/>
  <c r="H34" i="81"/>
  <c r="C23" i="15"/>
  <c r="C29" i="15" s="1"/>
  <c r="C57" i="15" s="1"/>
  <c r="C61" i="15" s="1"/>
  <c r="C23" i="67"/>
  <c r="C29" i="67" s="1"/>
  <c r="C13" i="67" s="1"/>
  <c r="C15" i="12"/>
  <c r="C12" i="12"/>
  <c r="C14" i="12"/>
  <c r="D17" i="12"/>
  <c r="C17" i="12" s="1"/>
  <c r="D5" i="6"/>
  <c r="C18" i="4"/>
  <c r="D12" i="6"/>
  <c r="D8" i="6"/>
  <c r="D11" i="6"/>
  <c r="D23" i="6"/>
  <c r="M19" i="9"/>
  <c r="C118" i="9" s="1"/>
  <c r="C14" i="74" s="1"/>
  <c r="B2" i="74" s="1"/>
  <c r="D13" i="6"/>
  <c r="D14" i="6"/>
  <c r="H25" i="6"/>
  <c r="D28" i="6"/>
  <c r="D6" i="6"/>
  <c r="D26" i="6"/>
  <c r="E61" i="40"/>
  <c r="D9" i="6"/>
  <c r="D25" i="6"/>
  <c r="R25" i="6" s="1"/>
  <c r="R12" i="1" s="1"/>
  <c r="H22" i="6"/>
  <c r="D10" i="6"/>
  <c r="D21" i="6"/>
  <c r="D15" i="6"/>
  <c r="H21" i="6"/>
  <c r="L19" i="9"/>
  <c r="D22" i="6"/>
  <c r="H24" i="6"/>
  <c r="D29" i="6"/>
  <c r="D20" i="6"/>
  <c r="D24" i="6"/>
  <c r="D19" i="6"/>
  <c r="H26" i="6"/>
  <c r="D10" i="11"/>
  <c r="C10" i="11" s="1"/>
  <c r="D20" i="12"/>
  <c r="C20" i="12" s="1"/>
  <c r="C18" i="12" s="1"/>
  <c r="D10" i="68"/>
  <c r="D10" i="69"/>
  <c r="C8" i="78"/>
  <c r="C11" i="78"/>
  <c r="J34" i="34"/>
  <c r="H34" i="34"/>
  <c r="F34" i="34"/>
  <c r="C26" i="77"/>
  <c r="B2" i="77" s="1"/>
  <c r="B3" i="77" s="1"/>
  <c r="E36" i="43"/>
  <c r="G36" i="43"/>
  <c r="I36" i="43" s="1"/>
  <c r="E34" i="43"/>
  <c r="G34" i="43"/>
  <c r="I34" i="43" s="1"/>
  <c r="C29" i="68"/>
  <c r="D27" i="68" s="1"/>
  <c r="C47" i="68"/>
  <c r="D45" i="68" s="1"/>
  <c r="F45" i="68"/>
  <c r="C29" i="69"/>
  <c r="D27" i="69" s="1"/>
  <c r="C47" i="69"/>
  <c r="D45" i="69" s="1"/>
  <c r="F45" i="69"/>
  <c r="G70" i="39"/>
  <c r="H68" i="39"/>
  <c r="B6" i="71"/>
  <c r="B5" i="71" s="1"/>
  <c r="S7" i="71"/>
  <c r="E33" i="43"/>
  <c r="G33" i="43"/>
  <c r="I33" i="43" s="1"/>
  <c r="C38" i="68"/>
  <c r="C35" i="68"/>
  <c r="AB10" i="40"/>
  <c r="U10" i="40"/>
  <c r="W10" i="40"/>
  <c r="AC10" i="40"/>
  <c r="U10" i="39"/>
  <c r="AB10" i="39"/>
  <c r="E39" i="43"/>
  <c r="G39" i="43"/>
  <c r="I39" i="43" s="1"/>
  <c r="C29" i="11"/>
  <c r="D27" i="11" s="1"/>
  <c r="C47" i="11"/>
  <c r="D45" i="11" s="1"/>
  <c r="D16" i="71"/>
  <c r="C15" i="71"/>
  <c r="C27" i="77"/>
  <c r="C28" i="11"/>
  <c r="C27" i="11" s="1"/>
  <c r="E37" i="43"/>
  <c r="G37" i="43"/>
  <c r="I37" i="43" s="1"/>
  <c r="C35" i="11"/>
  <c r="C38" i="11"/>
  <c r="F50" i="68"/>
  <c r="F50" i="69"/>
  <c r="F50" i="11"/>
  <c r="S10" i="40"/>
  <c r="AA10" i="40"/>
  <c r="AC10" i="39"/>
  <c r="W10" i="39"/>
  <c r="S10" i="39"/>
  <c r="AA10" i="39"/>
  <c r="E38" i="43"/>
  <c r="G38" i="43"/>
  <c r="I38" i="43" s="1"/>
  <c r="S23" i="6"/>
  <c r="H23" i="6"/>
  <c r="R23" i="6" s="1"/>
  <c r="R10" i="1" s="1"/>
  <c r="S20" i="6"/>
  <c r="H20" i="6"/>
  <c r="I19" i="6"/>
  <c r="M27" i="6"/>
  <c r="AQ6" i="1"/>
  <c r="S16" i="1"/>
  <c r="T6" i="1"/>
  <c r="AR6" i="1"/>
  <c r="AQ10" i="1"/>
  <c r="T10" i="1"/>
  <c r="AR10" i="1"/>
  <c r="T7" i="1"/>
  <c r="T16" i="1" s="1"/>
  <c r="AQ7" i="1"/>
  <c r="AR7" i="1"/>
  <c r="C19" i="68"/>
  <c r="G65" i="40"/>
  <c r="H63" i="40"/>
  <c r="C43" i="37"/>
  <c r="B2" i="37" s="1"/>
  <c r="B3" i="37" s="1"/>
  <c r="C42" i="37"/>
  <c r="I48" i="35"/>
  <c r="H58" i="21"/>
  <c r="E47" i="37"/>
  <c r="F47" i="37" s="1"/>
  <c r="E46" i="37"/>
  <c r="F46" i="37" s="1"/>
  <c r="I47" i="37"/>
  <c r="J47" i="37" s="1"/>
  <c r="B7" i="76"/>
  <c r="C22" i="11" l="1"/>
  <c r="C31" i="11" s="1"/>
  <c r="W33" i="85"/>
  <c r="AC33" i="85"/>
  <c r="V48" i="85" s="1"/>
  <c r="I48" i="85" s="1"/>
  <c r="R20" i="6"/>
  <c r="R7" i="1" s="1"/>
  <c r="J14" i="15"/>
  <c r="J22" i="15" s="1"/>
  <c r="AB33" i="85"/>
  <c r="T48" i="85" s="1"/>
  <c r="G48" i="85" s="1"/>
  <c r="U33" i="85"/>
  <c r="AA33" i="85"/>
  <c r="R48" i="85" s="1"/>
  <c r="S33" i="85"/>
  <c r="C13" i="15"/>
  <c r="Q70" i="15" s="1"/>
  <c r="J19" i="15"/>
  <c r="J17" i="15" s="1"/>
  <c r="C36" i="15"/>
  <c r="J59" i="15"/>
  <c r="J60" i="15" s="1"/>
  <c r="Q48" i="15" s="1"/>
  <c r="Q49" i="15"/>
  <c r="C33" i="15"/>
  <c r="C31" i="15" s="1"/>
  <c r="R21" i="6"/>
  <c r="R8" i="1" s="1"/>
  <c r="D30" i="6"/>
  <c r="U34" i="81"/>
  <c r="AB34" i="81"/>
  <c r="T49" i="81" s="1"/>
  <c r="G49" i="81" s="1"/>
  <c r="AC34" i="81"/>
  <c r="V49" i="81" s="1"/>
  <c r="I49" i="81" s="1"/>
  <c r="W34" i="81"/>
  <c r="U33" i="80"/>
  <c r="AB33" i="80"/>
  <c r="T48" i="80" s="1"/>
  <c r="G48" i="80" s="1"/>
  <c r="AC33" i="80"/>
  <c r="V48" i="80" s="1"/>
  <c r="I48" i="80" s="1"/>
  <c r="W33" i="80"/>
  <c r="AA33" i="33"/>
  <c r="R48" i="33" s="1"/>
  <c r="S33" i="33"/>
  <c r="S34" i="81"/>
  <c r="AA34" i="81"/>
  <c r="R49" i="81" s="1"/>
  <c r="S33" i="80"/>
  <c r="AA33" i="80"/>
  <c r="R48" i="80" s="1"/>
  <c r="U33" i="33"/>
  <c r="AB33" i="33"/>
  <c r="T48" i="33" s="1"/>
  <c r="G48" i="33" s="1"/>
  <c r="AC33" i="33"/>
  <c r="V48" i="33" s="1"/>
  <c r="I48" i="33" s="1"/>
  <c r="I52" i="33" s="1"/>
  <c r="J52" i="33" s="1"/>
  <c r="W33" i="33"/>
  <c r="J14" i="67"/>
  <c r="J22" i="67" s="1"/>
  <c r="C33" i="67"/>
  <c r="C31" i="67" s="1"/>
  <c r="C36" i="67"/>
  <c r="C57" i="67"/>
  <c r="C61" i="67" s="1"/>
  <c r="C59" i="67" s="1"/>
  <c r="J59" i="67"/>
  <c r="J60" i="67" s="1"/>
  <c r="Q48" i="67" s="1"/>
  <c r="Q49" i="67"/>
  <c r="J19" i="67"/>
  <c r="J17" i="67" s="1"/>
  <c r="C10" i="68"/>
  <c r="D19" i="68"/>
  <c r="D37" i="68" s="1"/>
  <c r="C37" i="68" s="1"/>
  <c r="C33" i="68" s="1"/>
  <c r="C42" i="68" s="1"/>
  <c r="D8" i="74"/>
  <c r="D7" i="74"/>
  <c r="D16" i="6"/>
  <c r="AA34" i="34"/>
  <c r="R49" i="34" s="1"/>
  <c r="S34" i="34"/>
  <c r="A7" i="51"/>
  <c r="B7" i="72" s="1"/>
  <c r="A10" i="51"/>
  <c r="B9" i="72" s="1"/>
  <c r="C4" i="52"/>
  <c r="B45" i="72" s="1"/>
  <c r="AB34" i="34"/>
  <c r="T49" i="34" s="1"/>
  <c r="G49" i="34" s="1"/>
  <c r="U34" i="34"/>
  <c r="R26" i="6"/>
  <c r="AC34" i="34"/>
  <c r="V49" i="34" s="1"/>
  <c r="I49" i="34" s="1"/>
  <c r="W34" i="34"/>
  <c r="R24" i="6"/>
  <c r="R11" i="1" s="1"/>
  <c r="R22" i="6"/>
  <c r="R9" i="1" s="1"/>
  <c r="C12" i="78"/>
  <c r="C9" i="78"/>
  <c r="C10" i="78"/>
  <c r="C16" i="12"/>
  <c r="C21" i="12" s="1"/>
  <c r="C22" i="12" s="1"/>
  <c r="C27" i="12" s="1"/>
  <c r="C25" i="12" s="1"/>
  <c r="D27" i="6"/>
  <c r="D31" i="6" s="1"/>
  <c r="I6" i="6" s="1"/>
  <c r="G3" i="43" s="1"/>
  <c r="AG11" i="43" s="1"/>
  <c r="AG13" i="43" s="1"/>
  <c r="C10" i="69"/>
  <c r="C8" i="69" s="1"/>
  <c r="C5" i="69" s="1"/>
  <c r="C23" i="69" s="1"/>
  <c r="D19" i="69"/>
  <c r="C33" i="11"/>
  <c r="C14" i="71"/>
  <c r="T15" i="71"/>
  <c r="D15" i="71"/>
  <c r="U15" i="71" s="1"/>
  <c r="I68" i="39"/>
  <c r="H70" i="39"/>
  <c r="H19" i="6"/>
  <c r="I27" i="6"/>
  <c r="S19" i="6"/>
  <c r="S27" i="6" s="1"/>
  <c r="C24" i="68"/>
  <c r="I63" i="40"/>
  <c r="H65" i="40"/>
  <c r="I58" i="21"/>
  <c r="J58" i="21" s="1"/>
  <c r="K58" i="21" s="1"/>
  <c r="L58" i="21" s="1"/>
  <c r="M58" i="21" s="1"/>
  <c r="N58" i="21" s="1"/>
  <c r="O58" i="21" s="1"/>
  <c r="H7" i="21" s="1"/>
  <c r="J48" i="35"/>
  <c r="C64" i="15"/>
  <c r="C59" i="15"/>
  <c r="C56" i="67"/>
  <c r="C65" i="67" s="1"/>
  <c r="C75" i="67"/>
  <c r="Q70" i="67"/>
  <c r="C37" i="67"/>
  <c r="J13" i="15" l="1"/>
  <c r="J23" i="15" s="1"/>
  <c r="J16" i="15" s="1"/>
  <c r="J25" i="15" s="1"/>
  <c r="R49" i="85"/>
  <c r="E48" i="85"/>
  <c r="I53" i="85" s="1"/>
  <c r="J53" i="85" s="1"/>
  <c r="G53" i="85"/>
  <c r="H53" i="85" s="1"/>
  <c r="G52" i="85"/>
  <c r="H52" i="85" s="1"/>
  <c r="I52" i="85"/>
  <c r="J52" i="85" s="1"/>
  <c r="C13" i="78"/>
  <c r="C14" i="78" s="1"/>
  <c r="C20" i="78" s="1"/>
  <c r="C19" i="78" s="1"/>
  <c r="C56" i="15"/>
  <c r="C65" i="15" s="1"/>
  <c r="C58" i="15" s="1"/>
  <c r="C67" i="15" s="1"/>
  <c r="C68" i="15" s="1"/>
  <c r="C71" i="15" s="1"/>
  <c r="C37" i="15"/>
  <c r="C30" i="15" s="1"/>
  <c r="C39" i="15" s="1"/>
  <c r="Q69" i="15" s="1"/>
  <c r="Q68" i="15" s="1"/>
  <c r="C75" i="15"/>
  <c r="F7" i="21"/>
  <c r="AA7" i="21" s="1"/>
  <c r="R48" i="21" s="1"/>
  <c r="G52" i="33"/>
  <c r="H52" i="33" s="1"/>
  <c r="G53" i="33"/>
  <c r="H53" i="33" s="1"/>
  <c r="R49" i="80"/>
  <c r="E48" i="80"/>
  <c r="I53" i="80" s="1"/>
  <c r="J53" i="80" s="1"/>
  <c r="E49" i="81"/>
  <c r="I54" i="81" s="1"/>
  <c r="J54" i="81" s="1"/>
  <c r="R50" i="81"/>
  <c r="G52" i="80"/>
  <c r="H52" i="80" s="1"/>
  <c r="G53" i="80"/>
  <c r="H53" i="80" s="1"/>
  <c r="G53" i="81"/>
  <c r="H53" i="81" s="1"/>
  <c r="G54" i="81"/>
  <c r="H54" i="81" s="1"/>
  <c r="E48" i="33"/>
  <c r="R49" i="33"/>
  <c r="I52" i="80"/>
  <c r="J52" i="80" s="1"/>
  <c r="I53" i="81"/>
  <c r="J53" i="81" s="1"/>
  <c r="J13" i="67"/>
  <c r="J23" i="67" s="1"/>
  <c r="J16" i="67" s="1"/>
  <c r="J25" i="67" s="1"/>
  <c r="C30" i="67"/>
  <c r="C39" i="67" s="1"/>
  <c r="C40" i="67" s="1"/>
  <c r="C64" i="67"/>
  <c r="C58" i="67" s="1"/>
  <c r="C67" i="67" s="1"/>
  <c r="C68" i="67" s="1"/>
  <c r="C30" i="12"/>
  <c r="C28" i="12" s="1"/>
  <c r="C32" i="12" s="1"/>
  <c r="B2" i="12" s="1"/>
  <c r="B3" i="12" s="1"/>
  <c r="G22" i="43"/>
  <c r="I101" i="43"/>
  <c r="L101" i="43"/>
  <c r="AB11" i="43"/>
  <c r="AB13" i="43" s="1"/>
  <c r="G53" i="34"/>
  <c r="H53" i="34" s="1"/>
  <c r="G54" i="34"/>
  <c r="H54" i="34" s="1"/>
  <c r="D101" i="43"/>
  <c r="D109" i="43" s="1"/>
  <c r="J101" i="43"/>
  <c r="AF11" i="43"/>
  <c r="AF13" i="43" s="1"/>
  <c r="E22" i="43"/>
  <c r="G101" i="43"/>
  <c r="AJ11" i="43"/>
  <c r="AJ13" i="43" s="1"/>
  <c r="J22" i="43"/>
  <c r="F101" i="43"/>
  <c r="E101" i="43"/>
  <c r="H101" i="43"/>
  <c r="H105" i="43" s="1"/>
  <c r="F22" i="43"/>
  <c r="N104" i="46"/>
  <c r="S3" i="43"/>
  <c r="T3" i="43" s="1"/>
  <c r="V3" i="43" s="1"/>
  <c r="M101" i="43"/>
  <c r="S4" i="43"/>
  <c r="T4" i="43" s="1"/>
  <c r="V4" i="43" s="1"/>
  <c r="AA11" i="43"/>
  <c r="AA13" i="43" s="1"/>
  <c r="H22" i="43"/>
  <c r="C101" i="43"/>
  <c r="R50" i="34"/>
  <c r="E49" i="34"/>
  <c r="I54" i="34" s="1"/>
  <c r="J54" i="34" s="1"/>
  <c r="Z7" i="43"/>
  <c r="I5" i="6"/>
  <c r="S7" i="43"/>
  <c r="T7" i="43" s="1"/>
  <c r="V7" i="43" s="1"/>
  <c r="AE11" i="43"/>
  <c r="AE13" i="43" s="1"/>
  <c r="N101" i="43"/>
  <c r="N102" i="43" s="1"/>
  <c r="B113" i="43"/>
  <c r="AI11" i="43"/>
  <c r="AI13" i="43" s="1"/>
  <c r="C23" i="43"/>
  <c r="K101" i="43"/>
  <c r="K107" i="43" s="1"/>
  <c r="S5" i="43"/>
  <c r="T5" i="43" s="1"/>
  <c r="V5" i="43" s="1"/>
  <c r="Z11" i="43"/>
  <c r="Z13" i="43" s="1"/>
  <c r="Y11" i="43"/>
  <c r="Y13" i="43" s="1"/>
  <c r="S6" i="43"/>
  <c r="T6" i="43" s="1"/>
  <c r="V6" i="43" s="1"/>
  <c r="AD11" i="43"/>
  <c r="AD13" i="43" s="1"/>
  <c r="AC11" i="43"/>
  <c r="AC13" i="43" s="1"/>
  <c r="C19" i="69"/>
  <c r="D37" i="69"/>
  <c r="C37" i="69" s="1"/>
  <c r="C33" i="69" s="1"/>
  <c r="I53" i="34"/>
  <c r="J53" i="34" s="1"/>
  <c r="S2" i="43"/>
  <c r="T2" i="43" s="1"/>
  <c r="V2" i="43" s="1"/>
  <c r="AH11" i="43"/>
  <c r="AH13" i="43" s="1"/>
  <c r="J7" i="21"/>
  <c r="W7" i="21" s="1"/>
  <c r="C39" i="68"/>
  <c r="C43" i="68" s="1"/>
  <c r="C41" i="68" s="1"/>
  <c r="I70" i="39"/>
  <c r="J68" i="39"/>
  <c r="C39" i="11"/>
  <c r="C42" i="11"/>
  <c r="D103" i="43"/>
  <c r="D104" i="43"/>
  <c r="D105" i="43"/>
  <c r="D102" i="43"/>
  <c r="F104" i="43"/>
  <c r="F105" i="43"/>
  <c r="F106" i="43"/>
  <c r="F109" i="43"/>
  <c r="F102" i="43"/>
  <c r="F107" i="43"/>
  <c r="F103" i="43"/>
  <c r="J107" i="43"/>
  <c r="J104" i="43"/>
  <c r="J103" i="43"/>
  <c r="J109" i="43"/>
  <c r="J102" i="43"/>
  <c r="J105" i="43"/>
  <c r="J106" i="43"/>
  <c r="E104" i="43"/>
  <c r="E105" i="43"/>
  <c r="E102" i="43"/>
  <c r="E103" i="43"/>
  <c r="E107" i="43"/>
  <c r="E109" i="43"/>
  <c r="E106" i="43"/>
  <c r="H107" i="43"/>
  <c r="H103" i="43"/>
  <c r="H106" i="43"/>
  <c r="H102" i="43"/>
  <c r="C103" i="43"/>
  <c r="C104" i="43"/>
  <c r="C105" i="43"/>
  <c r="C107" i="43"/>
  <c r="C109" i="43"/>
  <c r="C106" i="43"/>
  <c r="C102" i="43"/>
  <c r="C13" i="71"/>
  <c r="D14" i="71"/>
  <c r="I109" i="43"/>
  <c r="I106" i="43"/>
  <c r="I107" i="43"/>
  <c r="I105" i="43"/>
  <c r="I102" i="43"/>
  <c r="I103" i="43"/>
  <c r="I104" i="43"/>
  <c r="L106" i="43"/>
  <c r="L103" i="43"/>
  <c r="L105" i="43"/>
  <c r="L109" i="43"/>
  <c r="L107" i="43"/>
  <c r="L102" i="43"/>
  <c r="L104" i="43"/>
  <c r="G104" i="43"/>
  <c r="G109" i="43"/>
  <c r="G102" i="43"/>
  <c r="G107" i="43"/>
  <c r="G106" i="43"/>
  <c r="G105" i="43"/>
  <c r="G103" i="43"/>
  <c r="M104" i="43"/>
  <c r="M105" i="43"/>
  <c r="M102" i="43"/>
  <c r="M109" i="43"/>
  <c r="M107" i="43"/>
  <c r="M106" i="43"/>
  <c r="M103" i="43"/>
  <c r="N103" i="43"/>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H27" i="6"/>
  <c r="R19" i="6"/>
  <c r="U7" i="21"/>
  <c r="AB7" i="21"/>
  <c r="T48" i="21" s="1"/>
  <c r="G48" i="21" s="1"/>
  <c r="J63" i="40"/>
  <c r="I65" i="40"/>
  <c r="K48" i="35"/>
  <c r="L48" i="35" s="1"/>
  <c r="M48" i="35" s="1"/>
  <c r="N48" i="35" s="1"/>
  <c r="O48" i="35" s="1"/>
  <c r="H7" i="35" s="1"/>
  <c r="H109" i="43" l="1"/>
  <c r="S7" i="21"/>
  <c r="H104" i="43"/>
  <c r="E53" i="85"/>
  <c r="F53" i="85" s="1"/>
  <c r="E52" i="85"/>
  <c r="F52" i="85" s="1"/>
  <c r="C49" i="85"/>
  <c r="C48" i="85"/>
  <c r="I14" i="83" s="1"/>
  <c r="C80" i="15"/>
  <c r="C79" i="15" s="1"/>
  <c r="C40" i="15"/>
  <c r="Q65" i="15" s="1"/>
  <c r="AC7" i="21"/>
  <c r="V48" i="21" s="1"/>
  <c r="I48" i="21" s="1"/>
  <c r="G53" i="21" s="1"/>
  <c r="H53" i="21" s="1"/>
  <c r="K102" i="43"/>
  <c r="I53" i="33"/>
  <c r="J53" i="33" s="1"/>
  <c r="E53" i="33"/>
  <c r="F53" i="33" s="1"/>
  <c r="E52" i="33"/>
  <c r="F52" i="33" s="1"/>
  <c r="E54" i="81"/>
  <c r="F54" i="81" s="1"/>
  <c r="E53" i="81"/>
  <c r="F53" i="81" s="1"/>
  <c r="C49" i="80"/>
  <c r="C48" i="80"/>
  <c r="C48" i="33"/>
  <c r="C49" i="33"/>
  <c r="B2" i="33" s="1"/>
  <c r="B3" i="33" s="1"/>
  <c r="C50" i="81"/>
  <c r="C49" i="81"/>
  <c r="E53" i="80"/>
  <c r="F53" i="80" s="1"/>
  <c r="E52" i="80"/>
  <c r="F52" i="80" s="1"/>
  <c r="C80" i="67"/>
  <c r="C79" i="67" s="1"/>
  <c r="Q69" i="67"/>
  <c r="Q68" i="67" s="1"/>
  <c r="C46" i="68"/>
  <c r="C45" i="68" s="1"/>
  <c r="C49" i="68" s="1"/>
  <c r="C51" i="68" s="1"/>
  <c r="N107" i="43"/>
  <c r="D106" i="43"/>
  <c r="N106" i="43"/>
  <c r="K104" i="43"/>
  <c r="C39" i="69"/>
  <c r="C43" i="69" s="1"/>
  <c r="C42" i="69"/>
  <c r="N109" i="43"/>
  <c r="K109" i="43"/>
  <c r="N105" i="43"/>
  <c r="N104" i="43"/>
  <c r="K103" i="43"/>
  <c r="E53" i="34"/>
  <c r="F53" i="34" s="1"/>
  <c r="E54" i="34"/>
  <c r="F54" i="34" s="1"/>
  <c r="C24" i="69"/>
  <c r="C20" i="69"/>
  <c r="C25" i="69" s="1"/>
  <c r="K105" i="43"/>
  <c r="K106" i="43"/>
  <c r="D107" i="43"/>
  <c r="C50" i="34"/>
  <c r="B2" i="34" s="1"/>
  <c r="B3" i="34" s="1"/>
  <c r="C49" i="34"/>
  <c r="C17" i="78"/>
  <c r="C16" i="78" s="1"/>
  <c r="D22" i="43"/>
  <c r="C21" i="43" s="1"/>
  <c r="C29" i="43" s="1"/>
  <c r="J7" i="35"/>
  <c r="W7" i="35" s="1"/>
  <c r="D113" i="43"/>
  <c r="J70" i="39"/>
  <c r="K68" i="39"/>
  <c r="C12" i="71"/>
  <c r="D13" i="71"/>
  <c r="C46" i="11"/>
  <c r="C45" i="11" s="1"/>
  <c r="C43" i="11"/>
  <c r="C41" i="11" s="1"/>
  <c r="R6" i="1"/>
  <c r="R16" i="1" s="1"/>
  <c r="R27" i="6"/>
  <c r="J65" i="40"/>
  <c r="K63" i="40"/>
  <c r="I52" i="21"/>
  <c r="J52" i="21" s="1"/>
  <c r="U7" i="35"/>
  <c r="AB7" i="35"/>
  <c r="T38" i="35" s="1"/>
  <c r="G38" i="35" s="1"/>
  <c r="R49" i="21"/>
  <c r="E48" i="21"/>
  <c r="G52" i="21"/>
  <c r="H52" i="21" s="1"/>
  <c r="F7" i="35"/>
  <c r="C45" i="67"/>
  <c r="C46" i="67" s="1"/>
  <c r="C71" i="67"/>
  <c r="C43" i="67"/>
  <c r="Q47" i="67"/>
  <c r="Q53" i="67" s="1"/>
  <c r="Q56" i="67"/>
  <c r="Q65" i="67"/>
  <c r="C83" i="67"/>
  <c r="C82" i="67" s="1"/>
  <c r="L51" i="15"/>
  <c r="L51" i="67"/>
  <c r="Q67" i="15" l="1"/>
  <c r="L57" i="15"/>
  <c r="L60" i="15" s="1"/>
  <c r="L46" i="15" s="1"/>
  <c r="B2" i="15" s="1"/>
  <c r="B3" i="15" s="1"/>
  <c r="O14" i="83"/>
  <c r="N14" i="83"/>
  <c r="S19" i="83"/>
  <c r="S20" i="83"/>
  <c r="AB1" i="83"/>
  <c r="AA3" i="83" s="1"/>
  <c r="L50" i="81"/>
  <c r="L49" i="81"/>
  <c r="B2" i="85"/>
  <c r="B3" i="85"/>
  <c r="I2" i="83"/>
  <c r="O2" i="83" s="1"/>
  <c r="I8" i="83"/>
  <c r="Q56" i="15"/>
  <c r="C46" i="15"/>
  <c r="C83" i="15"/>
  <c r="C82" i="15" s="1"/>
  <c r="C43" i="15"/>
  <c r="Q47" i="15"/>
  <c r="Q53" i="15" s="1"/>
  <c r="B3" i="81"/>
  <c r="B2" i="81"/>
  <c r="B2" i="80"/>
  <c r="B3" i="80"/>
  <c r="Q67" i="67"/>
  <c r="L57" i="67"/>
  <c r="L60" i="67" s="1"/>
  <c r="L46" i="67" s="1"/>
  <c r="D2" i="67" s="1"/>
  <c r="B2" i="67" s="1"/>
  <c r="C22" i="69"/>
  <c r="C46" i="69"/>
  <c r="C45" i="69" s="1"/>
  <c r="C28" i="69"/>
  <c r="C27" i="69" s="1"/>
  <c r="C41" i="69"/>
  <c r="C23" i="78"/>
  <c r="AC7" i="35"/>
  <c r="V38" i="35" s="1"/>
  <c r="I38" i="35" s="1"/>
  <c r="G43" i="35" s="1"/>
  <c r="H43" i="35" s="1"/>
  <c r="C49" i="11"/>
  <c r="C51" i="11" s="1"/>
  <c r="C52" i="11" s="1"/>
  <c r="B2" i="11" s="1"/>
  <c r="B3" i="11" s="1"/>
  <c r="L68" i="39"/>
  <c r="K70" i="39"/>
  <c r="C30" i="43"/>
  <c r="E30" i="43" s="1"/>
  <c r="C27" i="43" s="1"/>
  <c r="E29" i="43"/>
  <c r="C26" i="43" s="1"/>
  <c r="D12" i="71"/>
  <c r="C11" i="71"/>
  <c r="S7" i="35"/>
  <c r="AA7" i="35"/>
  <c r="R38" i="35" s="1"/>
  <c r="C49" i="21"/>
  <c r="B2" i="21" s="1"/>
  <c r="B3" i="21" s="1"/>
  <c r="C48" i="21"/>
  <c r="E52" i="21"/>
  <c r="F52" i="21" s="1"/>
  <c r="E53" i="21"/>
  <c r="F53" i="21" s="1"/>
  <c r="G42" i="35"/>
  <c r="H42" i="35" s="1"/>
  <c r="I53" i="21"/>
  <c r="J53" i="21" s="1"/>
  <c r="K65" i="40"/>
  <c r="L63" i="40"/>
  <c r="E6" i="76"/>
  <c r="M49" i="81" l="1"/>
  <c r="S22" i="83"/>
  <c r="Q57" i="15"/>
  <c r="Q62" i="15" s="1"/>
  <c r="Q66" i="15"/>
  <c r="Q75" i="15" s="1"/>
  <c r="N10" i="83"/>
  <c r="O10" i="83" s="1"/>
  <c r="N11" i="83"/>
  <c r="N12" i="83"/>
  <c r="N5" i="83"/>
  <c r="O5" i="83" s="1"/>
  <c r="N7" i="83"/>
  <c r="O7" i="83" s="1"/>
  <c r="N8" i="83"/>
  <c r="O8" i="83" s="1"/>
  <c r="N2" i="83"/>
  <c r="I42" i="35"/>
  <c r="J42" i="35" s="1"/>
  <c r="Q57" i="67"/>
  <c r="Q62" i="67" s="1"/>
  <c r="Q66" i="67"/>
  <c r="Q75" i="67" s="1"/>
  <c r="B3" i="67"/>
  <c r="C31" i="69"/>
  <c r="C49" i="69"/>
  <c r="C51" i="69" s="1"/>
  <c r="C7" i="78"/>
  <c r="C27" i="78" s="1"/>
  <c r="C26" i="78"/>
  <c r="E2" i="76"/>
  <c r="L70" i="39"/>
  <c r="M68" i="39"/>
  <c r="C56" i="11"/>
  <c r="C57" i="11" s="1"/>
  <c r="C10" i="71"/>
  <c r="T11" i="71"/>
  <c r="D11" i="71"/>
  <c r="U11" i="71" s="1"/>
  <c r="B2" i="43"/>
  <c r="R39" i="35"/>
  <c r="E38" i="35"/>
  <c r="M63" i="40"/>
  <c r="L65" i="40"/>
  <c r="B6" i="76"/>
  <c r="O11" i="83" l="1"/>
  <c r="O12" i="83"/>
  <c r="C52" i="69"/>
  <c r="B2" i="69" s="1"/>
  <c r="B3" i="69" s="1"/>
  <c r="C24" i="78"/>
  <c r="B2" i="76"/>
  <c r="B3" i="43"/>
  <c r="D10" i="71"/>
  <c r="C9" i="71"/>
  <c r="N68" i="39"/>
  <c r="M70" i="39"/>
  <c r="C39" i="35"/>
  <c r="B2" i="35" s="1"/>
  <c r="B3" i="35" s="1"/>
  <c r="C38" i="35"/>
  <c r="I17" i="83" s="1"/>
  <c r="O17" i="83" s="1"/>
  <c r="N63" i="40"/>
  <c r="M65" i="40"/>
  <c r="E43" i="35"/>
  <c r="F43" i="35" s="1"/>
  <c r="E42" i="35"/>
  <c r="F42" i="35" s="1"/>
  <c r="I43" i="35"/>
  <c r="J43" i="35" s="1"/>
  <c r="O13" i="83" l="1"/>
  <c r="N13" i="83" s="1"/>
  <c r="N17" i="83"/>
  <c r="C57" i="69"/>
  <c r="C56" i="69" s="1"/>
  <c r="C8" i="71"/>
  <c r="D9" i="71"/>
  <c r="N70" i="39"/>
  <c r="O68" i="39"/>
  <c r="O70" i="39" s="1"/>
  <c r="C6" i="68"/>
  <c r="C7" i="68" s="1"/>
  <c r="C5" i="68" s="1"/>
  <c r="B3" i="76"/>
  <c r="O63" i="40"/>
  <c r="O65" i="40" s="1"/>
  <c r="N65" i="40"/>
  <c r="O20" i="83" l="1"/>
  <c r="P20" i="83" s="1"/>
  <c r="Q19" i="83" s="1"/>
  <c r="F7" i="39"/>
  <c r="AA7" i="39" s="1"/>
  <c r="R47" i="39" s="1"/>
  <c r="C23" i="68"/>
  <c r="C20" i="68"/>
  <c r="C25" i="68" s="1"/>
  <c r="J7" i="39"/>
  <c r="S7" i="39"/>
  <c r="C7" i="71"/>
  <c r="D8" i="71"/>
  <c r="H7" i="39"/>
  <c r="J7" i="40"/>
  <c r="F7" i="40"/>
  <c r="H7" i="40"/>
  <c r="Q21" i="83" l="1"/>
  <c r="R15" i="83"/>
  <c r="Q20" i="83"/>
  <c r="C28" i="68"/>
  <c r="C27" i="68" s="1"/>
  <c r="W7" i="39"/>
  <c r="AC7" i="39"/>
  <c r="V47" i="39" s="1"/>
  <c r="I47" i="39" s="1"/>
  <c r="U7" i="39"/>
  <c r="AB7" i="39"/>
  <c r="T47" i="39" s="1"/>
  <c r="G47" i="39" s="1"/>
  <c r="C6" i="71"/>
  <c r="T7" i="71"/>
  <c r="D7" i="71"/>
  <c r="U7" i="71" s="1"/>
  <c r="E47" i="39"/>
  <c r="R48" i="39"/>
  <c r="C22" i="68"/>
  <c r="U7" i="40"/>
  <c r="AB7" i="40"/>
  <c r="T42" i="40" s="1"/>
  <c r="G42" i="40" s="1"/>
  <c r="AA7" i="40"/>
  <c r="R42" i="40" s="1"/>
  <c r="S7" i="40"/>
  <c r="AC7" i="40"/>
  <c r="V42" i="40" s="1"/>
  <c r="I42" i="40" s="1"/>
  <c r="W7" i="40"/>
  <c r="U20" i="83" l="1"/>
  <c r="U22" i="83" s="1"/>
  <c r="Q22" i="83"/>
  <c r="Y3" i="83"/>
  <c r="AC3" i="83" s="1"/>
  <c r="U19" i="83"/>
  <c r="U21" i="83" s="1"/>
  <c r="C31" i="68"/>
  <c r="C52" i="68" s="1"/>
  <c r="B2" i="68" s="1"/>
  <c r="E51" i="39"/>
  <c r="F51" i="39" s="1"/>
  <c r="E52" i="39"/>
  <c r="F52" i="39" s="1"/>
  <c r="G52" i="39"/>
  <c r="H52" i="39" s="1"/>
  <c r="G51" i="39"/>
  <c r="H51" i="39" s="1"/>
  <c r="I52" i="39"/>
  <c r="J52" i="39" s="1"/>
  <c r="I51" i="39"/>
  <c r="J51" i="39" s="1"/>
  <c r="C47" i="39"/>
  <c r="C48" i="39"/>
  <c r="D6" i="71"/>
  <c r="C5" i="71"/>
  <c r="I46" i="40"/>
  <c r="J46" i="40" s="1"/>
  <c r="R43" i="40"/>
  <c r="E42" i="40"/>
  <c r="G47" i="40"/>
  <c r="H47" i="40" s="1"/>
  <c r="G46" i="40"/>
  <c r="H46" i="40" s="1"/>
  <c r="D19" i="9"/>
  <c r="C19" i="9"/>
  <c r="Q2" i="83" l="1"/>
  <c r="R2" i="83" s="1"/>
  <c r="S2" i="83" s="1"/>
  <c r="T2" i="83" s="1"/>
  <c r="C57" i="68"/>
  <c r="C56" i="68" s="1"/>
  <c r="D102" i="9"/>
  <c r="D21" i="9"/>
  <c r="G19" i="9"/>
  <c r="G21" i="9" s="1"/>
  <c r="D22" i="9"/>
  <c r="C102" i="9"/>
  <c r="C21" i="9"/>
  <c r="B3" i="68"/>
  <c r="D5" i="71"/>
  <c r="M20" i="43"/>
  <c r="M20" i="77"/>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C20" i="9"/>
  <c r="D20" i="9"/>
  <c r="Q5" i="83" l="1"/>
  <c r="T5" i="83"/>
  <c r="S5" i="83"/>
  <c r="S8" i="83" s="1"/>
  <c r="R5" i="83"/>
  <c r="D103" i="9"/>
  <c r="C103" i="9"/>
  <c r="G20" i="9"/>
  <c r="C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5" i="83" l="1"/>
  <c r="C4" i="78"/>
  <c r="C29" i="78" s="1"/>
  <c r="C30" i="78" s="1"/>
  <c r="D36" i="78" s="1"/>
  <c r="C32" i="9"/>
  <c r="C35" i="9" l="1"/>
  <c r="C34" i="9" s="1"/>
  <c r="G35" i="78"/>
  <c r="D37" i="78"/>
  <c r="J9" i="78"/>
  <c r="E38" i="78" l="1"/>
  <c r="E39" i="78" s="1"/>
  <c r="G37" i="78"/>
  <c r="C38" i="78"/>
  <c r="C39" i="78" s="1"/>
  <c r="J10" i="78"/>
  <c r="G118" i="9"/>
  <c r="F118" i="9" s="1"/>
  <c r="I118" i="9"/>
  <c r="I4" i="52" s="1"/>
  <c r="F119" i="9" l="1"/>
  <c r="F5" i="52" s="1"/>
  <c r="B53" i="72" s="1"/>
  <c r="F4" i="52"/>
  <c r="B51" i="72" s="1"/>
  <c r="H118" i="9"/>
  <c r="G4" i="52"/>
  <c r="B52" i="72" s="1"/>
  <c r="E118" i="9"/>
  <c r="H102" i="9"/>
  <c r="D7" i="53" s="1"/>
  <c r="B21" i="72" s="1"/>
  <c r="C105" i="9"/>
  <c r="D118" i="9" l="1"/>
  <c r="E4" i="52"/>
  <c r="B48" i="72" s="1"/>
  <c r="H4" i="52"/>
  <c r="C104" i="9"/>
  <c r="H101" i="9"/>
  <c r="H119" i="9"/>
  <c r="H5" i="52" s="1"/>
  <c r="D14" i="74"/>
  <c r="E14" i="74" l="1"/>
  <c r="B5" i="74"/>
  <c r="F14" i="74"/>
  <c r="D45" i="9"/>
  <c r="D5" i="53"/>
  <c r="H107" i="9"/>
  <c r="M48" i="9"/>
  <c r="D4" i="52"/>
  <c r="B47" i="72" s="1"/>
  <c r="D119" i="9"/>
  <c r="D5" i="52" s="1"/>
  <c r="B49" i="72" s="1"/>
  <c r="D53" i="9" l="1"/>
  <c r="C85" i="9"/>
  <c r="D52" i="9"/>
  <c r="C78" i="9"/>
  <c r="C73" i="9" s="1"/>
  <c r="C72" i="9"/>
  <c r="D55" i="9"/>
  <c r="M53" i="9" s="1"/>
  <c r="C64" i="9"/>
  <c r="C63" i="9" s="1"/>
  <c r="C67" i="9" s="1"/>
  <c r="C93" i="9"/>
  <c r="C86" i="9" s="1"/>
  <c r="B20" i="72"/>
  <c r="D6" i="53"/>
  <c r="B22" i="72" s="1"/>
  <c r="C5" i="74"/>
  <c r="D5" i="74"/>
  <c r="D13" i="53"/>
  <c r="H108" i="9"/>
  <c r="D15" i="53" s="1"/>
  <c r="B31" i="72" s="1"/>
  <c r="D122" i="9"/>
  <c r="C79" i="9" l="1"/>
  <c r="C80" i="9" s="1"/>
  <c r="E80" i="9" s="1"/>
  <c r="E81" i="9" s="1"/>
  <c r="C68" i="9"/>
  <c r="D54" i="9" s="1"/>
  <c r="D59" i="9"/>
  <c r="M55" i="9" s="1"/>
  <c r="D8" i="52"/>
  <c r="G14" i="74"/>
  <c r="B6" i="74" s="1"/>
  <c r="D123" i="9"/>
  <c r="D9" i="52" s="1"/>
  <c r="C95" i="9"/>
  <c r="D14" i="53"/>
  <c r="B32" i="72" s="1"/>
  <c r="B30" i="72"/>
  <c r="C96" i="9" l="1"/>
  <c r="E96" i="9" s="1"/>
  <c r="E97" i="9" s="1"/>
  <c r="D6" i="74"/>
  <c r="C6" i="74"/>
  <c r="C81" i="9"/>
  <c r="C97" i="9" l="1"/>
  <c r="D58" i="9" s="1"/>
  <c r="D56" i="9" s="1"/>
  <c r="M54" i="9" s="1"/>
  <c r="N57"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C00-00000300000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F00-000005000000}">
      <text>
        <r>
          <rPr>
            <sz val="9"/>
            <color indexed="81"/>
            <rFont val="宋体"/>
            <family val="3"/>
            <charset val="134"/>
          </rPr>
          <t xml:space="preserve">需在此处填写剩余土地年限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Windows User</author>
    <author>崔锴</author>
    <author>USER</author>
  </authors>
  <commentList>
    <comment ref="G10" authorId="0" shapeId="0" xr:uid="{A4457473-E6B1-4FE9-AAAE-B91D5BFD9CAB}">
      <text>
        <r>
          <rPr>
            <b/>
            <sz val="9"/>
            <color indexed="81"/>
            <rFont val="宋体"/>
            <family val="3"/>
            <charset val="134"/>
          </rPr>
          <t>Windows User:剩余年限修正，数不变</t>
        </r>
      </text>
    </comment>
    <comment ref="K49" authorId="1"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2"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2"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Windows 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B27" authorId="1" shapeId="0" xr:uid="{00000000-0006-0000-2900-000002000000}">
      <text>
        <r>
          <rPr>
            <b/>
            <sz val="9"/>
            <color indexed="81"/>
            <rFont val="宋体"/>
            <family val="3"/>
            <charset val="134"/>
          </rPr>
          <t>Windows User:</t>
        </r>
        <r>
          <rPr>
            <sz val="9"/>
            <color indexed="81"/>
            <rFont val="宋体"/>
            <family val="3"/>
            <charset val="134"/>
          </rPr>
          <t xml:space="preserve">
车位配比是对整栋的影响因素，整层租赁或者车位单独租赁影响不大</t>
        </r>
      </text>
    </comment>
    <comment ref="K38" authorId="2" shapeId="0" xr:uid="{00000000-0006-0000-2900-000003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4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5000000}">
      <text>
        <r>
          <rPr>
            <b/>
            <sz val="12"/>
            <color indexed="81"/>
            <rFont val="宋体"/>
            <family val="3"/>
            <charset val="134"/>
          </rPr>
          <t>所属项目品质或
物业管理</t>
        </r>
      </text>
    </comment>
    <comment ref="B90"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TianHui Wang/CHN</author>
  </authors>
  <commentList>
    <comment ref="R11" authorId="0" shapeId="0" xr:uid="{00000000-0006-0000-2C00-000001000000}">
      <text>
        <r>
          <rPr>
            <b/>
            <sz val="9"/>
            <color rgb="FF000000"/>
            <rFont val="宋体"/>
            <family val="3"/>
            <charset val="134"/>
          </rPr>
          <t>TianHui Wang/CHN:</t>
        </r>
        <r>
          <rPr>
            <sz val="9"/>
            <color rgb="FF000000"/>
            <rFont val="宋体"/>
            <family val="3"/>
            <charset val="134"/>
          </rPr>
          <t xml:space="preserve">
2010年8月，在北京经营了20年的凯莱大酒店主体正式拆除，经4年的开发建设之后，正式变身为W酒店，而酒店管理方也成为全球知名酒店管理集团喜达屋</t>
        </r>
      </text>
    </comment>
    <comment ref="S11" authorId="0" shapeId="0" xr:uid="{00000000-0006-0000-2C00-000002000000}">
      <text>
        <r>
          <rPr>
            <b/>
            <sz val="9"/>
            <color rgb="FF000000"/>
            <rFont val="宋体"/>
            <family val="3"/>
            <charset val="134"/>
          </rPr>
          <t>TianHui Wang/CHN:</t>
        </r>
        <r>
          <rPr>
            <sz val="9"/>
            <color rgb="FF000000"/>
            <rFont val="宋体"/>
            <family val="3"/>
            <charset val="134"/>
          </rPr>
          <t xml:space="preserve">
11月1日，中粮酒店（北京）有限公司100%股权以9.95亿元挂牌价格在上海联合产权交易所挂牌转让，挂牌期满日期2017年11月27日。挂牌公告显示，受让方须书面承诺同意代标的企业向转让方的关联企业偿还借款人民币142858万元及2017年4月30日至偿还之日的利息。据了解，截止2017年9月30日，中粮酒店应付工程款金额为人民币3537.006203万元，欠股东共计89.55648万元债务。标的企业原有的债权债务，由股权转让后的新标的企业继续承担和享有。</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<sst xmlns="http://schemas.openxmlformats.org/spreadsheetml/2006/main" count="10939" uniqueCount="4332">
  <si>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</si>
  <si>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</si>
  <si>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</si>
  <si>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</si>
  <si>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</si>
  <si>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</si>
  <si>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</si>
  <si>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</si>
  <si>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</si>
  <si>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</si>
  <si>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</si>
  <si>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</si>
  <si>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</si>
  <si>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</si>
  <si>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</si>
  <si>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</si>
  <si>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</si>
  <si>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</si>
  <si>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</si>
  <si>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</si>
  <si>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</si>
  <si>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</si>
  <si>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</si>
  <si>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</si>
  <si>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</si>
  <si>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</si>
  <si>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</si>
  <si>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</si>
  <si>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</si>
  <si>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</si>
  <si>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</si>
  <si>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</si>
  <si>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</si>
  <si>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</si>
  <si>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</si>
  <si>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</si>
  <si>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</si>
  <si>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</si>
  <si>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</si>
  <si>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</si>
  <si>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</si>
  <si>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</si>
  <si>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</si>
  <si>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</si>
  <si>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</si>
  <si>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</si>
  <si>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</si>
  <si>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</si>
  <si>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</si>
  <si>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</si>
  <si>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</si>
  <si>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</si>
  <si>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</si>
  <si>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</si>
  <si>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</si>
  <si>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</si>
  <si>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</si>
  <si>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</si>
  <si>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</si>
  <si>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</si>
  <si>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</si>
  <si>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</si>
  <si>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</si>
  <si>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</si>
  <si>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</si>
  <si>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</si>
  <si>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</si>
  <si>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</si>
  <si>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</si>
  <si>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</si>
  <si>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</si>
  <si>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</si>
  <si>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</si>
  <si>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</si>
  <si>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</si>
  <si>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</si>
  <si>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</si>
  <si>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</si>
  <si>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</si>
  <si>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</si>
  <si>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</si>
  <si>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</si>
  <si>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</si>
  <si>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</si>
  <si>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</si>
  <si>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</si>
  <si>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</si>
  <si>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</si>
  <si>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</si>
  <si>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</si>
  <si>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</si>
  <si>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</si>
  <si>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</si>
  <si>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</si>
  <si>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</si>
  <si>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</si>
  <si>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</si>
  <si>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</si>
  <si>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</si>
  <si>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</si>
  <si>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</si>
  <si>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</si>
  <si>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</si>
  <si>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</si>
  <si>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</si>
  <si>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</si>
  <si>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</si>
  <si>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</si>
  <si>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</si>
  <si>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</si>
  <si>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</si>
  <si>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</si>
  <si>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</si>
  <si>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</si>
  <si>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</si>
  <si>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</si>
  <si>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</si>
  <si>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</si>
  <si>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</si>
  <si>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</si>
  <si>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</si>
  <si>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</si>
  <si>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</si>
  <si>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</si>
  <si>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</si>
  <si>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</si>
  <si>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</si>
  <si>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</si>
  <si>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</si>
  <si>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</si>
  <si>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</si>
  <si>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</si>
  <si>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</si>
  <si>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</si>
  <si>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</si>
  <si>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</si>
  <si>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</si>
  <si>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</si>
  <si>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</si>
  <si>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</si>
  <si>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</si>
  <si>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</si>
  <si>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</si>
  <si>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</si>
  <si>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</si>
  <si>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</si>
  <si>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</si>
  <si>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</si>
  <si>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</si>
  <si>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</si>
  <si>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</si>
  <si>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</si>
  <si>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</si>
  <si>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</si>
  <si>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</si>
  <si>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</si>
  <si>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</si>
  <si>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</si>
  <si>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</si>
  <si>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</si>
  <si>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</si>
  <si>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</si>
  <si>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</si>
  <si>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</si>
  <si>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</si>
  <si>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</si>
  <si>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</si>
  <si>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</si>
  <si>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</si>
  <si>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</si>
  <si>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</si>
  <si>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</si>
  <si>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</si>
  <si>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</si>
  <si>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</si>
  <si>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</si>
  <si>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</si>
  <si>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</si>
  <si>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</si>
  <si>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</si>
  <si>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</si>
  <si>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</si>
  <si>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</si>
  <si>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</si>
  <si>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</si>
  <si>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</si>
  <si>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</si>
  <si>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</si>
  <si>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</si>
  <si>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</si>
  <si>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</si>
  <si>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</si>
  <si>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</si>
  <si>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</si>
  <si>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</si>
  <si>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</si>
  <si>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</si>
  <si>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</si>
  <si>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</si>
  <si>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</si>
  <si>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</si>
  <si>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</si>
  <si>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</si>
  <si>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</si>
  <si>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</si>
  <si>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</si>
  <si>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</si>
  <si>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</si>
  <si>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</si>
  <si>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</si>
  <si>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</si>
  <si>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</si>
  <si>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</si>
  <si>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</si>
  <si>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</si>
  <si>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</si>
  <si>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</si>
  <si>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</si>
  <si>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</si>
  <si>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</si>
  <si>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</si>
  <si>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</si>
  <si>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</si>
  <si>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</si>
  <si>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</si>
  <si>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</si>
  <si>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</si>
  <si>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</si>
  <si>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</si>
  <si>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</si>
  <si>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</si>
  <si>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</si>
  <si>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</si>
  <si>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</si>
  <si>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</si>
  <si>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</si>
  <si>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</si>
  <si>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</si>
  <si>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</si>
  <si>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</si>
  <si>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</si>
  <si>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</si>
  <si>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</si>
  <si>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</si>
  <si>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</si>
  <si>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</si>
  <si>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</si>
  <si>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</si>
  <si>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</si>
  <si>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</si>
  <si>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</si>
  <si>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</si>
  <si>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</si>
  <si>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</si>
  <si>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</si>
  <si>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</si>
  <si>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</si>
  <si>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</si>
  <si>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</si>
  <si>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</si>
  <si>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</si>
  <si>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</si>
  <si>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</si>
  <si>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</si>
  <si>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</si>
  <si>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</si>
  <si>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</si>
  <si>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</si>
  <si>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</si>
  <si>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</si>
  <si>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</si>
  <si>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</si>
  <si>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</si>
  <si>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</si>
  <si>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</si>
  <si>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</si>
  <si>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</si>
  <si>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</si>
  <si>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</si>
  <si>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</si>
  <si>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</si>
  <si>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</si>
  <si>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</si>
  <si>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</si>
  <si>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</si>
  <si>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</si>
  <si>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</si>
  <si>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</si>
  <si>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</si>
  <si>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</si>
  <si>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</si>
  <si>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</si>
  <si>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</si>
  <si>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</si>
  <si>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</si>
  <si>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</si>
  <si>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</si>
  <si>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</si>
  <si>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</si>
  <si>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</si>
  <si>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</si>
  <si>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</si>
  <si>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</si>
  <si>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</si>
  <si>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</si>
  <si>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</si>
  <si>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</si>
  <si>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</si>
  <si>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</si>
  <si>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</si>
  <si>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</si>
  <si>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</si>
  <si>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</si>
  <si>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</si>
  <si>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</si>
  <si>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</si>
  <si>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</si>
  <si>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</si>
  <si>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</si>
  <si>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</si>
  <si>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</si>
  <si>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</si>
  <si>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</si>
  <si>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</si>
  <si>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</si>
  <si>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</si>
  <si>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</si>
  <si>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</si>
  <si>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</si>
  <si>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</si>
  <si>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</si>
  <si>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</si>
  <si>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</si>
  <si>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</si>
  <si>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</si>
  <si>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</si>
  <si>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</si>
  <si>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</si>
  <si>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</si>
  <si>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</si>
  <si>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</si>
  <si>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</si>
  <si>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</si>
  <si>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</si>
  <si>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</si>
  <si>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</si>
  <si>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</si>
  <si>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</si>
  <si>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</si>
  <si>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</si>
  <si>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</si>
  <si>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</si>
  <si>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</si>
  <si>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</si>
  <si>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</si>
  <si>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</si>
  <si>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</si>
  <si>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</si>
  <si>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</si>
  <si>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</si>
  <si>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</si>
  <si>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</si>
  <si>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</si>
  <si>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</si>
  <si>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</si>
  <si>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</si>
  <si>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</si>
  <si>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</si>
  <si>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</si>
  <si>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</si>
  <si>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</si>
  <si>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</si>
  <si>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</si>
  <si>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</si>
  <si>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</si>
  <si>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</si>
  <si>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</si>
  <si>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</si>
  <si>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</si>
  <si>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</si>
  <si>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</si>
  <si>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</si>
  <si>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</si>
  <si>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</si>
  <si>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</si>
  <si>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</si>
  <si>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</si>
  <si>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</si>
  <si>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</si>
  <si>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</si>
  <si>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</si>
  <si>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</si>
  <si>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</si>
  <si>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</si>
  <si>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</si>
  <si>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</si>
  <si>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</si>
  <si>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</si>
  <si>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</si>
  <si>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</si>
  <si>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</si>
  <si>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</si>
  <si>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</si>
  <si>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</si>
  <si>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</si>
  <si>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</si>
  <si>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</si>
  <si>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</si>
  <si>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</si>
  <si>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</si>
  <si>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</si>
  <si>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</si>
  <si>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</si>
  <si>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</si>
  <si>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</si>
  <si>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</si>
  <si>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</si>
  <si>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</si>
  <si>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</si>
  <si>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</si>
  <si>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</si>
  <si>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</si>
  <si>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</si>
  <si>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</si>
  <si>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</si>
  <si>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</si>
  <si>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</si>
  <si>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</si>
  <si>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</si>
  <si>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</si>
  <si>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</si>
  <si>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</si>
  <si>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</si>
  <si>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</si>
  <si>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</si>
  <si>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</si>
  <si>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</si>
  <si>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</si>
  <si>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</si>
  <si>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</si>
  <si>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</si>
  <si>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</si>
  <si>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</si>
  <si>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</si>
  <si>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</si>
  <si>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</si>
  <si>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</si>
  <si>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</si>
  <si>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</si>
  <si>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</si>
  <si>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</si>
  <si>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</si>
  <si>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</si>
  <si>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</si>
  <si>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</si>
  <si>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</si>
  <si>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</si>
  <si>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</si>
  <si>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</si>
  <si>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</si>
  <si>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</si>
  <si>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</si>
  <si>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</si>
  <si>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</si>
  <si>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</si>
  <si>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</si>
  <si>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</si>
  <si>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</si>
  <si>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</si>
  <si>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</si>
  <si>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</si>
  <si>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</si>
  <si>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</si>
  <si>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</si>
  <si>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</si>
  <si>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</si>
  <si>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</si>
  <si>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</si>
  <si>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</si>
  <si>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</si>
  <si>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</si>
  <si>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</si>
  <si>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</si>
  <si>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</si>
  <si>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</si>
  <si>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</si>
  <si>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</si>
  <si>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</si>
  <si>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</si>
  <si>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</si>
  <si>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</si>
  <si>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</si>
  <si>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</si>
  <si>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</si>
  <si>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</si>
  <si>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</si>
  <si>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</si>
  <si>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</si>
  <si>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</si>
  <si>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</si>
  <si>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</si>
  <si>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</si>
  <si>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</si>
  <si>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</si>
  <si>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</si>
  <si>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</si>
  <si>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</si>
  <si>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</si>
  <si>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</si>
  <si>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</si>
  <si>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</si>
  <si>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</si>
  <si>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</si>
  <si>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</si>
  <si>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</si>
  <si>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</si>
  <si>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</si>
  <si>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</si>
  <si>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</si>
  <si>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</si>
  <si>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</si>
  <si>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</si>
  <si>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</si>
  <si>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</si>
  <si>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</si>
  <si>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</si>
  <si>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</si>
  <si>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</si>
  <si>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</si>
  <si>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</si>
  <si>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</si>
  <si>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</si>
  <si>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</si>
  <si>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</si>
  <si>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</si>
  <si>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</si>
  <si>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</si>
  <si>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</si>
  <si>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</si>
  <si>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</si>
  <si>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</si>
  <si>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</si>
  <si>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</si>
  <si>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</si>
  <si>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</si>
  <si>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</si>
  <si>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</si>
  <si>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</si>
  <si>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</si>
  <si>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</si>
  <si>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</si>
  <si>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</si>
  <si>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</si>
  <si>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</si>
  <si>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</si>
  <si>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</si>
  <si>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</si>
  <si>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</si>
  <si>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</si>
  <si>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</si>
  <si>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</si>
  <si>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</si>
  <si>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</si>
  <si>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</si>
  <si>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</si>
  <si>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</si>
  <si>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</si>
  <si>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</si>
  <si>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</si>
  <si>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</si>
  <si>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</si>
  <si>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</si>
  <si>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</si>
  <si>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</si>
  <si>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</si>
  <si>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</si>
  <si>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</si>
  <si>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</si>
  <si>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</si>
  <si>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</si>
  <si>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</si>
  <si>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</si>
  <si>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</si>
  <si>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</si>
  <si>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</si>
  <si>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</si>
  <si>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</si>
  <si>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</si>
  <si>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</si>
  <si>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</si>
  <si>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</si>
  <si>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</si>
  <si>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</si>
  <si>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</si>
  <si>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</si>
  <si>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</si>
  <si>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</si>
  <si>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</si>
  <si>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</si>
  <si>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</si>
  <si>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</si>
  <si>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</si>
  <si>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</si>
  <si>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</si>
  <si>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</si>
  <si>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</si>
  <si>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</si>
  <si>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</si>
  <si>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</si>
  <si>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</si>
  <si>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</si>
  <si>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</si>
  <si>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</si>
  <si>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</si>
  <si>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</si>
  <si>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</si>
  <si>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</si>
  <si>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</si>
  <si>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</si>
  <si>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</si>
  <si>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</si>
  <si>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</si>
  <si>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</si>
  <si>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</si>
  <si>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</si>
  <si>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</si>
  <si>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</si>
  <si>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</si>
  <si>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</si>
  <si>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</si>
  <si>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</si>
  <si>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</si>
  <si>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</si>
  <si>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</si>
  <si>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</si>
  <si>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</si>
  <si>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</si>
  <si>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</si>
  <si>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</si>
  <si>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</si>
  <si>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</si>
  <si>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</si>
  <si>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</si>
  <si>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</si>
  <si>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</si>
  <si>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</si>
  <si>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</si>
  <si>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</si>
  <si>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</si>
  <si>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</si>
  <si>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</si>
  <si>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</si>
  <si>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</si>
  <si>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</si>
  <si>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</si>
  <si>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</si>
  <si>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</si>
  <si>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</si>
  <si>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</si>
  <si>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</si>
  <si>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</si>
  <si>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</si>
  <si>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</si>
  <si>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</si>
  <si>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</si>
  <si>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</si>
  <si>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</si>
  <si>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</si>
  <si>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</si>
  <si>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</si>
  <si>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</si>
  <si>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</si>
  <si>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</si>
  <si>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</si>
  <si>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</si>
  <si>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</si>
  <si>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</si>
  <si>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</si>
  <si>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</si>
  <si>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</si>
  <si>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</si>
  <si>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</si>
  <si>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</si>
  <si>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</si>
  <si>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</si>
  <si>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</si>
  <si>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</si>
  <si>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</si>
  <si>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</si>
  <si>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</si>
  <si>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</si>
  <si>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</si>
  <si>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</si>
  <si>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</si>
  <si>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</si>
  <si>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</si>
  <si>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</si>
  <si>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</si>
  <si>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</si>
  <si>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</si>
  <si>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</si>
  <si>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</si>
  <si>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</si>
  <si>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</si>
  <si>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</si>
  <si>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</si>
  <si>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</si>
  <si>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</si>
  <si>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</si>
  <si>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</si>
  <si>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</si>
  <si>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</si>
  <si>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</si>
  <si>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</si>
  <si>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</si>
  <si>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</si>
  <si>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</si>
  <si>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</si>
  <si>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</si>
  <si>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</si>
  <si>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</si>
  <si>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</si>
  <si>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</si>
  <si>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</si>
  <si>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</si>
  <si>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</si>
  <si>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</si>
  <si>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</si>
  <si>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</si>
  <si>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</si>
  <si>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</si>
  <si>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</si>
  <si>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</si>
  <si>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</si>
  <si>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</si>
  <si>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</si>
  <si>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</si>
  <si>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</si>
  <si>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</si>
  <si>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</si>
  <si>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</si>
  <si>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</si>
  <si>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</si>
  <si>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</si>
  <si>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</si>
  <si>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</si>
  <si>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</si>
  <si>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</si>
  <si>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</si>
  <si>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</si>
  <si>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</si>
  <si>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</si>
  <si>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</si>
  <si>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</si>
  <si>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</si>
  <si>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</si>
  <si>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</si>
  <si>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</si>
  <si>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</si>
  <si>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</si>
  <si>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</si>
  <si>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</si>
  <si>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</si>
  <si>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</si>
  <si>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</si>
  <si>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</si>
  <si>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</si>
  <si>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</si>
  <si>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</si>
  <si>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</si>
  <si>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</si>
  <si>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</si>
  <si>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</si>
  <si>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</si>
  <si>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</si>
  <si>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</si>
  <si>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</si>
  <si>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</si>
  <si>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</si>
  <si>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</si>
  <si>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</si>
  <si>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</si>
  <si>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</si>
  <si>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</si>
  <si>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</si>
  <si>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</si>
  <si>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</si>
  <si>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</si>
  <si>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</si>
  <si>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</si>
  <si>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</si>
  <si>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</si>
  <si>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</si>
  <si>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</si>
  <si>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</si>
  <si>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</si>
  <si>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</si>
  <si>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</si>
  <si>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</si>
  <si>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</si>
  <si>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</si>
  <si>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</si>
  <si>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</si>
  <si>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</si>
  <si>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</si>
  <si>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</si>
  <si>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</si>
  <si>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</si>
  <si>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</si>
  <si>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</si>
  <si>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</si>
  <si>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</si>
  <si>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</si>
  <si>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</si>
  <si>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</si>
  <si>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</si>
  <si>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</si>
  <si>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</si>
  <si>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</si>
  <si>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</si>
  <si>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</si>
  <si>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</si>
  <si>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</si>
  <si>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</si>
  <si>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</si>
  <si>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</si>
  <si>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</si>
  <si>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</si>
  <si>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</si>
  <si>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</si>
  <si>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</si>
  <si>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</si>
  <si>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</si>
  <si>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</si>
  <si>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</si>
  <si>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</si>
  <si>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</si>
  <si>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</si>
  <si>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</si>
  <si>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</si>
  <si>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</si>
  <si>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</si>
  <si>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</si>
  <si>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</si>
  <si>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</si>
  <si>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</si>
  <si>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</si>
  <si>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</si>
  <si>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</si>
  <si>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</si>
  <si>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</si>
  <si>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</si>
  <si>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</si>
  <si>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</si>
  <si>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</si>
  <si>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</si>
  <si>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</si>
  <si>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</si>
  <si>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</si>
  <si>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</si>
  <si>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</si>
  <si>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</si>
  <si>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</si>
  <si>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</si>
  <si>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</si>
  <si>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</si>
  <si>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</si>
  <si>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</si>
  <si>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</si>
  <si>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</si>
  <si>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</si>
  <si>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</si>
  <si>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</si>
  <si>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</si>
  <si>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</si>
  <si>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</si>
  <si>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</si>
  <si>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</si>
  <si>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</si>
  <si>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</si>
  <si>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</si>
  <si>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</si>
  <si>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</si>
  <si>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</si>
  <si>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</si>
  <si>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</si>
  <si>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</si>
  <si>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</si>
  <si>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</si>
  <si>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</si>
  <si>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</si>
  <si>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</si>
  <si>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</si>
  <si>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</si>
  <si>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</si>
  <si>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</si>
  <si>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</si>
  <si>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</si>
  <si>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</si>
  <si>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</si>
  <si>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</si>
  <si>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</si>
  <si>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</si>
  <si>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</si>
  <si>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</si>
  <si>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</si>
  <si>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</si>
  <si>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</si>
  <si>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</si>
  <si>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</si>
  <si>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</si>
  <si>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</si>
  <si>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</si>
  <si>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</si>
  <si>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</si>
  <si>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</si>
  <si>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</si>
  <si>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</si>
  <si>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</si>
  <si>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</si>
  <si>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</si>
  <si>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</si>
  <si>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</si>
  <si>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</si>
  <si>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</si>
  <si>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</si>
  <si>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</si>
  <si>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</si>
  <si>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</si>
  <si>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</si>
  <si>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</si>
  <si>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</si>
  <si>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</si>
  <si>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</si>
  <si>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</si>
  <si>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</si>
  <si>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</si>
  <si>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</si>
  <si>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</si>
  <si>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</si>
  <si>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</si>
  <si>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</si>
  <si>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</si>
  <si>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</si>
  <si>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</si>
  <si>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</si>
  <si>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</si>
  <si>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</si>
  <si>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</si>
  <si>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</si>
  <si>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</si>
  <si>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</si>
  <si>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</si>
  <si>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</si>
  <si>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</si>
  <si>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</si>
  <si>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</si>
  <si>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</si>
  <si>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</si>
  <si>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</si>
  <si>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</si>
  <si>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</si>
  <si>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</si>
  <si>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</si>
  <si>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</si>
  <si>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</si>
  <si>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</si>
  <si>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</si>
  <si>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</si>
  <si>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</si>
  <si>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</si>
  <si>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</si>
  <si>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</si>
  <si>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</si>
  <si>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</si>
  <si>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</si>
  <si>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</si>
  <si>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</si>
  <si>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</si>
  <si>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</si>
  <si>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</si>
  <si>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</si>
  <si>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</si>
  <si>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</si>
  <si>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</si>
  <si>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</si>
  <si>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</si>
  <si>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</si>
  <si>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</si>
  <si>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</si>
  <si>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</si>
  <si>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</si>
  <si>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</si>
  <si>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</si>
  <si>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</si>
  <si>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</si>
  <si>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</si>
  <si>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</si>
  <si>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</si>
  <si>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</si>
  <si>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</si>
  <si>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</si>
  <si>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</si>
  <si>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</si>
  <si>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</si>
  <si>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</si>
  <si>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</si>
  <si>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</si>
  <si>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</si>
  <si>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</si>
  <si>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</si>
  <si>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</si>
  <si>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</si>
  <si>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</si>
  <si>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</si>
  <si>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</si>
  <si>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</si>
  <si>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</si>
  <si>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</si>
  <si>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</si>
  <si>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</si>
  <si>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</si>
  <si>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</si>
  <si>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</si>
  <si>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</si>
  <si>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</si>
  <si>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</si>
  <si>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</si>
  <si>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</si>
  <si>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</si>
  <si>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</si>
  <si>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</si>
  <si>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</si>
  <si>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</si>
  <si>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</si>
  <si>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</si>
  <si>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</si>
  <si>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</si>
  <si>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</si>
  <si>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</si>
  <si>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</si>
  <si>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</si>
  <si>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</si>
  <si>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</si>
  <si>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</si>
  <si>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</si>
  <si>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</si>
  <si>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</si>
  <si>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</si>
  <si>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</si>
  <si>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</si>
  <si>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</si>
  <si>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</si>
  <si>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</si>
  <si>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</si>
  <si>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</si>
  <si>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</si>
  <si>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</si>
  <si>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</si>
  <si>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</si>
  <si>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</si>
  <si>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</si>
  <si>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</si>
  <si>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</si>
  <si>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</si>
  <si>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</si>
  <si>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</si>
  <si>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</si>
  <si>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</si>
  <si>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</si>
  <si>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</si>
  <si>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</si>
  <si>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</si>
  <si>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</si>
  <si>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</si>
  <si>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</si>
  <si>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</si>
  <si>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</si>
  <si>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</si>
  <si>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</si>
  <si>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</si>
  <si>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</si>
  <si>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</si>
  <si>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</si>
  <si>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</si>
  <si>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</si>
  <si>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</si>
  <si>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</si>
  <si>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</si>
  <si>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</si>
  <si>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</si>
  <si>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</si>
  <si>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</si>
  <si>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</si>
  <si>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</si>
  <si>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</si>
  <si>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</si>
  <si>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</si>
  <si>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</si>
  <si>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</si>
  <si>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</si>
  <si>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</si>
  <si>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</si>
  <si>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</si>
  <si>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</si>
  <si>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</si>
  <si>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</si>
  <si>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</si>
  <si>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</si>
  <si>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</si>
  <si>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</si>
  <si>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</si>
  <si>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</si>
  <si>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</si>
  <si>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</si>
  <si>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</si>
  <si>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</si>
  <si>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</si>
  <si>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</si>
  <si>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</si>
  <si>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</si>
  <si>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</si>
  <si>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</si>
  <si>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</si>
  <si>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</si>
  <si>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</si>
  <si>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</si>
  <si>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</si>
  <si>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</si>
  <si>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</si>
  <si>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</si>
  <si>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</si>
  <si>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</si>
  <si>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</si>
  <si>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</si>
  <si>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</si>
  <si>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</si>
  <si>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</si>
  <si>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</si>
  <si>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</si>
  <si>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</si>
  <si>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</si>
  <si>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</si>
  <si>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</si>
  <si>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</si>
  <si>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</si>
  <si>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</si>
  <si>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</si>
  <si>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</si>
  <si>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</si>
  <si>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</si>
  <si>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</si>
  <si>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</si>
  <si>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</si>
  <si>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</si>
  <si>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</si>
  <si>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</si>
  <si>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</si>
  <si>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</si>
  <si>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</si>
  <si>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</si>
  <si>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</si>
  <si>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</si>
  <si>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</si>
  <si>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</si>
  <si>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</si>
  <si>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</si>
  <si>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</si>
  <si>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</si>
  <si>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</si>
  <si>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</si>
  <si>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</si>
  <si>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</si>
  <si>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</si>
  <si>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</si>
  <si>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</si>
  <si>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</si>
  <si>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</si>
  <si>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</si>
  <si>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</si>
  <si>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</si>
  <si>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</si>
  <si>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</si>
  <si>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</si>
  <si>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</si>
  <si>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</si>
  <si>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</si>
  <si>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</si>
  <si>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</si>
  <si>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</si>
  <si>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</si>
  <si>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</si>
  <si>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</si>
  <si>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</si>
  <si>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</si>
  <si>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</si>
  <si>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</si>
  <si>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</si>
  <si>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</si>
  <si>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</si>
  <si>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</si>
  <si>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</si>
  <si>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</si>
  <si>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</si>
  <si>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</si>
  <si>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</si>
  <si>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</si>
  <si>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</si>
  <si>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</si>
  <si>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</si>
  <si>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</si>
  <si>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</si>
  <si>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</si>
  <si>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</si>
  <si>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</si>
  <si>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</si>
  <si>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</si>
  <si>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</si>
  <si>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</si>
  <si>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</si>
  <si>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</si>
  <si>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</si>
  <si>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</si>
  <si>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</si>
  <si>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</si>
  <si>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</si>
  <si>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</si>
  <si>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</si>
  <si>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</si>
  <si>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</si>
  <si>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</si>
  <si>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</si>
  <si>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</si>
  <si>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</si>
  <si>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</si>
  <si>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</si>
  <si>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</si>
  <si>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</si>
  <si>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</si>
  <si>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</si>
  <si>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</si>
  <si>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</si>
  <si>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</si>
  <si>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</si>
  <si>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</si>
  <si>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</si>
  <si>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</si>
  <si>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</si>
  <si>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</si>
  <si>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</si>
  <si>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</si>
  <si>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</si>
  <si>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</si>
  <si>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</si>
  <si>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</si>
  <si>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</si>
  <si>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</si>
  <si>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</si>
  <si>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</si>
  <si>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</si>
  <si>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</si>
  <si>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</si>
  <si>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</si>
  <si>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</si>
  <si>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</si>
  <si>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</si>
  <si>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</si>
  <si>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</si>
  <si>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</si>
  <si>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</si>
  <si>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</si>
  <si>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</si>
  <si>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</si>
  <si>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</si>
  <si>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</si>
  <si>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</si>
  <si>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</si>
  <si>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</si>
  <si>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</si>
  <si>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</si>
  <si>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</si>
  <si>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</si>
  <si>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</si>
  <si>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</si>
  <si>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</si>
  <si>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</si>
  <si>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</si>
  <si>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</si>
  <si>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</si>
  <si>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</si>
  <si>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</si>
  <si>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</si>
  <si>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</si>
  <si>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</si>
  <si>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</si>
  <si>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</si>
  <si>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</si>
  <si>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</si>
  <si>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</si>
  <si>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</si>
  <si>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</si>
  <si>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</si>
  <si>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</si>
  <si>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</si>
  <si>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</si>
  <si>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</si>
  <si>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</si>
  <si>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</si>
  <si>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</si>
  <si>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</si>
  <si>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</si>
  <si>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</si>
  <si>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</si>
  <si>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</si>
  <si>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</si>
  <si>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</si>
  <si>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</si>
  <si>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</si>
  <si>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</si>
  <si>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</si>
  <si>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</si>
  <si>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</si>
  <si>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</si>
  <si>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</si>
  <si>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</si>
  <si>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</si>
  <si>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</si>
  <si>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</si>
  <si>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</si>
  <si>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</si>
  <si>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</si>
  <si>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</si>
  <si>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</si>
  <si>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</si>
  <si>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</si>
  <si>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</si>
  <si>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</si>
  <si>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</si>
  <si>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</si>
  <si>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</si>
  <si>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</si>
  <si>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</si>
  <si>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</si>
  <si>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</si>
  <si>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</si>
  <si>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</si>
  <si>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</si>
  <si>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</si>
  <si>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</si>
  <si>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</si>
  <si>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</si>
  <si>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</si>
  <si>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</si>
  <si>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</si>
  <si>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</si>
  <si>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</si>
  <si>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</si>
  <si>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</si>
  <si>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</si>
  <si>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</si>
  <si>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</si>
  <si>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</si>
  <si>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</si>
  <si>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</si>
  <si>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</si>
  <si>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</si>
  <si>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</si>
  <si>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</si>
  <si>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</si>
  <si>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</si>
  <si>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</si>
  <si>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</si>
  <si>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</si>
  <si>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</si>
  <si>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</si>
  <si>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</si>
  <si>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</si>
  <si>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</si>
  <si>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</si>
  <si>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</si>
  <si>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</si>
  <si>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</si>
  <si>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</si>
  <si>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</si>
  <si>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</si>
  <si>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</si>
  <si>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</si>
  <si>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</si>
  <si>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</si>
  <si>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</si>
  <si>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</si>
  <si>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</si>
  <si>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</si>
  <si>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</si>
  <si>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</si>
  <si>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</si>
  <si>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</si>
  <si>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</si>
  <si>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</si>
  <si>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</si>
  <si>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</si>
  <si>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</si>
  <si>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</si>
  <si>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</si>
  <si>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</si>
  <si>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</si>
  <si>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</si>
  <si>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</si>
  <si>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</si>
  <si>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</si>
  <si>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</si>
  <si>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</si>
  <si>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</si>
  <si>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</si>
  <si>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</si>
  <si>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</si>
  <si>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</si>
  <si>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</si>
  <si>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</si>
  <si>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</si>
  <si>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</si>
  <si>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</si>
  <si>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</si>
  <si>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</si>
  <si>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</si>
  <si>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</si>
  <si>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</si>
  <si>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</si>
  <si>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</si>
  <si>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</si>
  <si>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</si>
  <si>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</si>
  <si>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</si>
  <si>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</si>
  <si>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</si>
  <si>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</si>
  <si>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</si>
  <si>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</si>
  <si>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</si>
  <si>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</si>
  <si>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</si>
  <si>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</si>
  <si>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</si>
  <si>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</si>
  <si>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</si>
  <si>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</si>
  <si>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</si>
  <si>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</si>
  <si>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</si>
  <si>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</si>
  <si>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</si>
  <si>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</si>
  <si>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</si>
  <si>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</si>
  <si>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</si>
  <si>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</si>
  <si>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</si>
  <si>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</si>
  <si>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</si>
  <si>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</si>
  <si>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</si>
  <si>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</si>
  <si>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</si>
  <si>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</si>
  <si>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</si>
  <si>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</si>
  <si>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</si>
  <si>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</si>
  <si>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</si>
  <si>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</si>
  <si>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</si>
  <si>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</si>
  <si>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</si>
  <si>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</si>
  <si>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</si>
  <si>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</si>
  <si>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</si>
  <si>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</si>
  <si>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</si>
  <si>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</si>
  <si>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</si>
  <si>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</si>
  <si>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</si>
  <si>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</si>
  <si>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</si>
  <si>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</si>
  <si>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</si>
  <si>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</si>
  <si>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</si>
  <si>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</si>
  <si>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</si>
  <si>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</si>
  <si>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</si>
  <si>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</si>
  <si>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</si>
  <si>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</si>
  <si>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</si>
  <si>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</si>
  <si>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</si>
  <si>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</si>
  <si>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</si>
  <si>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</si>
  <si>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</si>
  <si>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</si>
  <si>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</si>
  <si>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</si>
  <si>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</si>
  <si>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</si>
  <si>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</si>
  <si>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</si>
  <si>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</si>
  <si>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</si>
  <si>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</si>
  <si>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</si>
  <si>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</si>
  <si>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</si>
  <si>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</si>
  <si>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</si>
  <si>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</si>
  <si>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</si>
  <si>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</si>
  <si>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</si>
  <si>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</si>
  <si>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</si>
  <si>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</si>
  <si>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</si>
  <si>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</si>
  <si>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</si>
  <si>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</si>
  <si>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</si>
  <si>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</si>
  <si>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</si>
  <si>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</si>
  <si>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</si>
  <si>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</si>
  <si>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</si>
  <si>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</si>
  <si>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</si>
  <si>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</si>
  <si>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</si>
  <si>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</si>
  <si>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</si>
  <si>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</si>
  <si>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</si>
  <si>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</si>
  <si>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</si>
  <si>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</si>
  <si>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</si>
  <si>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</si>
  <si>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</si>
  <si>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</si>
  <si>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</si>
  <si>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</si>
  <si>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</si>
  <si>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</si>
  <si>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</si>
  <si>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</si>
  <si>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</si>
  <si>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</si>
  <si>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</si>
  <si>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</si>
  <si>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</si>
  <si>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</si>
  <si>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</si>
  <si>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</si>
  <si>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</si>
  <si>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</si>
  <si>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</si>
  <si>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</si>
  <si>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</si>
  <si>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</si>
  <si>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</si>
  <si>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</si>
  <si>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</si>
  <si>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</si>
  <si>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</si>
  <si>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</si>
  <si>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</si>
  <si>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</si>
  <si>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</si>
  <si>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</si>
  <si>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</si>
  <si>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</si>
  <si>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</si>
  <si>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</si>
  <si>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</si>
  <si>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</si>
  <si>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</si>
  <si>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</si>
  <si>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</si>
  <si>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</si>
  <si>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</si>
  <si>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</si>
  <si>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</si>
  <si>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</si>
  <si>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</si>
  <si>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</si>
  <si>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</si>
  <si>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</si>
  <si>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</si>
  <si>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</si>
  <si>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</si>
  <si>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</si>
  <si>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</si>
  <si>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</si>
  <si>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</si>
  <si>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</si>
  <si>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</si>
  <si>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</si>
  <si>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</si>
  <si>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</si>
  <si>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</si>
  <si>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</si>
  <si>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</si>
  <si>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</si>
  <si>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</si>
  <si>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</si>
  <si>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</si>
  <si>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</si>
  <si>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</si>
  <si>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</si>
  <si>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</si>
  <si>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</si>
  <si>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</si>
  <si>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</si>
  <si>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</si>
  <si>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</si>
  <si>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</si>
  <si>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</si>
  <si>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</si>
  <si>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</si>
  <si>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</si>
  <si>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</si>
  <si>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</si>
  <si>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</si>
  <si>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</si>
  <si>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</si>
  <si>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</si>
  <si>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</si>
  <si>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</si>
  <si>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</si>
  <si>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</si>
  <si>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</si>
  <si>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</si>
  <si>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</si>
  <si>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</si>
  <si>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</si>
  <si>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</si>
  <si>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</si>
  <si>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</si>
  <si>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</si>
  <si>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</si>
  <si>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</si>
  <si>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</si>
  <si>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</si>
  <si>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</si>
  <si>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</si>
  <si>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</si>
  <si>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</si>
  <si>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</si>
  <si>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</si>
  <si>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</si>
  <si>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</si>
  <si>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</si>
  <si>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</si>
  <si>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</si>
  <si>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</si>
  <si>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</si>
  <si>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</si>
  <si>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</si>
  <si>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</si>
  <si>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</si>
  <si>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</si>
  <si>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</si>
  <si>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</si>
  <si>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</si>
  <si>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</si>
  <si>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</si>
  <si>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</si>
  <si>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</si>
  <si>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</si>
  <si>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</si>
  <si>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</si>
  <si>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</si>
  <si>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</si>
  <si>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</si>
  <si>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</si>
  <si>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</si>
  <si>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</si>
  <si>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</si>
  <si>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</si>
  <si>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</si>
  <si>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</si>
  <si>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</si>
  <si>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</si>
  <si>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</si>
  <si>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</si>
  <si>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</si>
  <si>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</si>
  <si>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</si>
  <si>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</si>
  <si>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</si>
  <si>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</si>
  <si>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</si>
  <si>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</si>
  <si>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</si>
  <si>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</si>
  <si>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</si>
  <si>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</si>
  <si>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</si>
  <si>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</si>
  <si>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</si>
  <si>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</si>
  <si>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</si>
  <si>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</si>
  <si>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</si>
  <si>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</si>
  <si>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</si>
  <si>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</si>
  <si>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</si>
  <si>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</si>
  <si>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</si>
  <si>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</si>
  <si>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</si>
  <si>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</si>
  <si>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</si>
  <si>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</si>
  <si>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</si>
  <si>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</si>
  <si>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</si>
  <si>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</si>
  <si>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</si>
  <si>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</si>
  <si>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</si>
  <si>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</si>
  <si>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</si>
  <si>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</si>
  <si>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</si>
  <si>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</si>
  <si>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</si>
  <si>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</si>
  <si>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</si>
  <si>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</si>
  <si>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</si>
  <si>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</si>
  <si>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</si>
  <si>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</si>
  <si>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</si>
  <si>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</si>
  <si>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</si>
  <si>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</si>
  <si>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</si>
  <si>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</si>
  <si>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</si>
  <si>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</si>
  <si>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</si>
  <si>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</si>
  <si>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</si>
  <si>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</si>
  <si>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</si>
  <si>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</si>
  <si>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</si>
  <si>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</si>
  <si>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</si>
  <si>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</si>
  <si>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</si>
  <si>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</si>
  <si>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</si>
  <si>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</si>
  <si>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</si>
  <si>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</si>
  <si>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</si>
  <si>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</si>
  <si>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</si>
  <si>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</si>
  <si>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</si>
  <si>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</si>
  <si>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</si>
  <si>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</si>
  <si>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</si>
  <si>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</si>
  <si>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</si>
  <si>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</si>
  <si>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</si>
  <si>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</si>
  <si>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</si>
  <si>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</si>
  <si>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</si>
  <si>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</si>
  <si>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</si>
  <si>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</si>
  <si>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</si>
  <si>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</si>
  <si>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</si>
  <si>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</si>
  <si>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</si>
  <si>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</si>
  <si>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</si>
  <si>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</si>
  <si>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</si>
  <si>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</si>
  <si>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</si>
  <si>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</si>
  <si>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</si>
  <si>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</si>
  <si>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</si>
  <si>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</si>
  <si>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</si>
  <si>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</si>
  <si>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</si>
  <si>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</si>
  <si>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</si>
  <si>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</si>
  <si>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</si>
  <si>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</si>
  <si>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</si>
  <si>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</si>
  <si>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</si>
  <si>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</si>
  <si>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</si>
  <si>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</si>
  <si>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</si>
  <si>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</si>
  <si>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</si>
  <si>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</si>
  <si>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</si>
  <si>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</si>
  <si>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</si>
  <si>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</si>
  <si>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</si>
  <si>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</si>
  <si>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</si>
  <si>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</si>
  <si>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</si>
  <si>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</si>
  <si>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</si>
  <si>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</si>
  <si>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</si>
  <si>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</si>
  <si>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</si>
  <si>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</si>
  <si>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</si>
  <si>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</si>
  <si>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</si>
  <si>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</si>
  <si>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</si>
  <si>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</si>
  <si>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</si>
  <si>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</si>
  <si>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</si>
  <si>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</si>
  <si>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</si>
  <si>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</si>
  <si>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</si>
  <si>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</si>
  <si>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</si>
  <si>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</si>
  <si>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</si>
  <si>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</si>
  <si>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</si>
  <si>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</si>
  <si>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</si>
  <si>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</si>
  <si>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</si>
  <si>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</si>
  <si>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</si>
  <si>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</si>
  <si>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</si>
  <si>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</si>
  <si>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</si>
  <si>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</si>
  <si>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</si>
  <si>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</si>
  <si>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</si>
  <si>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</si>
  <si>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</si>
  <si>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</si>
  <si>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</si>
  <si>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</si>
  <si>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</si>
  <si>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</si>
  <si>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</si>
  <si>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</si>
  <si>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</si>
  <si>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</si>
  <si>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</si>
  <si>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</si>
  <si>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</si>
  <si>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</si>
  <si>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</si>
  <si>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</si>
  <si>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</si>
  <si>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</si>
  <si>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</si>
  <si>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</si>
  <si>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</si>
  <si>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</si>
  <si>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</si>
  <si>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</si>
  <si>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</si>
  <si>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</si>
  <si>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</si>
  <si>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</si>
  <si>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</si>
  <si>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</si>
  <si>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</si>
  <si>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</si>
  <si>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</si>
  <si>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</si>
  <si>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</si>
  <si>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</si>
  <si>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</si>
  <si>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</si>
  <si>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</si>
  <si>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</si>
  <si>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</si>
  <si>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</si>
  <si>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</si>
  <si>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</si>
  <si>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</si>
  <si>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</si>
  <si>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</si>
  <si>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</si>
  <si>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</si>
  <si>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</si>
  <si>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</si>
  <si>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</si>
  <si>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</si>
  <si>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</si>
  <si>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</si>
  <si>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</si>
  <si>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</si>
  <si>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</si>
  <si>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</si>
  <si>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</si>
  <si>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</si>
  <si>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</si>
  <si>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</si>
  <si>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</si>
  <si>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</si>
  <si>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</si>
  <si>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</si>
  <si>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</si>
  <si>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</si>
  <si>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</si>
  <si>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</si>
  <si>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</si>
  <si>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</si>
  <si>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</si>
  <si>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</si>
  <si>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</si>
  <si>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</si>
  <si>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</si>
  <si>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</si>
  <si>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</si>
  <si>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</si>
  <si>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</si>
  <si>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</si>
  <si>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</si>
  <si>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</si>
  <si>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</si>
  <si>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</si>
  <si>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</si>
  <si>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</si>
  <si>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</si>
  <si>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</si>
  <si>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</si>
  <si>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</si>
  <si>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</si>
  <si>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</si>
  <si>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</si>
  <si>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</si>
  <si>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</si>
  <si>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</si>
  <si>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</si>
  <si>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</si>
  <si>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</si>
  <si>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</si>
  <si>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</si>
  <si>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</si>
  <si>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</si>
  <si>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</si>
  <si>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</si>
  <si>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</si>
  <si>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</si>
  <si>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</si>
  <si>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</si>
  <si>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</si>
  <si>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</si>
  <si>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</si>
  <si>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</si>
  <si>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</si>
  <si>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</si>
  <si>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</si>
  <si>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</si>
  <si>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</si>
  <si>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</si>
  <si>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</si>
  <si>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</si>
  <si>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</si>
  <si>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</si>
  <si>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</si>
  <si>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</si>
  <si>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</si>
  <si>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</si>
  <si>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</si>
  <si>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</si>
  <si>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</si>
  <si>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</si>
  <si>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</si>
  <si>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</si>
  <si>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</si>
  <si>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</si>
  <si>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</si>
  <si>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</si>
  <si>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</si>
  <si>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</si>
  <si>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</si>
  <si>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</si>
  <si>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</si>
  <si>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</si>
  <si>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</si>
  <si>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</si>
  <si>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</si>
  <si>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</si>
  <si>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</si>
  <si>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</si>
  <si>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</si>
  <si>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</si>
  <si>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</si>
  <si>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</si>
  <si>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</si>
  <si>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</si>
  <si>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</si>
  <si>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</si>
  <si>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</si>
  <si>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</si>
  <si>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</si>
  <si>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</si>
  <si>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</si>
  <si>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</si>
  <si>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</si>
  <si>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</si>
  <si>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</si>
  <si>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</si>
  <si>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</si>
  <si>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</si>
  <si>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</si>
  <si>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</si>
  <si>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</si>
  <si>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</si>
  <si>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</si>
  <si>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</si>
  <si>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</si>
  <si>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</si>
  <si>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</si>
  <si>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</si>
  <si>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</si>
  <si>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</si>
  <si>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</si>
  <si>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</si>
  <si>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</si>
  <si>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</si>
  <si>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</si>
  <si>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</si>
  <si>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</si>
  <si>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</si>
  <si>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</si>
  <si>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</si>
  <si>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</si>
  <si>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</si>
  <si>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</si>
  <si>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</si>
  <si>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</si>
  <si>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</si>
  <si>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</si>
  <si>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</si>
  <si>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</si>
  <si>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</si>
  <si>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</si>
  <si>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</si>
  <si>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</si>
  <si>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</si>
  <si>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</si>
  <si>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</si>
  <si>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</si>
  <si>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</si>
  <si>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</si>
  <si>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</si>
  <si>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</si>
  <si>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</si>
  <si>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</si>
  <si>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</si>
  <si>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</si>
  <si>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</si>
  <si>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</si>
  <si>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</si>
  <si>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</si>
  <si>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</si>
  <si>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</si>
  <si>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</si>
  <si>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</si>
  <si>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</si>
  <si>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</si>
  <si>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</si>
  <si>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</si>
  <si>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</si>
  <si>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</si>
  <si>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</si>
  <si>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</si>
  <si>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</si>
  <si>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</si>
  <si>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</si>
  <si>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</si>
  <si>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</si>
  <si>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</si>
  <si>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</si>
  <si>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</si>
  <si>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</si>
  <si>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</si>
  <si>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</si>
  <si>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</si>
  <si>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</si>
  <si>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</si>
  <si>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</si>
  <si>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</si>
  <si>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</si>
  <si>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</si>
  <si>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</si>
  <si>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</si>
  <si>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</si>
  <si>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</si>
  <si>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</si>
  <si>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</si>
  <si>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</si>
  <si>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</si>
  <si>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</si>
  <si>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</si>
  <si>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</si>
  <si>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</si>
  <si>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</si>
  <si>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</si>
  <si>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</si>
  <si>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</si>
  <si>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</si>
  <si>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</si>
  <si>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</si>
  <si>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</si>
  <si>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</si>
  <si>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</si>
  <si>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</si>
  <si>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</si>
  <si>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</si>
  <si>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</si>
  <si>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</si>
  <si>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</si>
  <si>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</si>
  <si>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</si>
  <si>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</si>
  <si>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</si>
  <si>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</si>
  <si>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</si>
  <si>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</si>
  <si>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</si>
  <si>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</si>
  <si>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</si>
  <si>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</si>
  <si>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</si>
  <si>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</si>
  <si>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</si>
  <si>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</si>
  <si>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</si>
  <si>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</si>
  <si>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</si>
  <si>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</si>
  <si>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</si>
  <si>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</si>
  <si>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</si>
  <si>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</si>
  <si>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</si>
  <si>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</si>
  <si>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</si>
  <si>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</si>
  <si>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</si>
  <si>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</si>
  <si>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</si>
  <si>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</si>
  <si>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</si>
  <si>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</si>
  <si>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</si>
  <si>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</si>
  <si>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</si>
  <si>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</si>
  <si>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</si>
  <si>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</si>
  <si>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</si>
  <si>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</si>
  <si>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</si>
  <si>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</si>
  <si>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</si>
  <si>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</si>
  <si>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</si>
  <si>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</si>
  <si>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</si>
  <si>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</si>
  <si>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</si>
  <si>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</si>
  <si>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</si>
  <si>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</si>
  <si>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</si>
  <si>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</si>
  <si>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</si>
  <si>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</si>
  <si>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</si>
  <si>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</si>
  <si>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</si>
  <si>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</si>
  <si>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</si>
  <si>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</si>
  <si>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</si>
  <si>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</si>
  <si>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</si>
  <si>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</si>
  <si>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</si>
  <si>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</si>
  <si>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</si>
  <si>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</si>
  <si>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</si>
  <si>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</si>
  <si>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</si>
  <si>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</si>
  <si>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</si>
  <si>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</si>
  <si>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</si>
  <si>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</si>
  <si>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</si>
  <si>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</si>
  <si>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</si>
  <si>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</si>
  <si>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</si>
  <si>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</si>
  <si>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</si>
  <si>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</si>
  <si>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</si>
  <si>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</si>
  <si>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</si>
  <si>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</si>
  <si>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</si>
  <si>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</si>
  <si>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</si>
  <si>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</si>
  <si>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</si>
  <si>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</si>
  <si>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</si>
  <si>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</si>
  <si>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</si>
  <si>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</si>
  <si>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</si>
  <si>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</si>
  <si>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</si>
  <si>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</si>
  <si>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</si>
  <si>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</si>
  <si>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</si>
  <si>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</si>
  <si>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</si>
  <si>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</si>
  <si>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</si>
  <si>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</si>
  <si>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</si>
  <si>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</si>
  <si>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</si>
  <si>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</si>
  <si>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</si>
  <si>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</si>
  <si>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</si>
  <si>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</si>
  <si>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</si>
  <si>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</si>
  <si>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</si>
  <si>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</si>
  <si>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</si>
  <si>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</si>
  <si>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</si>
  <si>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</si>
  <si>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</si>
  <si>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</si>
  <si>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</si>
  <si>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</si>
  <si>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</si>
  <si>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</si>
  <si>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</si>
  <si>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</si>
  <si>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</si>
  <si>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</si>
  <si>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</si>
  <si>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</si>
  <si>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</si>
  <si>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</si>
  <si>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</si>
  <si>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</si>
  <si>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</si>
  <si>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</si>
  <si>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</si>
  <si>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</si>
  <si>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</si>
  <si>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</si>
  <si>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</si>
  <si>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</si>
  <si>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</si>
  <si>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</si>
  <si>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</si>
  <si>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</si>
  <si>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</si>
  <si>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</si>
  <si>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</si>
  <si>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</si>
  <si>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</si>
  <si>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</si>
  <si>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</si>
  <si>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</si>
  <si>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</si>
  <si>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</si>
  <si>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</si>
  <si>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</si>
  <si>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</si>
  <si>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</si>
  <si>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</si>
  <si>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</si>
  <si>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</si>
  <si>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</si>
  <si>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</si>
  <si>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</si>
  <si>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</si>
  <si>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</si>
  <si>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</si>
  <si>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</si>
  <si>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</si>
  <si>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</si>
  <si>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</si>
  <si>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</si>
  <si>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</si>
  <si>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</si>
  <si>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</si>
  <si>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</si>
  <si>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</si>
  <si>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</si>
  <si>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</si>
  <si>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</si>
  <si>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</si>
  <si>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</si>
  <si>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</si>
  <si>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</si>
  <si>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</si>
  <si>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</si>
  <si>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</si>
  <si>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</si>
  <si>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</si>
  <si>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</si>
  <si>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</si>
  <si>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</si>
  <si>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</si>
  <si>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</si>
  <si>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</si>
  <si>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</si>
  <si>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</si>
  <si>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</si>
  <si>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</si>
  <si>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</si>
  <si>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</si>
  <si>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</si>
  <si>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</si>
  <si>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</si>
  <si>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</si>
  <si>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</si>
  <si>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</si>
  <si>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</si>
  <si>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</si>
  <si>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</si>
  <si>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</si>
  <si>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</si>
  <si>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</si>
  <si>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</si>
  <si>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</si>
  <si>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</si>
  <si>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</si>
  <si>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</si>
  <si>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</si>
  <si>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</si>
  <si>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</si>
  <si>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</si>
  <si>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</si>
  <si>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</si>
  <si>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</si>
  <si>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</si>
  <si>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</si>
  <si>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</si>
  <si>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</si>
  <si>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</si>
  <si>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</si>
  <si>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</si>
  <si>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</si>
  <si>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</si>
  <si>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</si>
  <si>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</si>
  <si>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</si>
  <si>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</si>
  <si>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</si>
  <si>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</si>
  <si>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</si>
  <si>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</si>
  <si>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</si>
  <si>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</si>
  <si>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</si>
  <si>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</si>
  <si>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</si>
  <si>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</si>
  <si>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</si>
  <si>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</si>
  <si>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</si>
  <si>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</si>
  <si>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</si>
  <si>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</si>
  <si>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</si>
  <si>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</si>
  <si>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</si>
  <si>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</si>
  <si>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</si>
  <si>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</si>
  <si>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</si>
  <si>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</si>
  <si>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</si>
  <si>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</si>
  <si>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</si>
  <si>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</si>
  <si>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</si>
  <si>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</si>
  <si>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</si>
  <si>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</si>
  <si>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</si>
  <si>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</si>
  <si>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</si>
  <si>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</si>
  <si>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</si>
  <si>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</si>
  <si>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</si>
  <si>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</si>
  <si>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</si>
  <si>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</si>
  <si>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</si>
  <si>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</si>
  <si>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</si>
  <si>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</si>
  <si>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</si>
  <si>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</si>
  <si>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</si>
  <si>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</si>
  <si>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</si>
  <si>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</si>
  <si>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</si>
  <si>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</si>
  <si>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</si>
  <si>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</si>
  <si>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</si>
  <si>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</si>
  <si>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</si>
  <si>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</si>
  <si>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</si>
  <si>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</si>
  <si>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</si>
  <si>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</si>
  <si>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</si>
  <si>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</si>
  <si>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</si>
  <si>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</si>
  <si>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</si>
  <si>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</si>
  <si>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</si>
  <si>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</si>
  <si>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</si>
  <si>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</si>
  <si>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</si>
  <si>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</si>
  <si>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</si>
  <si>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</si>
  <si>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</si>
  <si>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</si>
  <si>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</si>
  <si>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</si>
  <si>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</si>
  <si>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</si>
  <si>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</si>
  <si>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</si>
  <si>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</si>
  <si>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</si>
  <si>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</si>
  <si>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</si>
  <si>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</si>
  <si>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</si>
  <si>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</si>
  <si>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</si>
  <si>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</si>
  <si>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</si>
  <si>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</si>
  <si>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</si>
  <si>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</si>
  <si>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</si>
  <si>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</si>
  <si>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</si>
  <si>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</si>
  <si>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</si>
  <si>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</si>
  <si>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</si>
  <si>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</si>
  <si>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</si>
  <si>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</si>
  <si>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</si>
  <si>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</si>
  <si>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</si>
  <si>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</si>
  <si>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</si>
  <si>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</si>
  <si>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</si>
  <si>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</si>
  <si>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</si>
  <si>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</si>
  <si>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</si>
  <si>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</si>
  <si>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</si>
  <si>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</si>
  <si>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</si>
  <si>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</si>
  <si>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</si>
  <si>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</si>
  <si>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</si>
  <si>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</si>
  <si>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</si>
  <si>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</si>
  <si>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</si>
  <si>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</si>
  <si>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</si>
  <si>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</si>
  <si>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</si>
  <si>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</si>
  <si>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</si>
  <si>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</si>
  <si>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</si>
  <si>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</si>
  <si>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</si>
  <si>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</si>
  <si>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</si>
  <si>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</si>
  <si>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</si>
  <si>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</si>
  <si>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</si>
  <si>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</si>
  <si>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</si>
  <si>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</si>
  <si>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</si>
  <si>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</si>
  <si>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</si>
  <si>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</si>
  <si>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</si>
  <si>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</si>
  <si>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</si>
  <si>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</si>
  <si>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</si>
  <si>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</si>
  <si>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</si>
  <si>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</si>
  <si>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</si>
  <si>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</si>
  <si>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</si>
  <si>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</si>
  <si>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</si>
  <si>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</si>
  <si>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</si>
  <si>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</si>
  <si>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</si>
  <si>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</si>
  <si>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</si>
  <si>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</si>
  <si>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</si>
  <si>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</si>
  <si>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</si>
  <si>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</si>
  <si>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</si>
  <si>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</si>
  <si>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</si>
  <si>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</si>
  <si>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</si>
  <si>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</si>
  <si>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</si>
  <si>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</si>
  <si>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</si>
  <si>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</si>
  <si>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</si>
  <si>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</si>
  <si>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</si>
  <si>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</si>
  <si>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</si>
  <si>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</si>
  <si>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</si>
  <si>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</si>
  <si>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</si>
  <si>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</si>
  <si>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</si>
  <si>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</si>
  <si>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</si>
  <si>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</si>
  <si>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</si>
  <si>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</si>
  <si>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</si>
  <si>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</si>
  <si>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</si>
  <si>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</si>
  <si>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</si>
  <si>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</si>
  <si>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</si>
  <si>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</si>
  <si>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</si>
  <si>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</si>
  <si>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</si>
  <si>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</si>
  <si>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</si>
  <si>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</si>
  <si>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</si>
  <si>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</si>
  <si>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</si>
  <si>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</si>
  <si>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</si>
  <si>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</si>
  <si>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</si>
  <si>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</si>
  <si>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</si>
  <si>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</si>
  <si>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</si>
  <si>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</si>
  <si>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</si>
  <si>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</si>
  <si>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</si>
  <si>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</si>
  <si>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</si>
  <si>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</si>
  <si>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</si>
  <si>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</si>
  <si>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</si>
  <si>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</si>
  <si>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</si>
  <si>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</si>
  <si>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</si>
  <si>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</si>
  <si>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</si>
  <si>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</si>
  <si>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</si>
  <si>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</si>
  <si>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</si>
  <si>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</si>
  <si>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</si>
  <si>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</si>
  <si>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</si>
  <si>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</si>
  <si>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</si>
  <si>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</si>
  <si>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</si>
  <si>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</si>
  <si>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</si>
  <si>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</si>
  <si>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</si>
  <si>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</si>
  <si>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</si>
  <si>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</si>
  <si>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</si>
  <si>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</si>
  <si>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</si>
  <si>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</si>
  <si>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</si>
  <si>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</si>
  <si>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</si>
  <si>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</si>
  <si>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</si>
  <si>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</si>
  <si>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</si>
  <si>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</si>
  <si>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</si>
  <si>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</si>
  <si>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</si>
  <si>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</si>
  <si>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</si>
  <si>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</si>
  <si>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</si>
  <si>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</si>
  <si>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</si>
  <si>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</si>
  <si>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</si>
  <si>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</si>
  <si>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</si>
  <si>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</si>
  <si>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</si>
  <si>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</si>
  <si>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</si>
  <si>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</si>
  <si>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</si>
  <si>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</si>
  <si>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</si>
  <si>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</si>
  <si>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</si>
  <si>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</si>
  <si>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</si>
  <si>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</si>
  <si>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</si>
  <si>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</si>
  <si>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</si>
  <si>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</si>
  <si>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</si>
  <si>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</si>
  <si>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</si>
  <si>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</si>
  <si>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</si>
  <si>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</si>
  <si>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</si>
  <si>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</si>
  <si>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</si>
  <si>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</si>
  <si>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</si>
  <si>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</si>
  <si>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</si>
  <si>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</si>
  <si>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</si>
  <si>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</si>
  <si>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</si>
  <si>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</si>
  <si>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</si>
  <si>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</si>
  <si>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</si>
  <si>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</si>
  <si>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</si>
  <si>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</si>
  <si>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</si>
  <si>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</si>
  <si>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</si>
  <si>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</si>
  <si>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</si>
  <si>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</si>
  <si>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</si>
  <si>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</si>
  <si>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</si>
  <si>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</si>
  <si>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</si>
  <si>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</si>
  <si>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</si>
  <si>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</si>
  <si>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</si>
  <si>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</si>
  <si>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</si>
  <si>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</si>
  <si>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</si>
  <si>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</si>
  <si>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</si>
  <si>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</si>
  <si>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</si>
  <si>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</si>
  <si>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</si>
  <si>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</si>
  <si>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</si>
  <si>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</si>
  <si>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</si>
  <si>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</si>
  <si>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</si>
  <si>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</si>
  <si>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</si>
  <si>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</si>
  <si>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</si>
  <si>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</si>
  <si>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</si>
  <si>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</si>
  <si>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</si>
  <si>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</si>
  <si>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</si>
  <si>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</si>
  <si>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</si>
  <si>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</si>
  <si>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</si>
  <si>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</si>
  <si>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</si>
  <si>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</si>
  <si>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</si>
  <si>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</si>
  <si>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</si>
  <si>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</si>
  <si>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</si>
  <si>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</si>
  <si>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</si>
  <si>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</si>
  <si>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</si>
  <si>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</si>
  <si>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</si>
  <si>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</si>
  <si>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</si>
  <si>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</si>
  <si>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</si>
  <si>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</si>
  <si>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</si>
  <si>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</si>
  <si>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</si>
  <si>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</si>
  <si>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</si>
  <si>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</si>
  <si>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</si>
  <si>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</si>
  <si>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</si>
  <si>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</si>
  <si>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</si>
  <si>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</si>
  <si>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</si>
  <si>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</si>
  <si>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</si>
  <si>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</si>
  <si>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</si>
  <si>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</si>
  <si>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</si>
  <si>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</si>
  <si>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</si>
  <si>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</si>
  <si>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</si>
  <si>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</si>
  <si>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</si>
  <si>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</si>
  <si>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</si>
  <si>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</si>
  <si>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</si>
  <si>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</si>
  <si>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</si>
  <si>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</si>
  <si>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</si>
  <si>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</si>
  <si>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</si>
  <si>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</si>
  <si>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</si>
  <si>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</si>
  <si>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</si>
  <si>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</si>
  <si>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</si>
  <si>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</si>
  <si>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</si>
  <si>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</si>
  <si>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</si>
  <si>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</si>
  <si>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</si>
  <si>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</si>
  <si>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</si>
  <si>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</si>
  <si>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</si>
  <si>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</si>
  <si>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</si>
  <si>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</si>
  <si>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</si>
  <si>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</si>
  <si>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</si>
  <si>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</si>
  <si>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</si>
  <si>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</si>
  <si>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</si>
  <si>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</si>
  <si>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</si>
  <si>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</si>
  <si>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</si>
  <si>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</si>
  <si>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</si>
  <si>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</si>
  <si>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</si>
  <si>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</si>
  <si>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</si>
  <si>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</si>
  <si>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</si>
  <si>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</si>
  <si>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</si>
  <si>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</si>
  <si>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</si>
  <si>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</si>
  <si>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</si>
  <si>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</si>
  <si>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</si>
  <si>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</si>
  <si>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</si>
  <si>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</si>
  <si>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</si>
  <si>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</si>
  <si>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</si>
  <si>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</si>
  <si>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</si>
  <si>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</si>
  <si>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</si>
  <si>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</si>
  <si>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</si>
  <si>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</si>
  <si>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</si>
  <si>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</si>
  <si>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</si>
  <si>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</si>
  <si>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</si>
  <si>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</si>
  <si>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</si>
  <si>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</si>
  <si>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</si>
  <si>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</si>
  <si>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</si>
  <si>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</si>
  <si>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</si>
  <si>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</si>
  <si>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</si>
  <si>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</si>
  <si>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</si>
  <si>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</si>
  <si>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</si>
  <si>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</si>
  <si>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</si>
  <si>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</si>
  <si>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</si>
  <si>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</si>
  <si>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</si>
  <si>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</si>
  <si>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</si>
  <si>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</si>
  <si>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</si>
  <si>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</si>
  <si>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</si>
  <si>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</si>
  <si>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</si>
  <si>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</si>
  <si>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</si>
  <si>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</si>
  <si>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</si>
  <si>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</si>
  <si>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</si>
  <si>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</si>
  <si>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</si>
  <si>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</si>
  <si>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</si>
  <si>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</si>
  <si>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</si>
  <si>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</si>
  <si>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</si>
  <si>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</si>
  <si>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</si>
  <si>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</si>
  <si>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</si>
  <si>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</si>
  <si>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</si>
  <si>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</si>
  <si>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</si>
  <si>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</si>
  <si>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</si>
  <si>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</si>
  <si>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</si>
  <si>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</si>
  <si>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</si>
  <si>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</si>
  <si>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</si>
  <si>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</si>
  <si>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</si>
  <si>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</si>
  <si>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</si>
  <si>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</si>
  <si>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</si>
  <si>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</si>
  <si>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</si>
  <si>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</si>
  <si>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</si>
  <si>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</si>
  <si>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</si>
  <si>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</si>
  <si>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</si>
  <si>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</si>
  <si>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</si>
  <si>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</si>
  <si>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</si>
  <si>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</si>
  <si>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</si>
  <si>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</si>
  <si>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</si>
  <si>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</si>
  <si>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</si>
  <si>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</si>
  <si>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</si>
  <si>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</si>
  <si>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</si>
  <si>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</si>
  <si>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</si>
  <si>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</si>
  <si>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</si>
  <si>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</si>
  <si>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</si>
  <si>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</si>
  <si>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</si>
  <si>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</si>
  <si>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</si>
  <si>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</si>
  <si>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</si>
  <si>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</si>
  <si>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</si>
  <si>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</si>
  <si>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</si>
  <si>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</si>
  <si>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</si>
  <si>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</si>
  <si>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</si>
  <si>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</si>
  <si>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</si>
  <si>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</si>
  <si>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</si>
  <si>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</si>
  <si>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</si>
  <si>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</si>
  <si>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</si>
  <si>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</si>
  <si>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</si>
  <si>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</si>
  <si>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</si>
  <si>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</si>
  <si>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</si>
  <si>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</si>
  <si>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</si>
  <si>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</si>
  <si>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</si>
  <si>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</si>
  <si>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</si>
  <si>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</si>
  <si>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</si>
  <si>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</si>
  <si>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</si>
  <si>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</si>
  <si>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</si>
  <si>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</si>
  <si>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</si>
  <si>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</si>
  <si>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</si>
  <si>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</si>
  <si>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</si>
  <si>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</si>
  <si>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</si>
  <si>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</si>
  <si>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</si>
  <si>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</si>
  <si>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</si>
  <si>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</si>
  <si>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</si>
  <si>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</si>
  <si>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</si>
  <si>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</si>
  <si>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</si>
  <si>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</si>
  <si>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</si>
  <si>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</si>
  <si>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</si>
  <si>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</si>
  <si>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</si>
  <si>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</si>
  <si>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出让</t>
  </si>
  <si>
    <t>企业</t>
  </si>
  <si>
    <t>北京市</t>
  </si>
  <si>
    <t>是</t>
  </si>
  <si>
    <t>地上</t>
  </si>
  <si>
    <t>地下</t>
  </si>
  <si>
    <t>办公楼</t>
  </si>
  <si>
    <t>车库</t>
  </si>
  <si>
    <t>底商</t>
  </si>
  <si>
    <t>5</t>
    <phoneticPr fontId="4" type="noConversion"/>
  </si>
  <si>
    <t>-1</t>
    <phoneticPr fontId="4" type="noConversion"/>
  </si>
  <si>
    <t>2</t>
    <phoneticPr fontId="4" type="noConversion"/>
  </si>
  <si>
    <t>-3</t>
    <phoneticPr fontId="4" type="noConversion"/>
  </si>
  <si>
    <t>3-4</t>
    <phoneticPr fontId="4" type="noConversion"/>
  </si>
  <si>
    <t>1</t>
    <phoneticPr fontId="4" type="noConversion"/>
  </si>
  <si>
    <t>8-9</t>
    <phoneticPr fontId="4" type="noConversion"/>
  </si>
  <si>
    <t>6</t>
    <phoneticPr fontId="4" type="noConversion"/>
  </si>
  <si>
    <t>5</t>
    <phoneticPr fontId="4" type="noConversion"/>
  </si>
  <si>
    <t>2</t>
    <phoneticPr fontId="4" type="noConversion"/>
  </si>
  <si>
    <t>1</t>
    <phoneticPr fontId="4" type="noConversion"/>
  </si>
  <si>
    <t>-1</t>
    <phoneticPr fontId="4" type="noConversion"/>
  </si>
  <si>
    <t>-2</t>
    <phoneticPr fontId="4" type="noConversion"/>
  </si>
  <si>
    <t>7</t>
    <phoneticPr fontId="4" type="noConversion"/>
  </si>
  <si>
    <t>成新度</t>
  </si>
  <si>
    <t>利息：取LPR加浮动点数</t>
  </si>
  <si>
    <t>地上办公</t>
    <phoneticPr fontId="8" type="noConversion"/>
  </si>
  <si>
    <r>
      <t>1</t>
    </r>
    <r>
      <rPr>
        <sz val="10"/>
        <color indexed="8"/>
        <rFont val="宋体"/>
        <family val="3"/>
        <charset val="134"/>
      </rPr>
      <t>层商业</t>
    </r>
    <phoneticPr fontId="8" type="noConversion"/>
  </si>
  <si>
    <r>
      <t>2</t>
    </r>
    <r>
      <rPr>
        <sz val="10"/>
        <color indexed="8"/>
        <rFont val="宋体"/>
        <family val="3"/>
        <charset val="134"/>
      </rPr>
      <t>层商业</t>
    </r>
    <phoneticPr fontId="8" type="noConversion"/>
  </si>
  <si>
    <r>
      <t>3-4</t>
    </r>
    <r>
      <rPr>
        <sz val="11"/>
        <color indexed="8"/>
        <rFont val="宋体"/>
        <family val="3"/>
        <charset val="134"/>
      </rPr>
      <t>层商业</t>
    </r>
    <phoneticPr fontId="8" type="noConversion"/>
  </si>
  <si>
    <r>
      <t>5</t>
    </r>
    <r>
      <rPr>
        <sz val="11"/>
        <color indexed="8"/>
        <rFont val="宋体"/>
        <family val="3"/>
        <charset val="134"/>
      </rPr>
      <t>层商业</t>
    </r>
    <phoneticPr fontId="8" type="noConversion"/>
  </si>
  <si>
    <t>地下车库</t>
    <phoneticPr fontId="8" type="noConversion"/>
  </si>
  <si>
    <t>地下办公</t>
    <phoneticPr fontId="8" type="noConversion"/>
  </si>
  <si>
    <t>商务金融用地（办公类）</t>
  </si>
  <si>
    <t>估价对象容积率</t>
  </si>
  <si>
    <t>与级别开发程度一致</t>
  </si>
  <si>
    <t>按公示增长率计算</t>
  </si>
  <si>
    <t>较好</t>
  </si>
  <si>
    <t>好</t>
  </si>
  <si>
    <t>容积率修正</t>
  </si>
  <si>
    <t>批发零售用地</t>
  </si>
  <si>
    <t>东四南大街</t>
  </si>
  <si>
    <t>楼层修正</t>
  </si>
  <si>
    <t>基准地价修正-办公</t>
  </si>
  <si>
    <t>基准地价修正-办公</t>
    <phoneticPr fontId="17" type="noConversion"/>
  </si>
  <si>
    <t>基准地价修正-商业</t>
  </si>
  <si>
    <t>基准地价修正-商业</t>
    <phoneticPr fontId="17" type="noConversion"/>
  </si>
  <si>
    <t>未包含在土地购买价格中</t>
  </si>
  <si>
    <t>部分缴纳</t>
  </si>
  <si>
    <t>已包含在土地取得成本中</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</si>
  <si>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</si>
  <si>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</si>
  <si>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</si>
  <si>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</si>
  <si>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</si>
  <si>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</si>
  <si>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</si>
  <si>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10</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</si>
  <si>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</si>
  <si>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</si>
  <si>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</si>
  <si>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</si>
  <si>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</si>
  <si>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</si>
  <si>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</si>
  <si>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</si>
  <si>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</si>
  <si>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</si>
  <si>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</si>
  <si>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</si>
  <si>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</si>
  <si>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</si>
  <si>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</si>
  <si>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</si>
  <si>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</si>
  <si>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</si>
  <si>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</si>
  <si>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</si>
  <si>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</si>
  <si>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</si>
  <si>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</si>
  <si>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</si>
  <si>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</si>
  <si>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</si>
  <si>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</si>
  <si>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</si>
  <si>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</si>
  <si>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</si>
  <si>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</si>
  <si>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</si>
  <si>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</si>
  <si>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</si>
  <si>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</si>
  <si>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</si>
  <si>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</si>
  <si>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</si>
  <si>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</si>
  <si>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</si>
  <si>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</si>
  <si>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</si>
  <si>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</si>
  <si>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</si>
  <si>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</si>
  <si>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</si>
  <si>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</si>
  <si>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</si>
  <si>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</si>
  <si>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</si>
  <si>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</si>
  <si>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</si>
  <si>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</si>
  <si>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</si>
  <si>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</si>
  <si>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</si>
  <si>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</si>
  <si>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</si>
  <si>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</si>
  <si>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</si>
  <si>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</si>
  <si>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</si>
  <si>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</si>
  <si>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</si>
  <si>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</si>
  <si>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</si>
  <si>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</si>
  <si>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</si>
  <si>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</si>
  <si>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</si>
  <si>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</si>
  <si>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</si>
  <si>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</si>
  <si>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</si>
  <si>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</si>
  <si>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</si>
  <si>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</si>
  <si>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</si>
  <si>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</si>
  <si>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</si>
  <si>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</si>
  <si>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</si>
  <si>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</si>
  <si>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</si>
  <si>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</si>
  <si>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</si>
  <si>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</si>
  <si>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</si>
  <si>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</si>
  <si>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</si>
  <si>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</si>
  <si>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</si>
  <si>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</si>
  <si>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</si>
  <si>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</si>
  <si>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</si>
  <si>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</si>
  <si>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</si>
  <si>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</si>
  <si>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</si>
  <si>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</si>
  <si>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</si>
  <si>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</si>
  <si>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</si>
  <si>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</si>
  <si>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</si>
  <si>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</si>
  <si>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</si>
  <si>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</si>
  <si>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</si>
  <si>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</si>
  <si>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成本法</t>
  </si>
  <si>
    <t>梁津</t>
  </si>
  <si>
    <t>陈颖</t>
  </si>
  <si>
    <t>租金</t>
  </si>
  <si>
    <t>起租时间</t>
    <phoneticPr fontId="141" type="noConversion"/>
  </si>
  <si>
    <t>面积</t>
    <phoneticPr fontId="141" type="noConversion"/>
  </si>
  <si>
    <t>楼层</t>
    <phoneticPr fontId="141" type="noConversion"/>
  </si>
  <si>
    <t>用途</t>
    <phoneticPr fontId="141" type="noConversion"/>
  </si>
  <si>
    <t>租约期</t>
    <phoneticPr fontId="141" type="noConversion"/>
  </si>
  <si>
    <t>增长率</t>
    <phoneticPr fontId="141" type="noConversion"/>
  </si>
  <si>
    <t>免租期</t>
    <phoneticPr fontId="141" type="noConversion"/>
  </si>
  <si>
    <t>备注</t>
    <phoneticPr fontId="141" type="noConversion"/>
  </si>
  <si>
    <t>居然大厦</t>
    <phoneticPr fontId="141" type="noConversion"/>
  </si>
  <si>
    <t>2016.9.22</t>
    <phoneticPr fontId="141" type="noConversion"/>
  </si>
  <si>
    <t>商业</t>
    <phoneticPr fontId="141" type="noConversion"/>
  </si>
  <si>
    <t>2016.9.22-2017.9.22</t>
    <phoneticPr fontId="141" type="noConversion"/>
  </si>
  <si>
    <t>民生银行</t>
    <phoneticPr fontId="141" type="noConversion"/>
  </si>
  <si>
    <t>一年一签</t>
    <phoneticPr fontId="141" type="noConversion"/>
  </si>
  <si>
    <t>办公</t>
    <phoneticPr fontId="141" type="noConversion"/>
  </si>
  <si>
    <t>2016.8.20</t>
    <phoneticPr fontId="141" type="noConversion"/>
  </si>
  <si>
    <t>2016.8.20-2021.5.19</t>
    <phoneticPr fontId="141" type="noConversion"/>
  </si>
  <si>
    <t>家居饰品</t>
    <phoneticPr fontId="141" type="noConversion"/>
  </si>
  <si>
    <t>2017.1.1</t>
    <phoneticPr fontId="141" type="noConversion"/>
  </si>
  <si>
    <t>2017.1.1-2019.12.31</t>
    <phoneticPr fontId="141" type="noConversion"/>
  </si>
  <si>
    <t>2016.7.1</t>
    <phoneticPr fontId="141" type="noConversion"/>
  </si>
  <si>
    <t>2016.7.1-2018.8.21</t>
    <phoneticPr fontId="141" type="noConversion"/>
  </si>
  <si>
    <t>2016.8.1</t>
    <phoneticPr fontId="141" type="noConversion"/>
  </si>
  <si>
    <t>2016.8.1-2020.12.31</t>
    <phoneticPr fontId="141" type="noConversion"/>
  </si>
  <si>
    <t>2015.4.1</t>
    <phoneticPr fontId="141" type="noConversion"/>
  </si>
  <si>
    <t>2015.4.1-2018.3.31</t>
    <phoneticPr fontId="141" type="noConversion"/>
  </si>
  <si>
    <t>便利店</t>
    <phoneticPr fontId="141" type="noConversion"/>
  </si>
  <si>
    <t>丰联大厦</t>
    <phoneticPr fontId="141" type="noConversion"/>
  </si>
  <si>
    <t>2017.5.1</t>
    <phoneticPr fontId="141" type="noConversion"/>
  </si>
  <si>
    <t>2017.5.1-2020.4.30</t>
    <phoneticPr fontId="141" type="noConversion"/>
  </si>
  <si>
    <t>2017.1.1-208.12.31</t>
    <phoneticPr fontId="141" type="noConversion"/>
  </si>
  <si>
    <t>2017.2.1</t>
    <phoneticPr fontId="141" type="noConversion"/>
  </si>
  <si>
    <t>2017.2.1-2023.1.31</t>
    <phoneticPr fontId="141" type="noConversion"/>
  </si>
  <si>
    <t>2017.12.15</t>
    <phoneticPr fontId="141" type="noConversion"/>
  </si>
  <si>
    <t>2017.12.15-2020.12.14</t>
    <phoneticPr fontId="141" type="noConversion"/>
  </si>
  <si>
    <t>2018.9.1</t>
    <phoneticPr fontId="141" type="noConversion"/>
  </si>
  <si>
    <t>2018.9.1-2020.8.31</t>
    <phoneticPr fontId="141" type="noConversion"/>
  </si>
  <si>
    <t>2019.10.16</t>
    <phoneticPr fontId="141" type="noConversion"/>
  </si>
  <si>
    <t>2019.10.16-2022.10.15</t>
    <phoneticPr fontId="141" type="noConversion"/>
  </si>
  <si>
    <t>2016.9.12</t>
    <phoneticPr fontId="141" type="noConversion"/>
  </si>
  <si>
    <t>2016.9.12-2019.9.30</t>
    <phoneticPr fontId="141" type="noConversion"/>
  </si>
  <si>
    <t>2016.10.15</t>
    <phoneticPr fontId="141" type="noConversion"/>
  </si>
  <si>
    <t>2016.10.15-2019.10.14</t>
    <phoneticPr fontId="141" type="noConversion"/>
  </si>
  <si>
    <t>当代MOMA</t>
    <phoneticPr fontId="141" type="noConversion"/>
  </si>
  <si>
    <t>2018.5.6</t>
    <phoneticPr fontId="141" type="noConversion"/>
  </si>
  <si>
    <t>2018.5.6-2021.5.5</t>
    <phoneticPr fontId="141" type="noConversion"/>
  </si>
  <si>
    <t>2018.2.18</t>
    <phoneticPr fontId="141" type="noConversion"/>
  </si>
  <si>
    <t>2018.2.18-2020.2.17</t>
    <phoneticPr fontId="141" type="noConversion"/>
  </si>
  <si>
    <t>2017.11.1</t>
    <phoneticPr fontId="141" type="noConversion"/>
  </si>
  <si>
    <t>2017.11.1-2018.10.31</t>
    <phoneticPr fontId="141" type="noConversion"/>
  </si>
  <si>
    <t>2018.1.15</t>
    <phoneticPr fontId="141" type="noConversion"/>
  </si>
  <si>
    <t>2018.1.15-2020.1.14</t>
    <phoneticPr fontId="141" type="noConversion"/>
  </si>
  <si>
    <t>2017.9.8</t>
    <phoneticPr fontId="141" type="noConversion"/>
  </si>
  <si>
    <t>2017.9.8-2020.9.7</t>
    <phoneticPr fontId="141" type="noConversion"/>
  </si>
  <si>
    <t>1层</t>
    <phoneticPr fontId="141" type="noConversion"/>
  </si>
  <si>
    <t>2020.6-2022.6</t>
    <phoneticPr fontId="141" type="noConversion"/>
  </si>
  <si>
    <t>4层</t>
    <phoneticPr fontId="141" type="noConversion"/>
  </si>
  <si>
    <t>2019.1-2021.12</t>
    <phoneticPr fontId="141" type="noConversion"/>
  </si>
  <si>
    <t>5层</t>
    <phoneticPr fontId="141" type="noConversion"/>
  </si>
  <si>
    <t>2019.8-2022.7</t>
    <phoneticPr fontId="141" type="noConversion"/>
  </si>
  <si>
    <t>国瑞城</t>
    <phoneticPr fontId="141" type="noConversion"/>
  </si>
  <si>
    <t>2016.4.1</t>
    <phoneticPr fontId="141" type="noConversion"/>
  </si>
  <si>
    <t>2016.4.1-2021.3.31</t>
    <phoneticPr fontId="141" type="noConversion"/>
  </si>
  <si>
    <t>2017.5.31</t>
    <phoneticPr fontId="141" type="noConversion"/>
  </si>
  <si>
    <t>2017.5.31-2020.5.30</t>
    <phoneticPr fontId="141" type="noConversion"/>
  </si>
  <si>
    <t>2017.8.1</t>
    <phoneticPr fontId="141" type="noConversion"/>
  </si>
  <si>
    <t>2017.8.1-2020.7.31</t>
    <phoneticPr fontId="141" type="noConversion"/>
  </si>
  <si>
    <t>2017.7.21</t>
    <phoneticPr fontId="141" type="noConversion"/>
  </si>
  <si>
    <t>2017.7.21-2020.7.20</t>
    <phoneticPr fontId="141" type="noConversion"/>
  </si>
  <si>
    <t>2017.11.1-2022.10.31</t>
    <phoneticPr fontId="141" type="noConversion"/>
  </si>
  <si>
    <t>2017.11.1-2020.10.31</t>
    <phoneticPr fontId="141" type="noConversion"/>
  </si>
  <si>
    <t>2016.8.3</t>
    <phoneticPr fontId="141" type="noConversion"/>
  </si>
  <si>
    <t>2016.8.3-2021.8.2</t>
    <phoneticPr fontId="141" type="noConversion"/>
  </si>
  <si>
    <t>2016.1.1</t>
    <phoneticPr fontId="141" type="noConversion"/>
  </si>
  <si>
    <t>2016.1.1-2016.12.31</t>
    <phoneticPr fontId="141" type="noConversion"/>
  </si>
  <si>
    <t>前门大街</t>
    <phoneticPr fontId="141" type="noConversion"/>
  </si>
  <si>
    <t>2016.1.1-2016.3.31（装修期）</t>
    <phoneticPr fontId="141" type="noConversion"/>
  </si>
  <si>
    <t>药店</t>
    <phoneticPr fontId="141" type="noConversion"/>
  </si>
  <si>
    <t>信德京汇</t>
    <phoneticPr fontId="141" type="noConversion"/>
  </si>
  <si>
    <t>2016.4.5</t>
    <phoneticPr fontId="141" type="noConversion"/>
  </si>
  <si>
    <t>2016.4.5-2021.4.4</t>
    <phoneticPr fontId="141" type="noConversion"/>
  </si>
  <si>
    <t>2016.8.11</t>
    <phoneticPr fontId="141" type="noConversion"/>
  </si>
  <si>
    <t>地下</t>
    <phoneticPr fontId="141" type="noConversion"/>
  </si>
  <si>
    <t>车库</t>
    <phoneticPr fontId="141" type="noConversion"/>
  </si>
  <si>
    <t>北极阁大厦</t>
    <phoneticPr fontId="141" type="noConversion"/>
  </si>
  <si>
    <t>2007.10.1</t>
    <phoneticPr fontId="141" type="noConversion"/>
  </si>
  <si>
    <t>-1~5</t>
    <phoneticPr fontId="141" type="noConversion"/>
  </si>
  <si>
    <t>2007-2027</t>
    <phoneticPr fontId="141" type="noConversion"/>
  </si>
  <si>
    <t>每三年增长5%</t>
    <phoneticPr fontId="141" type="noConversion"/>
  </si>
  <si>
    <t>180天（装修）</t>
    <phoneticPr fontId="141" type="noConversion"/>
  </si>
  <si>
    <t>力山森堡</t>
    <phoneticPr fontId="141" type="noConversion"/>
  </si>
  <si>
    <t>2015.7.10</t>
    <phoneticPr fontId="141" type="noConversion"/>
  </si>
  <si>
    <t>-1~2</t>
    <phoneticPr fontId="141" type="noConversion"/>
  </si>
  <si>
    <t>2015.7.10-2025.7.9</t>
    <phoneticPr fontId="141" type="noConversion"/>
  </si>
  <si>
    <t>第三年起，每年增长3%</t>
    <phoneticPr fontId="141" type="noConversion"/>
  </si>
  <si>
    <t>2015.7.10-2015.10.9</t>
    <phoneticPr fontId="141" type="noConversion"/>
  </si>
  <si>
    <t>餐厅</t>
    <phoneticPr fontId="141" type="noConversion"/>
  </si>
  <si>
    <t>银河SOHO</t>
    <phoneticPr fontId="141" type="noConversion"/>
  </si>
  <si>
    <t>2016.4.28</t>
    <phoneticPr fontId="141" type="noConversion"/>
  </si>
  <si>
    <t>-1</t>
    <phoneticPr fontId="141" type="noConversion"/>
  </si>
  <si>
    <t>2016.6.1</t>
    <phoneticPr fontId="141" type="noConversion"/>
  </si>
  <si>
    <t>1</t>
    <phoneticPr fontId="141" type="noConversion"/>
  </si>
  <si>
    <t>2016.12.31</t>
    <phoneticPr fontId="141" type="noConversion"/>
  </si>
  <si>
    <t>位置</t>
  </si>
  <si>
    <t>2017.3.16</t>
    <phoneticPr fontId="141" type="noConversion"/>
  </si>
  <si>
    <t>2017.9.1</t>
    <phoneticPr fontId="141" type="noConversion"/>
  </si>
  <si>
    <t>2018.10.01</t>
    <phoneticPr fontId="141" type="noConversion"/>
  </si>
  <si>
    <t>2019.08.20</t>
    <phoneticPr fontId="141" type="noConversion"/>
  </si>
  <si>
    <t>世邦魏理仕有限公司</t>
  </si>
  <si>
    <t>2020.08.01</t>
    <phoneticPr fontId="141" type="noConversion"/>
  </si>
  <si>
    <t>2</t>
    <phoneticPr fontId="141" type="noConversion"/>
  </si>
  <si>
    <t>2019.05.04</t>
    <phoneticPr fontId="141" type="noConversion"/>
  </si>
  <si>
    <t>2019.05.15</t>
    <phoneticPr fontId="141" type="noConversion"/>
  </si>
  <si>
    <t>12</t>
    <phoneticPr fontId="141" type="noConversion"/>
  </si>
  <si>
    <t>2019.07.01</t>
    <phoneticPr fontId="141" type="noConversion"/>
  </si>
  <si>
    <t>7</t>
    <phoneticPr fontId="141" type="noConversion"/>
  </si>
  <si>
    <t>2019.11.15</t>
    <phoneticPr fontId="141" type="noConversion"/>
  </si>
  <si>
    <t>民生金融中心</t>
  </si>
  <si>
    <r>
      <t>建国门内大街</t>
    </r>
    <r>
      <rPr>
        <sz val="9"/>
        <color rgb="FF000000"/>
        <rFont val="Arial"/>
        <family val="2"/>
      </rPr>
      <t>28</t>
    </r>
    <r>
      <rPr>
        <sz val="9"/>
        <color rgb="FF000000"/>
        <rFont val="华文细黑"/>
        <family val="3"/>
        <charset val="134"/>
      </rPr>
      <t>号</t>
    </r>
  </si>
  <si>
    <t>2020.09.15</t>
    <phoneticPr fontId="141" type="noConversion"/>
  </si>
  <si>
    <t>东方广场</t>
  </si>
  <si>
    <r>
      <t>东长安街</t>
    </r>
    <r>
      <rPr>
        <sz val="9"/>
        <color rgb="FF000000"/>
        <rFont val="Arial"/>
        <family val="2"/>
      </rPr>
      <t>1</t>
    </r>
    <r>
      <rPr>
        <sz val="9"/>
        <color rgb="FF000000"/>
        <rFont val="华文细黑"/>
        <family val="3"/>
        <charset val="134"/>
      </rPr>
      <t>号</t>
    </r>
  </si>
  <si>
    <t>北京高纬世纪物业管理有限公司</t>
  </si>
  <si>
    <t>花市枣苑</t>
    <phoneticPr fontId="141" type="noConversion"/>
  </si>
  <si>
    <t>同一物业续租</t>
    <phoneticPr fontId="141" type="noConversion"/>
  </si>
  <si>
    <t>中国农业银行总行大厦</t>
  </si>
  <si>
    <r>
      <t>建国门内大街</t>
    </r>
    <r>
      <rPr>
        <sz val="9"/>
        <color rgb="FF000000"/>
        <rFont val="Arial"/>
        <family val="2"/>
      </rPr>
      <t>69</t>
    </r>
    <r>
      <rPr>
        <sz val="9"/>
        <color rgb="FF000000"/>
        <rFont val="华文细黑"/>
        <family val="3"/>
        <charset val="134"/>
      </rPr>
      <t>号</t>
    </r>
  </si>
  <si>
    <t>中国农业银行</t>
  </si>
  <si>
    <t>华夏银行大厦</t>
  </si>
  <si>
    <r>
      <t>建国门内大街</t>
    </r>
    <r>
      <rPr>
        <sz val="9"/>
        <color rgb="FF000000"/>
        <rFont val="Arial"/>
        <family val="2"/>
      </rPr>
      <t>22</t>
    </r>
    <r>
      <rPr>
        <sz val="9"/>
        <color rgb="FF000000"/>
        <rFont val="华文细黑"/>
        <family val="3"/>
        <charset val="134"/>
      </rPr>
      <t>号</t>
    </r>
  </si>
  <si>
    <t>华夏银行</t>
  </si>
  <si>
    <t>2018.1.1</t>
    <phoneticPr fontId="141" type="noConversion"/>
  </si>
  <si>
    <t>2019.1.1</t>
    <phoneticPr fontId="141" type="noConversion"/>
  </si>
  <si>
    <t>2019.7.1</t>
    <phoneticPr fontId="141" type="noConversion"/>
  </si>
  <si>
    <t>2020.1.1</t>
    <phoneticPr fontId="141" type="noConversion"/>
  </si>
  <si>
    <t>2021.1.1</t>
    <phoneticPr fontId="141" type="noConversion"/>
  </si>
  <si>
    <t>2007.9.15</t>
    <phoneticPr fontId="141" type="noConversion"/>
  </si>
  <si>
    <t>2007.9.15-2026.9.14</t>
    <phoneticPr fontId="141" type="noConversion"/>
  </si>
  <si>
    <t>60天</t>
    <phoneticPr fontId="141" type="noConversion"/>
  </si>
  <si>
    <t>2014.1.1</t>
    <phoneticPr fontId="141" type="noConversion"/>
  </si>
  <si>
    <t>2018.10.1</t>
    <phoneticPr fontId="141" type="noConversion"/>
  </si>
  <si>
    <t>2018.10.1-2021.9.30</t>
    <phoneticPr fontId="141" type="noConversion"/>
  </si>
  <si>
    <t>+</t>
    <phoneticPr fontId="141" type="noConversion"/>
  </si>
  <si>
    <t>2019.12.16</t>
    <phoneticPr fontId="141" type="noConversion"/>
  </si>
  <si>
    <t>2019.12.16-2022.12.15</t>
    <phoneticPr fontId="141" type="noConversion"/>
  </si>
  <si>
    <t>75天</t>
    <phoneticPr fontId="141" type="noConversion"/>
  </si>
  <si>
    <t>2018.3.1</t>
    <phoneticPr fontId="141" type="noConversion"/>
  </si>
  <si>
    <t>2018.3.1-2021.2.28</t>
    <phoneticPr fontId="141" type="noConversion"/>
  </si>
  <si>
    <t>30天</t>
    <phoneticPr fontId="141" type="noConversion"/>
  </si>
  <si>
    <t>2016.6.13</t>
    <phoneticPr fontId="141" type="noConversion"/>
  </si>
  <si>
    <t>2016.6.13-2019.6.30</t>
    <phoneticPr fontId="141" type="noConversion"/>
  </si>
  <si>
    <t>18天</t>
    <phoneticPr fontId="141" type="noConversion"/>
  </si>
  <si>
    <t>2018.8.5</t>
    <phoneticPr fontId="141" type="noConversion"/>
  </si>
  <si>
    <t>2018.8.5-2021.8.4</t>
    <phoneticPr fontId="141" type="noConversion"/>
  </si>
  <si>
    <t>2015.4.27</t>
    <phoneticPr fontId="141" type="noConversion"/>
  </si>
  <si>
    <t>8-12</t>
    <phoneticPr fontId="141" type="noConversion"/>
  </si>
  <si>
    <t>2015.4.27-2020.4.26</t>
    <phoneticPr fontId="141" type="noConversion"/>
  </si>
  <si>
    <t>每年一个月</t>
    <phoneticPr fontId="141" type="noConversion"/>
  </si>
  <si>
    <t>2016.3.1</t>
    <phoneticPr fontId="141" type="noConversion"/>
  </si>
  <si>
    <t>B7</t>
    <phoneticPr fontId="141" type="noConversion"/>
  </si>
  <si>
    <t>2016.3.1-2019.2.28</t>
    <phoneticPr fontId="141" type="noConversion"/>
  </si>
  <si>
    <t>B6</t>
    <phoneticPr fontId="141" type="noConversion"/>
  </si>
  <si>
    <t>2016.9.1-2019.5.31</t>
    <phoneticPr fontId="141" type="noConversion"/>
  </si>
  <si>
    <t>2017.4.20</t>
    <phoneticPr fontId="141" type="noConversion"/>
  </si>
  <si>
    <t>C3</t>
    <phoneticPr fontId="141" type="noConversion"/>
  </si>
  <si>
    <t>2017.4.20-2020.4.19</t>
    <phoneticPr fontId="141" type="noConversion"/>
  </si>
  <si>
    <t>2个月</t>
    <phoneticPr fontId="141" type="noConversion"/>
  </si>
  <si>
    <t>2017.5.16</t>
    <phoneticPr fontId="141" type="noConversion"/>
  </si>
  <si>
    <t>C7</t>
    <phoneticPr fontId="141" type="noConversion"/>
  </si>
  <si>
    <t>2017.5.16-2020.5.15</t>
    <phoneticPr fontId="141" type="noConversion"/>
  </si>
  <si>
    <t>2016.10.1</t>
    <phoneticPr fontId="141" type="noConversion"/>
  </si>
  <si>
    <t>C5</t>
    <phoneticPr fontId="141" type="noConversion"/>
  </si>
  <si>
    <t>2016.10.1-2019.9.30</t>
    <phoneticPr fontId="141" type="noConversion"/>
  </si>
  <si>
    <t>2019.2.16</t>
    <phoneticPr fontId="141" type="noConversion"/>
  </si>
  <si>
    <t>2019.2.16-2027.2.15</t>
    <phoneticPr fontId="141" type="noConversion"/>
  </si>
  <si>
    <t>四年增长6%</t>
    <phoneticPr fontId="141" type="noConversion"/>
  </si>
  <si>
    <t>4个月</t>
    <phoneticPr fontId="141" type="noConversion"/>
  </si>
  <si>
    <t>2017.9.16</t>
    <phoneticPr fontId="141" type="noConversion"/>
  </si>
  <si>
    <t>2017.9.16-2023.9.15</t>
    <phoneticPr fontId="141" type="noConversion"/>
  </si>
  <si>
    <t>兴业银行</t>
    <phoneticPr fontId="141" type="noConversion"/>
  </si>
  <si>
    <t>2018.4.2</t>
    <phoneticPr fontId="141" type="noConversion"/>
  </si>
  <si>
    <t>2018.4.2-2028.4.1</t>
    <phoneticPr fontId="141" type="noConversion"/>
  </si>
  <si>
    <t>5年增长10%</t>
    <phoneticPr fontId="141" type="noConversion"/>
  </si>
  <si>
    <t>中国银行</t>
    <phoneticPr fontId="141" type="noConversion"/>
  </si>
  <si>
    <t>民生金融大厦</t>
    <phoneticPr fontId="141" type="noConversion"/>
  </si>
  <si>
    <t>2012.8.1</t>
    <phoneticPr fontId="141" type="noConversion"/>
  </si>
  <si>
    <t>2012.8.1-2015.7.31</t>
    <phoneticPr fontId="141" type="noConversion"/>
  </si>
  <si>
    <t>2014.1.11</t>
    <phoneticPr fontId="141" type="noConversion"/>
  </si>
  <si>
    <t>办公</t>
    <phoneticPr fontId="141" type="noConversion"/>
  </si>
  <si>
    <t>2014.1.11-2017.1.10</t>
    <phoneticPr fontId="141" type="noConversion"/>
  </si>
  <si>
    <t>2014.8.1</t>
    <phoneticPr fontId="141" type="noConversion"/>
  </si>
  <si>
    <t>1、2</t>
    <phoneticPr fontId="141" type="noConversion"/>
  </si>
  <si>
    <t>2014.8.1-2022.7.31</t>
    <phoneticPr fontId="141" type="noConversion"/>
  </si>
  <si>
    <t>国有银行</t>
    <phoneticPr fontId="141" type="noConversion"/>
  </si>
  <si>
    <t>2015.1.1</t>
    <phoneticPr fontId="141" type="noConversion"/>
  </si>
  <si>
    <t>15</t>
    <phoneticPr fontId="141" type="noConversion"/>
  </si>
  <si>
    <t>2015.1.1-2017.7.31</t>
    <phoneticPr fontId="141" type="noConversion"/>
  </si>
  <si>
    <t>2017.3.1</t>
    <phoneticPr fontId="141" type="noConversion"/>
  </si>
  <si>
    <t>2017.3.1-2027.2.28</t>
    <phoneticPr fontId="141" type="noConversion"/>
  </si>
  <si>
    <t>2017.5.12</t>
    <phoneticPr fontId="141" type="noConversion"/>
  </si>
  <si>
    <t>2017.5.12-2027.5.11</t>
    <phoneticPr fontId="141" type="noConversion"/>
  </si>
  <si>
    <t>2017.8.1</t>
    <phoneticPr fontId="141" type="noConversion"/>
  </si>
  <si>
    <t>2017.8.1-2020.7.31</t>
    <phoneticPr fontId="141" type="noConversion"/>
  </si>
  <si>
    <t>2019.9.1</t>
    <phoneticPr fontId="141" type="noConversion"/>
  </si>
  <si>
    <t>2019.9.1-2022.8.31</t>
    <phoneticPr fontId="141" type="noConversion"/>
  </si>
  <si>
    <t>民生典当</t>
    <phoneticPr fontId="141" type="noConversion"/>
  </si>
  <si>
    <t>东方广场</t>
    <phoneticPr fontId="141" type="noConversion"/>
  </si>
  <si>
    <t>商业</t>
    <phoneticPr fontId="141" type="noConversion"/>
  </si>
  <si>
    <t>广告位73.9万</t>
    <phoneticPr fontId="141" type="noConversion"/>
  </si>
  <si>
    <t>冠名权24.58万/月</t>
    <phoneticPr fontId="141" type="noConversion"/>
  </si>
  <si>
    <t>车库</t>
    <phoneticPr fontId="141" type="noConversion"/>
  </si>
  <si>
    <t>广告位87.5万</t>
    <phoneticPr fontId="141" type="noConversion"/>
  </si>
  <si>
    <t>冠名权23.7万/月</t>
    <phoneticPr fontId="141" type="noConversion"/>
  </si>
  <si>
    <t>广告位104.75万/月</t>
    <phoneticPr fontId="141" type="noConversion"/>
  </si>
  <si>
    <t>冠名权26万/月</t>
    <phoneticPr fontId="141" type="noConversion"/>
  </si>
  <si>
    <t>广告位41万/月</t>
    <phoneticPr fontId="141" type="noConversion"/>
  </si>
  <si>
    <t>冠名权27万/月</t>
    <phoneticPr fontId="141" type="noConversion"/>
  </si>
  <si>
    <t>万豪中心</t>
    <phoneticPr fontId="141" type="noConversion"/>
  </si>
  <si>
    <t>2016.3.1</t>
    <phoneticPr fontId="141" type="noConversion"/>
  </si>
  <si>
    <t>18</t>
    <phoneticPr fontId="141" type="noConversion"/>
  </si>
  <si>
    <t>2016.3.1-2019.2.28</t>
    <phoneticPr fontId="141" type="noConversion"/>
  </si>
  <si>
    <t>2016.2.5</t>
    <phoneticPr fontId="141" type="noConversion"/>
  </si>
  <si>
    <t>3</t>
    <phoneticPr fontId="141" type="noConversion"/>
  </si>
  <si>
    <t>2016.2.5-2018.2.5</t>
    <phoneticPr fontId="141" type="noConversion"/>
  </si>
  <si>
    <t>2016.4.1</t>
    <phoneticPr fontId="141" type="noConversion"/>
  </si>
  <si>
    <t>5</t>
    <phoneticPr fontId="141" type="noConversion"/>
  </si>
  <si>
    <t>2016.4.1-2019.3.31</t>
    <phoneticPr fontId="141" type="noConversion"/>
  </si>
  <si>
    <t>2016.3.9</t>
    <phoneticPr fontId="141" type="noConversion"/>
  </si>
  <si>
    <t>1</t>
    <phoneticPr fontId="141" type="noConversion"/>
  </si>
  <si>
    <t>2016.3.9-2019.3.8</t>
    <phoneticPr fontId="141" type="noConversion"/>
  </si>
  <si>
    <t>2016.3.1-2021.2.28</t>
    <phoneticPr fontId="141" type="noConversion"/>
  </si>
  <si>
    <t>正常</t>
  </si>
  <si>
    <r>
      <t>2</t>
    </r>
    <r>
      <rPr>
        <sz val="11"/>
        <color theme="1"/>
        <rFont val="宋体"/>
        <family val="3"/>
        <charset val="134"/>
        <scheme val="minor"/>
      </rPr>
      <t>017.6.28办公</t>
    </r>
    <phoneticPr fontId="141" type="noConversion"/>
  </si>
  <si>
    <r>
      <t>2</t>
    </r>
    <r>
      <rPr>
        <sz val="11"/>
        <color theme="1"/>
        <rFont val="宋体"/>
        <family val="3"/>
        <charset val="134"/>
        <scheme val="minor"/>
      </rPr>
      <t>017.6.28商业</t>
    </r>
    <phoneticPr fontId="141" type="noConversion"/>
  </si>
  <si>
    <t>利生大厦</t>
    <phoneticPr fontId="141" type="noConversion"/>
  </si>
  <si>
    <t>2016.9.4</t>
    <phoneticPr fontId="141" type="noConversion"/>
  </si>
  <si>
    <t>6</t>
    <phoneticPr fontId="141" type="noConversion"/>
  </si>
  <si>
    <t>2016.9.4-2017.9.3</t>
    <phoneticPr fontId="141" type="noConversion"/>
  </si>
  <si>
    <t>2016.9.14</t>
    <phoneticPr fontId="141" type="noConversion"/>
  </si>
  <si>
    <t>2016.9.14-2018.9.13</t>
    <phoneticPr fontId="141" type="noConversion"/>
  </si>
  <si>
    <t>2016.9.26</t>
    <phoneticPr fontId="141" type="noConversion"/>
  </si>
  <si>
    <t>8</t>
    <phoneticPr fontId="141" type="noConversion"/>
  </si>
  <si>
    <t>2016.9.26-2019.9.25</t>
    <phoneticPr fontId="141" type="noConversion"/>
  </si>
  <si>
    <t>办公</t>
    <phoneticPr fontId="33" type="noConversion"/>
  </si>
  <si>
    <t>一般</t>
  </si>
  <si>
    <t>七通</t>
  </si>
  <si>
    <t>城市主干道</t>
  </si>
  <si>
    <t>城市主干道</t>
    <phoneticPr fontId="33" type="noConversion"/>
  </si>
  <si>
    <t>城市次干道</t>
    <phoneticPr fontId="33" type="noConversion"/>
  </si>
  <si>
    <t>朝阳门内大街</t>
    <phoneticPr fontId="33" type="noConversion"/>
  </si>
  <si>
    <t>城市快速路</t>
  </si>
  <si>
    <t>城市快速路</t>
    <phoneticPr fontId="33" type="noConversion"/>
  </si>
  <si>
    <t>朝阳门内大街298号</t>
    <phoneticPr fontId="4" type="noConversion"/>
  </si>
  <si>
    <t>精装修</t>
    <phoneticPr fontId="33" type="noConversion"/>
  </si>
  <si>
    <t>普通装修</t>
    <phoneticPr fontId="33" type="noConversion"/>
  </si>
  <si>
    <t>毛坯</t>
    <phoneticPr fontId="33" type="noConversion"/>
  </si>
  <si>
    <t>甲级</t>
    <phoneticPr fontId="33" type="noConversion"/>
  </si>
  <si>
    <t>乙级</t>
    <phoneticPr fontId="33" type="noConversion"/>
  </si>
  <si>
    <t>专业物业管理</t>
    <phoneticPr fontId="33" type="noConversion"/>
  </si>
  <si>
    <t>普通物业管理</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</si>
  <si>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</si>
  <si>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</si>
  <si>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</si>
  <si>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</si>
  <si>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</si>
  <si>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钢混</t>
    <phoneticPr fontId="33" type="noConversion"/>
  </si>
  <si>
    <t>新风系统、中央空调</t>
    <phoneticPr fontId="33" type="noConversion"/>
  </si>
  <si>
    <t>中央空调</t>
    <phoneticPr fontId="33" type="noConversion"/>
  </si>
  <si>
    <t>按建安费用的0%-10%计取</t>
    <phoneticPr fontId="141" type="noConversion"/>
  </si>
  <si>
    <t>钢混</t>
  </si>
  <si>
    <t>精装修</t>
  </si>
  <si>
    <t>甲级</t>
  </si>
  <si>
    <t>专业物业管理</t>
  </si>
  <si>
    <t>毛坯</t>
  </si>
  <si>
    <t>楼面单价</t>
  </si>
  <si>
    <t>成本比率</t>
  </si>
  <si>
    <t>2016.1.1-2021.3.31</t>
    <phoneticPr fontId="141" type="noConversion"/>
  </si>
  <si>
    <t>每两年增长10%</t>
    <phoneticPr fontId="141" type="noConversion"/>
  </si>
  <si>
    <t>2016.1.1-2016.3.31</t>
    <phoneticPr fontId="141" type="noConversion"/>
  </si>
  <si>
    <t>2015.1.1-2020.3.31</t>
    <phoneticPr fontId="141" type="noConversion"/>
  </si>
  <si>
    <t>2015.1.1-2015.3.31</t>
    <phoneticPr fontId="141" type="noConversion"/>
  </si>
  <si>
    <t>2017.3.1-2025.2.28</t>
    <phoneticPr fontId="141" type="noConversion"/>
  </si>
  <si>
    <t>1、2、-1</t>
    <phoneticPr fontId="141" type="noConversion"/>
  </si>
  <si>
    <t>2016.4.1-2021.8.31</t>
    <phoneticPr fontId="141" type="noConversion"/>
  </si>
  <si>
    <t>2016.4.1-2016.9.1</t>
    <phoneticPr fontId="141" type="noConversion"/>
  </si>
  <si>
    <t>2014.3.1</t>
    <phoneticPr fontId="141" type="noConversion"/>
  </si>
  <si>
    <t>1、2、3</t>
    <phoneticPr fontId="141" type="noConversion"/>
  </si>
  <si>
    <t>2014.3.1-2022.2.28</t>
    <phoneticPr fontId="141" type="noConversion"/>
  </si>
  <si>
    <t>第三年起，每年增长5%</t>
    <phoneticPr fontId="141" type="noConversion"/>
  </si>
  <si>
    <t>2014.3.1-2014.5.31、2015.3.1-2015.3.31</t>
    <phoneticPr fontId="141" type="noConversion"/>
  </si>
  <si>
    <t>2015.1.1-2022.12.31</t>
    <phoneticPr fontId="141" type="noConversion"/>
  </si>
  <si>
    <t>2015.1.1-2015.4.30</t>
    <phoneticPr fontId="141" type="noConversion"/>
  </si>
  <si>
    <t>2018.10.1-2023.9.30</t>
    <phoneticPr fontId="141" type="noConversion"/>
  </si>
  <si>
    <t>2018.8.18</t>
    <phoneticPr fontId="141" type="noConversion"/>
  </si>
  <si>
    <t>2018.8.18-2023.8.17</t>
    <phoneticPr fontId="141" type="noConversion"/>
  </si>
  <si>
    <t>2018.8.18-2018.10.17</t>
    <phoneticPr fontId="141" type="noConversion"/>
  </si>
  <si>
    <t>2016.4.1-2016.8.31</t>
    <phoneticPr fontId="141" type="noConversion"/>
  </si>
  <si>
    <t>2016.9.1</t>
    <phoneticPr fontId="141" type="noConversion"/>
  </si>
  <si>
    <t>2016.9.1-2021.8.31</t>
    <phoneticPr fontId="141" type="noConversion"/>
  </si>
  <si>
    <t>2017.7.20</t>
    <phoneticPr fontId="141" type="noConversion"/>
  </si>
  <si>
    <t>2017.7.20-2022.7.19</t>
    <phoneticPr fontId="141" type="noConversion"/>
  </si>
  <si>
    <t>2018.4.1</t>
    <phoneticPr fontId="141" type="noConversion"/>
  </si>
  <si>
    <t>2018.4.1-2020.3.31</t>
    <phoneticPr fontId="141" type="noConversion"/>
  </si>
  <si>
    <t>2016.9.1-2020.8.31</t>
    <phoneticPr fontId="141" type="noConversion"/>
  </si>
  <si>
    <t>2015.2.1</t>
    <phoneticPr fontId="141" type="noConversion"/>
  </si>
  <si>
    <t>2015.2.1-2020.5.31</t>
    <phoneticPr fontId="141" type="noConversion"/>
  </si>
  <si>
    <t>2015.2.1-2015.6.1</t>
    <phoneticPr fontId="141" type="noConversion"/>
  </si>
  <si>
    <t>德信京汇</t>
    <phoneticPr fontId="141" type="noConversion"/>
  </si>
  <si>
    <t>2016.8.11-2019.4.24</t>
    <phoneticPr fontId="141" type="noConversion"/>
  </si>
  <si>
    <t>无增长</t>
    <phoneticPr fontId="141" type="noConversion"/>
  </si>
  <si>
    <t>2016.10.8</t>
    <phoneticPr fontId="141" type="noConversion"/>
  </si>
  <si>
    <t>2016.10.8-2019.4.30</t>
    <phoneticPr fontId="141" type="noConversion"/>
  </si>
  <si>
    <t>2017.1.16</t>
    <phoneticPr fontId="141" type="noConversion"/>
  </si>
  <si>
    <t>2017.1.16-2019.1.15</t>
    <phoneticPr fontId="141" type="noConversion"/>
  </si>
  <si>
    <t>2017.5.1-2019.4.30</t>
    <phoneticPr fontId="141" type="noConversion"/>
  </si>
  <si>
    <t>2017.12.13</t>
    <phoneticPr fontId="141" type="noConversion"/>
  </si>
  <si>
    <t>2017.12.13-2019.12.12</t>
    <phoneticPr fontId="141" type="noConversion"/>
  </si>
  <si>
    <t>2018.2.13</t>
    <phoneticPr fontId="141" type="noConversion"/>
  </si>
  <si>
    <t>2018.2.13-2019.2.12</t>
    <phoneticPr fontId="141" type="noConversion"/>
  </si>
  <si>
    <t>2018.10.18</t>
    <phoneticPr fontId="141" type="noConversion"/>
  </si>
  <si>
    <t>2018.10.18-2019.10.17</t>
    <phoneticPr fontId="141" type="noConversion"/>
  </si>
  <si>
    <t>2016.7.22</t>
    <phoneticPr fontId="141" type="noConversion"/>
  </si>
  <si>
    <t>2016.7.22-2021.7.21</t>
    <phoneticPr fontId="141" type="noConversion"/>
  </si>
  <si>
    <t>每年增长5%</t>
    <phoneticPr fontId="141" type="noConversion"/>
  </si>
  <si>
    <t>2017.6.29</t>
    <phoneticPr fontId="141" type="noConversion"/>
  </si>
  <si>
    <t>2017.6.29-2022.6.28</t>
    <phoneticPr fontId="141" type="noConversion"/>
  </si>
  <si>
    <t>散租</t>
    <phoneticPr fontId="33" type="noConversion"/>
  </si>
  <si>
    <t>普通物业管理</t>
  </si>
  <si>
    <t>商业</t>
    <phoneticPr fontId="32" type="noConversion"/>
  </si>
  <si>
    <t>钢混</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</si>
  <si>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</si>
  <si>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</si>
  <si>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</si>
  <si>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</si>
  <si>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</si>
  <si>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办公楼底商</t>
  </si>
  <si>
    <t>办公楼底商</t>
    <phoneticPr fontId="32" type="noConversion"/>
  </si>
  <si>
    <t>较大</t>
  </si>
  <si>
    <t>较大</t>
    <phoneticPr fontId="32" type="noConversion"/>
  </si>
  <si>
    <t>城市</t>
  </si>
  <si>
    <t>序号</t>
  </si>
  <si>
    <t>项目</t>
  </si>
  <si>
    <t>物业类型</t>
  </si>
  <si>
    <t>地上面积(㎡)</t>
  </si>
  <si>
    <t>成交金额(亿元)</t>
  </si>
  <si>
    <t>单价(万/㎡)</t>
  </si>
  <si>
    <t>交易时间</t>
    <phoneticPr fontId="141" type="noConversion"/>
  </si>
  <si>
    <t>收益率</t>
    <phoneticPr fontId="141" type="noConversion"/>
  </si>
  <si>
    <t>交易状态</t>
    <phoneticPr fontId="141" type="noConversion"/>
  </si>
  <si>
    <t xml:space="preserve"> </t>
    <phoneticPr fontId="141" type="noConversion"/>
  </si>
  <si>
    <t>北京</t>
  </si>
  <si>
    <t>骏豪中央公园广场</t>
  </si>
  <si>
    <t>朝阳区</t>
  </si>
  <si>
    <t>资产交易</t>
    <phoneticPr fontId="141" type="noConversion"/>
  </si>
  <si>
    <t>复地金融中心A座</t>
  </si>
  <si>
    <t>通州区</t>
  </si>
  <si>
    <t>北京文化创意大厦</t>
  </si>
  <si>
    <t>立水桥</t>
  </si>
  <si>
    <t>其他</t>
  </si>
  <si>
    <t>世界侨商中心</t>
  </si>
  <si>
    <t>通州</t>
  </si>
  <si>
    <t>综合体</t>
  </si>
  <si>
    <t>泰禾长安中心B栋3~21层</t>
  </si>
  <si>
    <t>石景山</t>
  </si>
  <si>
    <t>复地金融中心B座</t>
  </si>
  <si>
    <t>通州富力中心</t>
  </si>
  <si>
    <t>新华联大厦</t>
  </si>
  <si>
    <t>红领巾桥</t>
  </si>
  <si>
    <t>股权交易</t>
    <phoneticPr fontId="141" type="noConversion"/>
  </si>
  <si>
    <t>钻石大厦</t>
  </si>
  <si>
    <t>中关村软件园</t>
  </si>
  <si>
    <t>首创空间大厦</t>
  </si>
  <si>
    <t>诺德中心三期12号楼</t>
  </si>
  <si>
    <t>丰台科技园</t>
  </si>
  <si>
    <t>九和大厦</t>
  </si>
  <si>
    <t>西直门</t>
  </si>
  <si>
    <t>电子城IT产业园A2</t>
  </si>
  <si>
    <t>酒仙桥</t>
  </si>
  <si>
    <t>电子城IT产业园C2A</t>
  </si>
  <si>
    <t>硅谷亮城4号楼</t>
  </si>
  <si>
    <t>上地</t>
  </si>
  <si>
    <t>电子城IT产业园C3B</t>
  </si>
  <si>
    <t>程远大厦</t>
  </si>
  <si>
    <t>海淀区</t>
  </si>
  <si>
    <t>北京招商局大厦</t>
  </si>
  <si>
    <t>境外股权</t>
    <phoneticPr fontId="141" type="noConversion"/>
  </si>
  <si>
    <t>东直门</t>
  </si>
  <si>
    <t>股权交易、股东关联方</t>
    <phoneticPr fontId="141" type="noConversion"/>
  </si>
  <si>
    <t>公寓</t>
    <phoneticPr fontId="141" type="noConversion"/>
  </si>
  <si>
    <t>翠宫饭店</t>
  </si>
  <si>
    <t>股权交易、改造</t>
    <phoneticPr fontId="141" type="noConversion"/>
  </si>
  <si>
    <t>酒店</t>
    <phoneticPr fontId="141" type="noConversion"/>
  </si>
  <si>
    <t>W酒店</t>
  </si>
  <si>
    <t>建国门</t>
  </si>
  <si>
    <t>上东今旅</t>
  </si>
  <si>
    <t>霄云路</t>
  </si>
  <si>
    <t>中环假日酒店</t>
  </si>
  <si>
    <t>广安门</t>
  </si>
  <si>
    <t>凤展大酒店</t>
  </si>
  <si>
    <t>安定门</t>
  </si>
  <si>
    <t>迦南大厦</t>
  </si>
  <si>
    <t>右安门</t>
  </si>
  <si>
    <t>望京国际商城</t>
  </si>
  <si>
    <t>望京</t>
  </si>
  <si>
    <t>恒基中心</t>
  </si>
  <si>
    <t>资产交易、商改写</t>
    <phoneticPr fontId="141" type="noConversion"/>
  </si>
  <si>
    <t>淘汇新天</t>
  </si>
  <si>
    <t>王府井</t>
  </si>
  <si>
    <t>北京新一城</t>
  </si>
  <si>
    <t>安贞凯德MALL</t>
  </si>
  <si>
    <t>安贞</t>
  </si>
  <si>
    <t>股权交易、改造、承租方购买</t>
    <phoneticPr fontId="141" type="noConversion"/>
  </si>
  <si>
    <t>广安门购物中心</t>
  </si>
  <si>
    <t>西城区</t>
  </si>
  <si>
    <t>天禧广场</t>
  </si>
  <si>
    <t>顺义</t>
  </si>
  <si>
    <t>六佰本商业街</t>
  </si>
  <si>
    <t>三全公寓</t>
  </si>
  <si>
    <t>燕莎</t>
  </si>
  <si>
    <t>上海</t>
  </si>
  <si>
    <t>浦江国际金融广场（30%股权）</t>
  </si>
  <si>
    <t>北外滩</t>
  </si>
  <si>
    <t>保利绿地广场 A1</t>
  </si>
  <si>
    <t>大连路</t>
  </si>
  <si>
    <t>文通大厦B栋</t>
  </si>
  <si>
    <t>静安鸿华大厦</t>
  </si>
  <si>
    <t>静安寺</t>
  </si>
  <si>
    <t>汇银大厦</t>
  </si>
  <si>
    <t>南京西路</t>
  </si>
  <si>
    <t>交通银行大厦</t>
  </si>
  <si>
    <t>南外滩</t>
  </si>
  <si>
    <t>绿地滨江中央广场</t>
  </si>
  <si>
    <t>宁国路</t>
  </si>
  <si>
    <t>宝龙大厦</t>
  </si>
  <si>
    <t>人民广场</t>
  </si>
  <si>
    <t>浦汇大厦</t>
  </si>
  <si>
    <t>东海商业中心（70%股权）</t>
  </si>
  <si>
    <t>虹口SOHO</t>
  </si>
  <si>
    <t>四川北路</t>
  </si>
  <si>
    <t>Lot65 50%股权</t>
  </si>
  <si>
    <t>新天地</t>
  </si>
  <si>
    <t>中城国际大厦</t>
  </si>
  <si>
    <t>徐家汇</t>
  </si>
  <si>
    <t>中港汇大厦</t>
  </si>
  <si>
    <t>长寿路</t>
  </si>
  <si>
    <t>星光耀广场(2/3/5号楼)</t>
  </si>
  <si>
    <t>大宁</t>
  </si>
  <si>
    <t>海兴广场</t>
  </si>
  <si>
    <t>大宁国际广场</t>
  </si>
  <si>
    <t>环球都会广场</t>
  </si>
  <si>
    <t>后滩</t>
  </si>
  <si>
    <t>黄兴大楼</t>
  </si>
  <si>
    <t>绿地卢湾917</t>
  </si>
  <si>
    <t>世博</t>
  </si>
  <si>
    <t>绿地五里桥黄浦滨江T1写字楼</t>
  </si>
  <si>
    <t>张江科苑大厦</t>
  </si>
  <si>
    <t>张江</t>
  </si>
  <si>
    <t>虹桥国际商务花园尚品中心（二期）</t>
  </si>
  <si>
    <t>临空</t>
  </si>
  <si>
    <t>中关村·虹桥创新中心北区9号楼</t>
  </si>
  <si>
    <t>中关村·虹桥创新中心北区7号楼</t>
  </si>
  <si>
    <t>虹桥国际商务花园尚品中心11座</t>
  </si>
  <si>
    <t>国正中心</t>
  </si>
  <si>
    <t>五角场</t>
  </si>
  <si>
    <t>瑞力创新天地</t>
  </si>
  <si>
    <t>虹桥绿谷广场E栋</t>
  </si>
  <si>
    <t>虹桥</t>
  </si>
  <si>
    <t>新华联国际中心21号</t>
  </si>
  <si>
    <t>恒基旭辉中心17号楼</t>
  </si>
  <si>
    <t>新华联国际中心11号</t>
  </si>
  <si>
    <t>七宝宝龙广场</t>
  </si>
  <si>
    <t>七宝</t>
  </si>
  <si>
    <t>七宝宝龙广场6号楼</t>
  </si>
  <si>
    <t>丰树商业城B楼</t>
  </si>
  <si>
    <t>莘庄</t>
  </si>
  <si>
    <t>美道商务广场</t>
  </si>
  <si>
    <t>徐泾</t>
  </si>
  <si>
    <t>越虹广场</t>
  </si>
  <si>
    <t>漕河泾</t>
  </si>
  <si>
    <t>腾飞莲花商务园</t>
  </si>
  <si>
    <t>凯龙信息大厦</t>
  </si>
  <si>
    <t>凯科大厦</t>
  </si>
  <si>
    <t>东方万国企业中心</t>
  </si>
  <si>
    <t>金桥</t>
  </si>
  <si>
    <t>凯龙金领大厦-东塔楼</t>
  </si>
  <si>
    <t>湾谷科技园(25/33/36/78/79号)</t>
  </si>
  <si>
    <t>新江湾城</t>
  </si>
  <si>
    <t>湾谷科技园(21/22号)</t>
  </si>
  <si>
    <t>星峰企业园</t>
  </si>
  <si>
    <t>星创大厦</t>
  </si>
  <si>
    <t>瑞虹新城月亮湾酒店</t>
  </si>
  <si>
    <t>海伦路</t>
  </si>
  <si>
    <t>久泰公寓</t>
  </si>
  <si>
    <t>湖南路</t>
  </si>
  <si>
    <t>浦西开元酒店</t>
  </si>
  <si>
    <t>苏河湾</t>
  </si>
  <si>
    <t>华山丽苑</t>
  </si>
  <si>
    <t>新华路</t>
  </si>
  <si>
    <t>广发银行大厦(公寓)</t>
  </si>
  <si>
    <t>易里酒店式公寓</t>
  </si>
  <si>
    <t>中山公园</t>
  </si>
  <si>
    <t>雅诗阁资产包-金桥馨乐庭</t>
  </si>
  <si>
    <t>明悦酒店</t>
  </si>
  <si>
    <t>洋泾</t>
  </si>
  <si>
    <t>瑞虹新城4期商铺</t>
  </si>
  <si>
    <t>西藏南路688</t>
  </si>
  <si>
    <t>中融恒瑞国际大厦</t>
  </si>
  <si>
    <t>竹园</t>
  </si>
  <si>
    <t>香溢花城商铺</t>
  </si>
  <si>
    <t>光新路</t>
  </si>
  <si>
    <t>虹桥正荣中心二期6号楼</t>
  </si>
  <si>
    <t>虹口区江湾镇A06-02号地块</t>
  </si>
  <si>
    <t>新江湾</t>
  </si>
  <si>
    <t>滨江国际广场1号楼</t>
  </si>
  <si>
    <t>保利绿地广场（B1/C1/C2）</t>
  </si>
  <si>
    <t>绿洲琴海苑49%股权</t>
  </si>
  <si>
    <t>董家渡</t>
  </si>
  <si>
    <t>嘉地中心（50%股权）</t>
  </si>
  <si>
    <t>ECO City1788</t>
  </si>
  <si>
    <t>外滩金融中心（50%股权）</t>
  </si>
  <si>
    <t>永银广场</t>
  </si>
  <si>
    <t>永泰五里桥项目</t>
  </si>
  <si>
    <t>凌空SOHO</t>
  </si>
  <si>
    <t>三林城市广场</t>
  </si>
  <si>
    <t>三林</t>
  </si>
  <si>
    <t>售价</t>
  </si>
  <si>
    <t>盈地大厦</t>
    <phoneticPr fontId="4" type="noConversion"/>
  </si>
  <si>
    <t>比较法</t>
    <phoneticPr fontId="141"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</si>
  <si>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6" type="noConversion"/>
  </si>
  <si>
    <t>估价对象位于东四商圈，位于商业类一级地价区，周边有隆福大厦、隆福广场、物美超市，东四大街、朝内大街沿街商业氛围成熟，人流量大，商业繁华度较好。</t>
    <phoneticPr fontId="26" type="noConversion"/>
  </si>
  <si>
    <t>估价对象位于东四商圈，位于办公类一级地价区，有国家民航总局、国务院发展研究中心机关办公楼、隆福大厦由商场主体改写字楼，周边商业写字楼项目较少，没有形成聚集的写字楼办公区，办公集聚度一般。</t>
    <phoneticPr fontId="26" type="noConversion"/>
  </si>
  <si>
    <t>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t>
    <phoneticPr fontId="42" type="noConversion"/>
  </si>
  <si>
    <t>城市主干道-朝阳门内大街</t>
    <phoneticPr fontId="26" type="noConversion"/>
  </si>
  <si>
    <t>城市次干道</t>
  </si>
  <si>
    <t>周边有隆福寺广场、东四清真寺等，自然及人文环境较好</t>
    <phoneticPr fontId="42" type="noConversion"/>
  </si>
  <si>
    <t>周边有明城墙遗址公园、北京古观象台、海关博物馆等，自然及人文环境较好</t>
    <phoneticPr fontId="141" type="noConversion"/>
  </si>
  <si>
    <t>建国门外大街</t>
    <phoneticPr fontId="33" type="noConversion"/>
  </si>
  <si>
    <t>紧邻城市快速路-东二环，距离地铁2号线（1984年）、13号线（2002年）东直门站约750米，多条公交线路通达，公共交通便利，综合评价交通便捷度较好。</t>
    <phoneticPr fontId="33" type="noConversion"/>
  </si>
  <si>
    <t>估价对象所在区域有购物场所（来福士、银座mall等），教育机构（史家小学分校、史家实验学校、北京第五十五中学等），医疗网点（北京中医药大学东直门医院等），金融网点（中国民生银行、江苏银行、中国工商银行等），综合分析，公共配套设施齐备程度较好。</t>
    <phoneticPr fontId="141" type="noConversion"/>
  </si>
  <si>
    <t>周边有中国医史博物馆等，自然及人文环境较好</t>
    <phoneticPr fontId="33" type="noConversion"/>
  </si>
  <si>
    <t>估价对象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t>
    <phoneticPr fontId="141" type="noConversion"/>
  </si>
  <si>
    <t>紧邻城市主干道-建国门内大街，距离地铁1号线（1969年）、5号线（2007年）东单站约50米，多条公交线路通达，公共交通便利，综合评价交通便捷度较好。</t>
    <phoneticPr fontId="33" type="noConversion"/>
  </si>
  <si>
    <t>估价对象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t>
    <phoneticPr fontId="141" type="noConversion"/>
  </si>
  <si>
    <t>周边有东单公园、东单体育场等，自然及人文环境较好</t>
    <phoneticPr fontId="33" type="noConversion"/>
  </si>
  <si>
    <r>
      <rPr>
        <sz val="11"/>
        <rFont val="宋体"/>
        <family val="2"/>
        <charset val="134"/>
      </rPr>
      <t>位于东直门区域，周边有来福士中心、银座</t>
    </r>
    <r>
      <rPr>
        <sz val="11"/>
        <rFont val="Arial"/>
        <family val="2"/>
      </rPr>
      <t>mall</t>
    </r>
    <r>
      <rPr>
        <sz val="11"/>
        <rFont val="宋体"/>
        <family val="2"/>
        <charset val="134"/>
      </rPr>
      <t>，商业氛围成熟，人流量大，商业繁华度好</t>
    </r>
    <phoneticPr fontId="32" type="noConversion"/>
  </si>
  <si>
    <t>2-2.5</t>
    <phoneticPr fontId="33" type="noConversion"/>
  </si>
  <si>
    <t>2.8-3</t>
  </si>
  <si>
    <t>2.8-3</t>
    <phoneticPr fontId="33" type="noConversion"/>
  </si>
  <si>
    <t>2.5-2.8</t>
  </si>
  <si>
    <t>2.5-2.8</t>
    <phoneticPr fontId="33" type="noConversion"/>
  </si>
  <si>
    <r>
      <t>2</t>
    </r>
    <r>
      <rPr>
        <sz val="11"/>
        <color theme="1"/>
        <rFont val="宋体"/>
        <family val="3"/>
        <charset val="134"/>
        <scheme val="minor"/>
      </rPr>
      <t>017.6.28</t>
    </r>
    <phoneticPr fontId="141" type="noConversion"/>
  </si>
  <si>
    <r>
      <t>2</t>
    </r>
    <r>
      <rPr>
        <sz val="11"/>
        <color theme="1"/>
        <rFont val="宋体"/>
        <family val="3"/>
        <charset val="134"/>
        <scheme val="minor"/>
      </rPr>
      <t>017.12.28</t>
    </r>
    <phoneticPr fontId="141" type="noConversion"/>
  </si>
  <si>
    <t>戴德</t>
    <phoneticPr fontId="288" type="noConversion"/>
  </si>
  <si>
    <t>仲量</t>
    <phoneticPr fontId="288" type="noConversion"/>
  </si>
  <si>
    <t>第一太平</t>
    <phoneticPr fontId="288" type="noConversion"/>
  </si>
  <si>
    <t>全市</t>
    <phoneticPr fontId="288" type="noConversion"/>
  </si>
  <si>
    <t>平均有效租金</t>
    <phoneticPr fontId="288" type="noConversion"/>
  </si>
  <si>
    <t>空置率</t>
    <phoneticPr fontId="288" type="noConversion"/>
  </si>
  <si>
    <t>租金增长率</t>
    <phoneticPr fontId="288" type="noConversion"/>
  </si>
  <si>
    <t>新增供应</t>
    <phoneticPr fontId="288" type="noConversion"/>
  </si>
  <si>
    <t>CPI增长</t>
    <phoneticPr fontId="288" type="noConversion"/>
  </si>
  <si>
    <t>存量（万㎡）</t>
    <phoneticPr fontId="288" type="noConversion"/>
  </si>
  <si>
    <t>存量（㎡）</t>
    <phoneticPr fontId="288" type="noConversion"/>
  </si>
  <si>
    <t>小区名</t>
  </si>
  <si>
    <t>均价（元/月/㎡）</t>
  </si>
  <si>
    <t>环比上月</t>
  </si>
  <si>
    <t>东方银座</t>
  </si>
  <si>
    <t>光华长安大厦</t>
  </si>
  <si>
    <t>雍和大厦</t>
  </si>
  <si>
    <t>银河SOHO</t>
  </si>
  <si>
    <t>来福士中心</t>
  </si>
  <si>
    <t>北京恒基中心</t>
  </si>
  <si>
    <t>歌华大厦</t>
  </si>
  <si>
    <t>中汇广场</t>
  </si>
  <si>
    <t>天恒大厦</t>
  </si>
  <si>
    <t>东二环</t>
    <phoneticPr fontId="288" type="noConversion"/>
  </si>
  <si>
    <t>库存（㎡）</t>
    <phoneticPr fontId="288" type="noConversion"/>
  </si>
  <si>
    <t>五大核心圈（中央商务区、金融街、燕莎、东二环、中关村）</t>
    <phoneticPr fontId="288" type="noConversion"/>
  </si>
  <si>
    <t>办公</t>
    <phoneticPr fontId="141" type="noConversion"/>
  </si>
  <si>
    <t>商业</t>
    <phoneticPr fontId="141" type="noConversion"/>
  </si>
  <si>
    <t>车库</t>
    <phoneticPr fontId="141" type="noConversion"/>
  </si>
  <si>
    <t>2017.6.28</t>
  </si>
  <si>
    <t>收益还原</t>
  </si>
  <si>
    <t>全市中高端商业</t>
    <phoneticPr fontId="141" type="noConversion"/>
  </si>
  <si>
    <t>全市甲级以上办公</t>
    <phoneticPr fontId="288" type="noConversion"/>
  </si>
  <si>
    <t>租金增长率</t>
    <phoneticPr fontId="141" type="noConversion"/>
  </si>
  <si>
    <t>东二环、中关村</t>
    <phoneticPr fontId="141" type="noConversion"/>
  </si>
  <si>
    <t>中央商务区</t>
    <phoneticPr fontId="141" type="noConversion"/>
  </si>
  <si>
    <t>库存（万㎡）</t>
    <phoneticPr fontId="288" type="noConversion"/>
  </si>
  <si>
    <t>中央商务区、金融街、中关村</t>
    <phoneticPr fontId="141" type="noConversion"/>
  </si>
  <si>
    <t>金融街、东二环</t>
    <phoneticPr fontId="141" type="noConversion"/>
  </si>
  <si>
    <t>金融街</t>
    <phoneticPr fontId="141" type="noConversion"/>
  </si>
  <si>
    <t>东二环</t>
    <phoneticPr fontId="141" type="noConversion"/>
  </si>
  <si>
    <t>新增</t>
    <phoneticPr fontId="141" type="noConversion"/>
  </si>
  <si>
    <t>楼层</t>
  </si>
  <si>
    <t>登记用途</t>
  </si>
  <si>
    <t>设定用途</t>
  </si>
  <si>
    <r>
      <t>8-9</t>
    </r>
    <r>
      <rPr>
        <sz val="10.5"/>
        <color rgb="FF000000"/>
        <rFont val="华文细黑"/>
        <family val="3"/>
        <charset val="134"/>
      </rPr>
      <t>层</t>
    </r>
  </si>
  <si>
    <r>
      <t>1-9</t>
    </r>
    <r>
      <rPr>
        <sz val="10.5"/>
        <color rgb="FF000000"/>
        <rFont val="华文细黑"/>
        <family val="3"/>
        <charset val="134"/>
      </rPr>
      <t>（办公）</t>
    </r>
    <r>
      <rPr>
        <sz val="10.5"/>
        <color rgb="FF000000"/>
        <rFont val="Arial"/>
        <family val="2"/>
      </rPr>
      <t>6599.88</t>
    </r>
    <r>
      <rPr>
        <sz val="10.5"/>
        <color rgb="FF000000"/>
        <rFont val="华文细黑"/>
        <family val="3"/>
        <charset val="134"/>
      </rPr>
      <t>㎡</t>
    </r>
  </si>
  <si>
    <r>
      <t>7</t>
    </r>
    <r>
      <rPr>
        <sz val="10.5"/>
        <color rgb="FF000000"/>
        <rFont val="华文细黑"/>
        <family val="3"/>
        <charset val="134"/>
      </rPr>
      <t>层</t>
    </r>
  </si>
  <si>
    <r>
      <t>1-8</t>
    </r>
    <r>
      <rPr>
        <sz val="10.5"/>
        <color rgb="FF000000"/>
        <rFont val="华文细黑"/>
        <family val="3"/>
        <charset val="134"/>
      </rPr>
      <t>（办公）</t>
    </r>
    <r>
      <rPr>
        <sz val="10.5"/>
        <color rgb="FF000000"/>
        <rFont val="Arial"/>
        <family val="2"/>
      </rPr>
      <t>3649.328</t>
    </r>
    <r>
      <rPr>
        <sz val="10.5"/>
        <color rgb="FF000000"/>
        <rFont val="华文细黑"/>
        <family val="3"/>
        <charset val="134"/>
      </rPr>
      <t>㎡</t>
    </r>
  </si>
  <si>
    <r>
      <t>6</t>
    </r>
    <r>
      <rPr>
        <sz val="10.5"/>
        <color rgb="FF000000"/>
        <rFont val="华文细黑"/>
        <family val="3"/>
        <charset val="134"/>
      </rPr>
      <t>层</t>
    </r>
  </si>
  <si>
    <r>
      <t>1-7</t>
    </r>
    <r>
      <rPr>
        <sz val="10.5"/>
        <color rgb="FF000000"/>
        <rFont val="华文细黑"/>
        <family val="3"/>
        <charset val="134"/>
      </rPr>
      <t>（办公）</t>
    </r>
    <r>
      <rPr>
        <sz val="10.5"/>
        <color rgb="FF000000"/>
        <rFont val="Arial"/>
        <family val="2"/>
      </rPr>
      <t>3684.9</t>
    </r>
    <r>
      <rPr>
        <sz val="10.5"/>
        <color rgb="FF000000"/>
        <rFont val="华文细黑"/>
        <family val="3"/>
        <charset val="134"/>
      </rPr>
      <t>㎡</t>
    </r>
  </si>
  <si>
    <r>
      <t>5</t>
    </r>
    <r>
      <rPr>
        <sz val="10.5"/>
        <color rgb="FF000000"/>
        <rFont val="华文细黑"/>
        <family val="3"/>
        <charset val="134"/>
      </rPr>
      <t>层</t>
    </r>
  </si>
  <si>
    <r>
      <t>1-5</t>
    </r>
    <r>
      <rPr>
        <sz val="10.5"/>
        <color rgb="FF000000"/>
        <rFont val="华文细黑"/>
        <family val="3"/>
        <charset val="134"/>
      </rPr>
      <t>（办公）</t>
    </r>
    <r>
      <rPr>
        <sz val="10.5"/>
        <color rgb="FF000000"/>
        <rFont val="Arial"/>
        <family val="2"/>
      </rPr>
      <t>641.71</t>
    </r>
    <r>
      <rPr>
        <sz val="10.5"/>
        <color rgb="FF000000"/>
        <rFont val="华文细黑"/>
        <family val="3"/>
        <charset val="134"/>
      </rPr>
      <t>㎡</t>
    </r>
  </si>
  <si>
    <r>
      <t>3-4</t>
    </r>
    <r>
      <rPr>
        <sz val="10.5"/>
        <color rgb="FF000000"/>
        <rFont val="华文细黑"/>
        <family val="3"/>
        <charset val="134"/>
      </rPr>
      <t>层</t>
    </r>
  </si>
  <si>
    <r>
      <t>1-4</t>
    </r>
    <r>
      <rPr>
        <sz val="10.5"/>
        <color rgb="FF000000"/>
        <rFont val="华文细黑"/>
        <family val="3"/>
        <charset val="134"/>
      </rPr>
      <t>（商业、办公）</t>
    </r>
    <r>
      <rPr>
        <sz val="10.5"/>
        <color rgb="FF000000"/>
        <rFont val="Arial"/>
        <family val="2"/>
      </rPr>
      <t>7369.8</t>
    </r>
    <r>
      <rPr>
        <sz val="10.5"/>
        <color rgb="FF000000"/>
        <rFont val="华文细黑"/>
        <family val="3"/>
        <charset val="134"/>
      </rPr>
      <t>㎡</t>
    </r>
  </si>
  <si>
    <r>
      <t>2</t>
    </r>
    <r>
      <rPr>
        <sz val="10.5"/>
        <color rgb="FF000000"/>
        <rFont val="华文细黑"/>
        <family val="3"/>
        <charset val="134"/>
      </rPr>
      <t>层</t>
    </r>
  </si>
  <si>
    <r>
      <t>1-2</t>
    </r>
    <r>
      <rPr>
        <sz val="10.5"/>
        <color rgb="FF000000"/>
        <rFont val="华文细黑"/>
        <family val="3"/>
        <charset val="134"/>
      </rPr>
      <t>（办公）</t>
    </r>
    <r>
      <rPr>
        <sz val="10.5"/>
        <color rgb="FF000000"/>
        <rFont val="Arial"/>
        <family val="2"/>
      </rPr>
      <t>1383.41</t>
    </r>
    <r>
      <rPr>
        <sz val="10.5"/>
        <color rgb="FF000000"/>
        <rFont val="华文细黑"/>
        <family val="3"/>
        <charset val="134"/>
      </rPr>
      <t>㎡</t>
    </r>
  </si>
  <si>
    <r>
      <t>1</t>
    </r>
    <r>
      <rPr>
        <sz val="10.5"/>
        <color rgb="FF000000"/>
        <rFont val="华文细黑"/>
        <family val="3"/>
        <charset val="134"/>
      </rPr>
      <t>层</t>
    </r>
  </si>
  <si>
    <r>
      <t>1-1</t>
    </r>
    <r>
      <rPr>
        <sz val="10.5"/>
        <color rgb="FF000000"/>
        <rFont val="华文细黑"/>
        <family val="3"/>
        <charset val="134"/>
      </rPr>
      <t>（办公）</t>
    </r>
    <r>
      <rPr>
        <sz val="10.5"/>
        <color rgb="FF000000"/>
        <rFont val="Arial"/>
        <family val="2"/>
      </rPr>
      <t>3345.2</t>
    </r>
    <r>
      <rPr>
        <sz val="10.5"/>
        <color rgb="FF000000"/>
        <rFont val="华文细黑"/>
        <family val="3"/>
        <charset val="134"/>
      </rPr>
      <t>㎡</t>
    </r>
  </si>
  <si>
    <r>
      <t>008</t>
    </r>
    <r>
      <rPr>
        <sz val="10.5"/>
        <color rgb="FF000000"/>
        <rFont val="华文细黑"/>
        <family val="3"/>
        <charset val="134"/>
      </rPr>
      <t>（商业）</t>
    </r>
    <r>
      <rPr>
        <sz val="10.5"/>
        <color rgb="FF000000"/>
        <rFont val="Arial"/>
        <family val="2"/>
      </rPr>
      <t>111.06</t>
    </r>
    <r>
      <rPr>
        <sz val="10.5"/>
        <color rgb="FF000000"/>
        <rFont val="华文细黑"/>
        <family val="3"/>
        <charset val="134"/>
      </rPr>
      <t>㎡</t>
    </r>
  </si>
  <si>
    <r>
      <t>附属（办公）</t>
    </r>
    <r>
      <rPr>
        <sz val="10.5"/>
        <color rgb="FF000000"/>
        <rFont val="Arial"/>
        <family val="2"/>
      </rPr>
      <t>382.9</t>
    </r>
    <r>
      <rPr>
        <sz val="10.5"/>
        <color rgb="FF000000"/>
        <rFont val="华文细黑"/>
        <family val="3"/>
        <charset val="134"/>
      </rPr>
      <t>㎡</t>
    </r>
  </si>
  <si>
    <r>
      <t>负</t>
    </r>
    <r>
      <rPr>
        <sz val="10.5"/>
        <color rgb="FF000000"/>
        <rFont val="Arial"/>
        <family val="2"/>
      </rPr>
      <t>1</t>
    </r>
    <r>
      <rPr>
        <sz val="10.5"/>
        <color rgb="FF000000"/>
        <rFont val="华文细黑"/>
        <family val="3"/>
        <charset val="134"/>
      </rPr>
      <t>层</t>
    </r>
  </si>
  <si>
    <r>
      <t>1-10</t>
    </r>
    <r>
      <rPr>
        <sz val="10.5"/>
        <color rgb="FF000000"/>
        <rFont val="华文细黑"/>
        <family val="3"/>
        <charset val="134"/>
      </rPr>
      <t>（办公）</t>
    </r>
    <r>
      <rPr>
        <sz val="10.5"/>
        <color rgb="FF000000"/>
        <rFont val="Arial"/>
        <family val="2"/>
      </rPr>
      <t>3826.8</t>
    </r>
    <r>
      <rPr>
        <sz val="10.5"/>
        <color rgb="FF000000"/>
        <rFont val="华文细黑"/>
        <family val="3"/>
        <charset val="134"/>
      </rPr>
      <t>㎡</t>
    </r>
  </si>
  <si>
    <r>
      <t>1-11</t>
    </r>
    <r>
      <rPr>
        <sz val="10.5"/>
        <color rgb="FF000000"/>
        <rFont val="华文细黑"/>
        <family val="3"/>
        <charset val="134"/>
      </rPr>
      <t>（商业、办公）</t>
    </r>
    <r>
      <rPr>
        <sz val="10.5"/>
        <color rgb="FF000000"/>
        <rFont val="Arial"/>
        <family val="2"/>
      </rPr>
      <t>185.77</t>
    </r>
    <r>
      <rPr>
        <sz val="10.5"/>
        <color rgb="FF000000"/>
        <rFont val="华文细黑"/>
        <family val="3"/>
        <charset val="134"/>
      </rPr>
      <t>㎡</t>
    </r>
  </si>
  <si>
    <r>
      <t>1-12</t>
    </r>
    <r>
      <rPr>
        <sz val="10.5"/>
        <color rgb="FF000000"/>
        <rFont val="华文细黑"/>
        <family val="3"/>
        <charset val="134"/>
      </rPr>
      <t>（商业、办公）</t>
    </r>
    <r>
      <rPr>
        <sz val="10.5"/>
        <color rgb="FF000000"/>
        <rFont val="Arial"/>
        <family val="2"/>
      </rPr>
      <t>305.78</t>
    </r>
    <r>
      <rPr>
        <sz val="10.5"/>
        <color rgb="FF000000"/>
        <rFont val="华文细黑"/>
        <family val="3"/>
        <charset val="134"/>
      </rPr>
      <t>㎡</t>
    </r>
  </si>
  <si>
    <r>
      <t>负</t>
    </r>
    <r>
      <rPr>
        <sz val="10.5"/>
        <color rgb="FF000000"/>
        <rFont val="Arial"/>
        <family val="2"/>
      </rPr>
      <t>2</t>
    </r>
    <r>
      <rPr>
        <sz val="10.5"/>
        <color rgb="FF000000"/>
        <rFont val="华文细黑"/>
        <family val="3"/>
        <charset val="134"/>
      </rPr>
      <t>层</t>
    </r>
  </si>
  <si>
    <r>
      <t>1-13</t>
    </r>
    <r>
      <rPr>
        <sz val="10.5"/>
        <color rgb="FF000000"/>
        <rFont val="华文细黑"/>
        <family val="3"/>
        <charset val="134"/>
      </rPr>
      <t>（办公）</t>
    </r>
    <r>
      <rPr>
        <sz val="10.5"/>
        <color rgb="FF000000"/>
        <rFont val="Arial"/>
        <family val="2"/>
      </rPr>
      <t>6104.32</t>
    </r>
    <r>
      <rPr>
        <sz val="10.5"/>
        <color rgb="FF000000"/>
        <rFont val="华文细黑"/>
        <family val="3"/>
        <charset val="134"/>
      </rPr>
      <t>㎡</t>
    </r>
  </si>
  <si>
    <r>
      <t>负</t>
    </r>
    <r>
      <rPr>
        <sz val="10.5"/>
        <color rgb="FF000000"/>
        <rFont val="Arial"/>
        <family val="2"/>
      </rPr>
      <t>3</t>
    </r>
    <r>
      <rPr>
        <sz val="10.5"/>
        <color rgb="FF000000"/>
        <rFont val="华文细黑"/>
        <family val="3"/>
        <charset val="134"/>
      </rPr>
      <t>层</t>
    </r>
  </si>
  <si>
    <r>
      <t>1-14</t>
    </r>
    <r>
      <rPr>
        <sz val="10.5"/>
        <color rgb="FF000000"/>
        <rFont val="华文细黑"/>
        <family val="3"/>
        <charset val="134"/>
      </rPr>
      <t>（商业、办公）</t>
    </r>
    <r>
      <rPr>
        <sz val="10.5"/>
        <color rgb="FF000000"/>
        <rFont val="Arial"/>
        <family val="2"/>
      </rPr>
      <t>4953.27</t>
    </r>
    <r>
      <rPr>
        <sz val="10.5"/>
        <color rgb="FF000000"/>
        <rFont val="华文细黑"/>
        <family val="3"/>
        <charset val="134"/>
      </rPr>
      <t>㎡</t>
    </r>
  </si>
  <si>
    <t>京（2016）东城区不动产权第0021202号</t>
  </si>
  <si>
    <t xml:space="preserve">办公2052-07-18
商业2042-07-18
</t>
  </si>
  <si>
    <t>京（2017）东城区不动产权第0019067号</t>
  </si>
  <si>
    <t>京（2016）东城区不动产权第0021206号</t>
  </si>
  <si>
    <t xml:space="preserve">办公2056-02-16
车库2056-02-16
商业2046-02-16
</t>
  </si>
  <si>
    <t>商业、办公</t>
  </si>
  <si>
    <t>办公2056-02-16
车库2056-02-16
商业2046-02-16</t>
  </si>
  <si>
    <t>1层1-1</t>
  </si>
  <si>
    <t>1层008</t>
  </si>
  <si>
    <t>1层附属房</t>
  </si>
  <si>
    <t>2层1-2</t>
  </si>
  <si>
    <t>2层1-3</t>
  </si>
  <si>
    <t>3至4层1-4</t>
  </si>
  <si>
    <t>5层1-5</t>
  </si>
  <si>
    <t>5层1-6</t>
  </si>
  <si>
    <t>6层1-7</t>
  </si>
  <si>
    <t>7层1-8</t>
  </si>
  <si>
    <t>8至9层1-9</t>
  </si>
  <si>
    <t>负1层1-10</t>
  </si>
  <si>
    <t>负1层1-11</t>
  </si>
  <si>
    <t>负1层1-12</t>
  </si>
  <si>
    <t>负2层1-13</t>
  </si>
  <si>
    <t>负3层1-14</t>
  </si>
  <si>
    <t>不动产权证号</t>
    <phoneticPr fontId="141" type="noConversion"/>
  </si>
  <si>
    <t>土地终止日期</t>
    <phoneticPr fontId="141" type="noConversion"/>
  </si>
  <si>
    <t>登记用途</t>
    <phoneticPr fontId="141" type="noConversion"/>
  </si>
  <si>
    <t>楼层编号</t>
    <phoneticPr fontId="141" type="noConversion"/>
  </si>
  <si>
    <t>面积</t>
    <phoneticPr fontId="141" type="noConversion"/>
  </si>
  <si>
    <t xml:space="preserve">办公2052-07-18
商业2042-07-18
</t>
    <phoneticPr fontId="141" type="noConversion"/>
  </si>
  <si>
    <t>商业2042-07-18</t>
    <phoneticPr fontId="141" type="noConversion"/>
  </si>
  <si>
    <t>设定用途</t>
    <phoneticPr fontId="141" type="noConversion"/>
  </si>
  <si>
    <t>商业</t>
    <phoneticPr fontId="141" type="noConversion"/>
  </si>
  <si>
    <t>办公</t>
    <phoneticPr fontId="141" type="noConversion"/>
  </si>
  <si>
    <t>车库</t>
    <phoneticPr fontId="141" type="noConversion"/>
  </si>
  <si>
    <r>
      <t>2</t>
    </r>
    <r>
      <rPr>
        <sz val="11"/>
        <color theme="1"/>
        <rFont val="宋体"/>
        <family val="3"/>
        <charset val="134"/>
        <scheme val="minor"/>
      </rPr>
      <t>016Q1</t>
    </r>
    <phoneticPr fontId="141"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</si>
  <si>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</si>
  <si>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</si>
  <si>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</si>
  <si>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1"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</si>
  <si>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</si>
  <si>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</si>
  <si>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</si>
  <si>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1" type="noConversion"/>
  </si>
  <si>
    <r>
      <t>2</t>
    </r>
    <r>
      <rPr>
        <sz val="11"/>
        <color theme="1"/>
        <rFont val="宋体"/>
        <family val="3"/>
        <charset val="134"/>
        <scheme val="minor"/>
      </rPr>
      <t>018Q2</t>
    </r>
    <r>
      <rPr>
        <sz val="11"/>
        <color theme="1"/>
        <rFont val="宋体"/>
        <family val="2"/>
        <scheme val="minor"/>
      </rPr>
      <t/>
    </r>
  </si>
  <si>
    <r>
      <t>2</t>
    </r>
    <r>
      <rPr>
        <sz val="11"/>
        <color theme="1"/>
        <rFont val="宋体"/>
        <family val="3"/>
        <charset val="134"/>
        <scheme val="minor"/>
      </rPr>
      <t>018Q3</t>
    </r>
    <r>
      <rPr>
        <sz val="11"/>
        <color theme="1"/>
        <rFont val="宋体"/>
        <family val="2"/>
        <scheme val="minor"/>
      </rPr>
      <t/>
    </r>
  </si>
  <si>
    <r>
      <t>2</t>
    </r>
    <r>
      <rPr>
        <sz val="11"/>
        <color theme="1"/>
        <rFont val="宋体"/>
        <family val="3"/>
        <charset val="134"/>
        <scheme val="minor"/>
      </rPr>
      <t>018Q4</t>
    </r>
    <r>
      <rPr>
        <sz val="11"/>
        <color theme="1"/>
        <rFont val="宋体"/>
        <family val="2"/>
        <scheme val="minor"/>
      </rPr>
      <t/>
    </r>
  </si>
  <si>
    <r>
      <t>2</t>
    </r>
    <r>
      <rPr>
        <sz val="11"/>
        <color theme="1"/>
        <rFont val="宋体"/>
        <family val="3"/>
        <charset val="134"/>
        <scheme val="minor"/>
      </rPr>
      <t>019Q1</t>
    </r>
    <phoneticPr fontId="141" type="noConversion"/>
  </si>
  <si>
    <r>
      <t>2</t>
    </r>
    <r>
      <rPr>
        <sz val="11"/>
        <color theme="1"/>
        <rFont val="宋体"/>
        <family val="3"/>
        <charset val="134"/>
        <scheme val="minor"/>
      </rPr>
      <t>019Q2</t>
    </r>
    <r>
      <rPr>
        <sz val="11"/>
        <color theme="1"/>
        <rFont val="宋体"/>
        <family val="2"/>
        <scheme val="minor"/>
      </rPr>
      <t/>
    </r>
  </si>
  <si>
    <r>
      <t>2</t>
    </r>
    <r>
      <rPr>
        <sz val="11"/>
        <color theme="1"/>
        <rFont val="宋体"/>
        <family val="3"/>
        <charset val="134"/>
        <scheme val="minor"/>
      </rPr>
      <t>019Q3</t>
    </r>
    <r>
      <rPr>
        <sz val="11"/>
        <color theme="1"/>
        <rFont val="宋体"/>
        <family val="2"/>
        <scheme val="minor"/>
      </rPr>
      <t/>
    </r>
  </si>
  <si>
    <r>
      <t>2</t>
    </r>
    <r>
      <rPr>
        <sz val="11"/>
        <color theme="1"/>
        <rFont val="宋体"/>
        <family val="3"/>
        <charset val="134"/>
        <scheme val="minor"/>
      </rPr>
      <t>019Q4</t>
    </r>
    <r>
      <rPr>
        <sz val="11"/>
        <color theme="1"/>
        <rFont val="宋体"/>
        <family val="2"/>
        <scheme val="minor"/>
      </rPr>
      <t/>
    </r>
  </si>
  <si>
    <r>
      <t>2</t>
    </r>
    <r>
      <rPr>
        <sz val="11"/>
        <color theme="1"/>
        <rFont val="宋体"/>
        <family val="3"/>
        <charset val="134"/>
        <scheme val="minor"/>
      </rPr>
      <t>021Q1</t>
    </r>
    <phoneticPr fontId="141" type="noConversion"/>
  </si>
  <si>
    <r>
      <t>2</t>
    </r>
    <r>
      <rPr>
        <sz val="11"/>
        <color theme="1"/>
        <rFont val="宋体"/>
        <family val="3"/>
        <charset val="134"/>
        <scheme val="minor"/>
      </rPr>
      <t>021Q2</t>
    </r>
    <r>
      <rPr>
        <sz val="11"/>
        <color theme="1"/>
        <rFont val="宋体"/>
        <family val="2"/>
        <scheme val="minor"/>
      </rPr>
      <t/>
    </r>
  </si>
  <si>
    <r>
      <t>2</t>
    </r>
    <r>
      <rPr>
        <sz val="11"/>
        <color theme="1"/>
        <rFont val="宋体"/>
        <family val="3"/>
        <charset val="134"/>
        <scheme val="minor"/>
      </rPr>
      <t>021Q3</t>
    </r>
    <r>
      <rPr>
        <sz val="11"/>
        <color theme="1"/>
        <rFont val="宋体"/>
        <family val="2"/>
        <scheme val="minor"/>
      </rPr>
      <t/>
    </r>
  </si>
  <si>
    <r>
      <t>2</t>
    </r>
    <r>
      <rPr>
        <sz val="11"/>
        <color theme="1"/>
        <rFont val="宋体"/>
        <family val="3"/>
        <charset val="134"/>
        <scheme val="minor"/>
      </rPr>
      <t>021Q4</t>
    </r>
    <r>
      <rPr>
        <sz val="11"/>
        <color theme="1"/>
        <rFont val="宋体"/>
        <family val="2"/>
        <scheme val="minor"/>
      </rPr>
      <t/>
    </r>
  </si>
  <si>
    <t>——</t>
    <phoneticPr fontId="141" type="noConversion"/>
  </si>
  <si>
    <t>4</t>
    <phoneticPr fontId="141" type="noConversion"/>
  </si>
  <si>
    <t>2016.6.1-2024.8.31</t>
    <phoneticPr fontId="141" type="noConversion"/>
  </si>
  <si>
    <r>
      <t>2</t>
    </r>
    <r>
      <rPr>
        <sz val="11"/>
        <color theme="1"/>
        <rFont val="宋体"/>
        <family val="3"/>
        <charset val="134"/>
        <scheme val="minor"/>
      </rPr>
      <t>016.4.28-2021.7.27</t>
    </r>
    <phoneticPr fontId="141" type="noConversion"/>
  </si>
  <si>
    <r>
      <t>2</t>
    </r>
    <r>
      <rPr>
        <sz val="11"/>
        <color theme="1"/>
        <rFont val="宋体"/>
        <family val="3"/>
        <charset val="134"/>
        <scheme val="minor"/>
      </rPr>
      <t>016.6.1-2024.8.31</t>
    </r>
    <phoneticPr fontId="141" type="noConversion"/>
  </si>
  <si>
    <r>
      <t>2</t>
    </r>
    <r>
      <rPr>
        <sz val="11"/>
        <color theme="1"/>
        <rFont val="宋体"/>
        <family val="3"/>
        <charset val="134"/>
        <scheme val="minor"/>
      </rPr>
      <t>016.12.31-2021.12.30</t>
    </r>
    <phoneticPr fontId="141" type="noConversion"/>
  </si>
  <si>
    <r>
      <t>2</t>
    </r>
    <r>
      <rPr>
        <sz val="11"/>
        <color theme="1"/>
        <rFont val="宋体"/>
        <family val="3"/>
        <charset val="134"/>
        <scheme val="minor"/>
      </rPr>
      <t>017.3.16-2022.5.15</t>
    </r>
    <phoneticPr fontId="141" type="noConversion"/>
  </si>
  <si>
    <r>
      <t>2</t>
    </r>
    <r>
      <rPr>
        <sz val="11"/>
        <color theme="1"/>
        <rFont val="宋体"/>
        <family val="3"/>
        <charset val="134"/>
        <scheme val="minor"/>
      </rPr>
      <t>017.9.1-2021.8.31</t>
    </r>
    <phoneticPr fontId="141" type="noConversion"/>
  </si>
  <si>
    <t>2018.10.1-2026.9.30</t>
    <phoneticPr fontId="141" type="noConversion"/>
  </si>
  <si>
    <r>
      <t>2</t>
    </r>
    <r>
      <rPr>
        <sz val="11"/>
        <color theme="1"/>
        <rFont val="宋体"/>
        <family val="3"/>
        <charset val="134"/>
        <scheme val="minor"/>
      </rPr>
      <t>019.5.4-2021.7.3</t>
    </r>
    <phoneticPr fontId="141" type="noConversion"/>
  </si>
  <si>
    <r>
      <t>2</t>
    </r>
    <r>
      <rPr>
        <sz val="11"/>
        <color theme="1"/>
        <rFont val="宋体"/>
        <family val="3"/>
        <charset val="134"/>
        <scheme val="minor"/>
      </rPr>
      <t>019.5.15-2021.5.14</t>
    </r>
    <phoneticPr fontId="141" type="noConversion"/>
  </si>
  <si>
    <r>
      <t>2</t>
    </r>
    <r>
      <rPr>
        <sz val="11"/>
        <color theme="1"/>
        <rFont val="宋体"/>
        <family val="3"/>
        <charset val="134"/>
        <scheme val="minor"/>
      </rPr>
      <t>019.7.1-2021.6.30</t>
    </r>
    <phoneticPr fontId="141" type="noConversion"/>
  </si>
  <si>
    <t>2019.8.20-2021.8.19</t>
    <phoneticPr fontId="141" type="noConversion"/>
  </si>
  <si>
    <t>2019.11.15-2021.11.14</t>
    <phoneticPr fontId="141" type="noConversion"/>
  </si>
  <si>
    <r>
      <t>2</t>
    </r>
    <r>
      <rPr>
        <sz val="11"/>
        <color theme="1"/>
        <rFont val="宋体"/>
        <family val="3"/>
        <charset val="134"/>
        <scheme val="minor"/>
      </rPr>
      <t>018.12.1-2023.11.30</t>
    </r>
    <phoneticPr fontId="141" type="noConversion"/>
  </si>
  <si>
    <r>
      <t>2</t>
    </r>
    <r>
      <rPr>
        <sz val="11"/>
        <color theme="1"/>
        <rFont val="宋体"/>
        <family val="3"/>
        <charset val="134"/>
        <scheme val="minor"/>
      </rPr>
      <t>018.12.1</t>
    </r>
    <phoneticPr fontId="141" type="noConversion"/>
  </si>
  <si>
    <t>1</t>
    <phoneticPr fontId="141" type="noConversion"/>
  </si>
  <si>
    <r>
      <t>前门大街1</t>
    </r>
    <r>
      <rPr>
        <sz val="11"/>
        <color theme="1"/>
        <rFont val="宋体"/>
        <family val="3"/>
        <charset val="134"/>
        <scheme val="minor"/>
      </rPr>
      <t>4号</t>
    </r>
    <phoneticPr fontId="141" type="noConversion"/>
  </si>
  <si>
    <t>辑粹苑</t>
    <phoneticPr fontId="141" type="noConversion"/>
  </si>
  <si>
    <r>
      <t>2</t>
    </r>
    <r>
      <rPr>
        <sz val="11"/>
        <color theme="1"/>
        <rFont val="宋体"/>
        <family val="3"/>
        <charset val="134"/>
        <scheme val="minor"/>
      </rPr>
      <t>013.7.19</t>
    </r>
    <phoneticPr fontId="141" type="noConversion"/>
  </si>
  <si>
    <t>杜莎夫人</t>
    <phoneticPr fontId="141" type="noConversion"/>
  </si>
  <si>
    <t>古仁堂</t>
    <phoneticPr fontId="141" type="noConversion"/>
  </si>
  <si>
    <t>庆丰包子</t>
    <phoneticPr fontId="141" type="noConversion"/>
  </si>
  <si>
    <t>广誉远</t>
    <phoneticPr fontId="141" type="noConversion"/>
  </si>
  <si>
    <r>
      <t>2</t>
    </r>
    <r>
      <rPr>
        <sz val="11"/>
        <color theme="1"/>
        <rFont val="宋体"/>
        <family val="3"/>
        <charset val="134"/>
        <scheme val="minor"/>
      </rPr>
      <t>013.3.1-2028.2.28</t>
    </r>
    <phoneticPr fontId="141" type="noConversion"/>
  </si>
  <si>
    <t>东方华韵</t>
    <phoneticPr fontId="141" type="noConversion"/>
  </si>
  <si>
    <r>
      <t>前门大街6</t>
    </r>
    <r>
      <rPr>
        <sz val="11"/>
        <color theme="1"/>
        <rFont val="宋体"/>
        <family val="3"/>
        <charset val="134"/>
        <scheme val="minor"/>
      </rPr>
      <t>6、68、70号</t>
    </r>
    <phoneticPr fontId="141" type="noConversion"/>
  </si>
  <si>
    <t>前门大街4号</t>
    <phoneticPr fontId="141" type="noConversion"/>
  </si>
  <si>
    <t>前门大街4、6、8、10、12、14、16、18号</t>
    <phoneticPr fontId="141" type="noConversion"/>
  </si>
  <si>
    <t>风雅江湖</t>
    <phoneticPr fontId="141" type="noConversion"/>
  </si>
  <si>
    <r>
      <t>前门大街9</t>
    </r>
    <r>
      <rPr>
        <sz val="11"/>
        <color theme="1"/>
        <rFont val="宋体"/>
        <family val="3"/>
        <charset val="134"/>
        <scheme val="minor"/>
      </rPr>
      <t>1号</t>
    </r>
    <phoneticPr fontId="141" type="noConversion"/>
  </si>
  <si>
    <t>前门大街2号</t>
    <phoneticPr fontId="141" type="noConversion"/>
  </si>
  <si>
    <t>百益千家</t>
    <phoneticPr fontId="141" type="noConversion"/>
  </si>
  <si>
    <r>
      <t>前门大街1</t>
    </r>
    <r>
      <rPr>
        <sz val="11"/>
        <color theme="1"/>
        <rFont val="宋体"/>
        <family val="3"/>
        <charset val="134"/>
        <scheme val="minor"/>
      </rPr>
      <t>7号</t>
    </r>
    <phoneticPr fontId="141" type="noConversion"/>
  </si>
  <si>
    <t>前门大街A10、59号</t>
    <phoneticPr fontId="141" type="noConversion"/>
  </si>
  <si>
    <t>古阿新</t>
    <phoneticPr fontId="141" type="noConversion"/>
  </si>
  <si>
    <r>
      <t>前门大街A</t>
    </r>
    <r>
      <rPr>
        <sz val="11"/>
        <color theme="1"/>
        <rFont val="宋体"/>
        <family val="3"/>
        <charset val="134"/>
        <scheme val="minor"/>
      </rPr>
      <t>3</t>
    </r>
    <phoneticPr fontId="141" type="noConversion"/>
  </si>
  <si>
    <t>淘汇名创</t>
    <phoneticPr fontId="141" type="noConversion"/>
  </si>
  <si>
    <t>宝隆驭德</t>
    <phoneticPr fontId="141" type="noConversion"/>
  </si>
  <si>
    <r>
      <t>前门大街A</t>
    </r>
    <r>
      <rPr>
        <sz val="11"/>
        <color theme="1"/>
        <rFont val="宋体"/>
        <family val="3"/>
        <charset val="134"/>
        <scheme val="minor"/>
      </rPr>
      <t>5幢</t>
    </r>
    <phoneticPr fontId="141" type="noConversion"/>
  </si>
  <si>
    <t>C22</t>
    <phoneticPr fontId="141" type="noConversion"/>
  </si>
  <si>
    <t>C19</t>
    <phoneticPr fontId="141" type="noConversion"/>
  </si>
  <si>
    <t>D1</t>
    <phoneticPr fontId="141" type="noConversion"/>
  </si>
  <si>
    <t>D2</t>
    <phoneticPr fontId="141" type="noConversion"/>
  </si>
  <si>
    <r>
      <t>2</t>
    </r>
    <r>
      <rPr>
        <sz val="11"/>
        <color theme="1"/>
        <rFont val="宋体"/>
        <family val="3"/>
        <charset val="134"/>
        <scheme val="minor"/>
      </rPr>
      <t>020.8.1</t>
    </r>
    <phoneticPr fontId="141" type="noConversion"/>
  </si>
  <si>
    <t>A15</t>
    <phoneticPr fontId="141" type="noConversion"/>
  </si>
  <si>
    <r>
      <t>2</t>
    </r>
    <r>
      <rPr>
        <sz val="11"/>
        <color theme="1"/>
        <rFont val="宋体"/>
        <family val="3"/>
        <charset val="134"/>
        <scheme val="minor"/>
      </rPr>
      <t>020.8.1-2023.7.31</t>
    </r>
    <phoneticPr fontId="141" type="noConversion"/>
  </si>
  <si>
    <r>
      <t>1</t>
    </r>
    <r>
      <rPr>
        <sz val="11"/>
        <color theme="1"/>
        <rFont val="宋体"/>
        <family val="3"/>
        <charset val="134"/>
        <scheme val="minor"/>
      </rPr>
      <t>800</t>
    </r>
    <phoneticPr fontId="141" type="noConversion"/>
  </si>
  <si>
    <r>
      <t>1</t>
    </r>
    <r>
      <rPr>
        <sz val="11"/>
        <color theme="1"/>
        <rFont val="宋体"/>
        <family val="3"/>
        <charset val="134"/>
        <scheme val="minor"/>
      </rPr>
      <t>900</t>
    </r>
    <phoneticPr fontId="141" type="noConversion"/>
  </si>
  <si>
    <r>
      <t>1</t>
    </r>
    <r>
      <rPr>
        <sz val="11"/>
        <color theme="1"/>
        <rFont val="宋体"/>
        <family val="3"/>
        <charset val="134"/>
        <scheme val="minor"/>
      </rPr>
      <t>849</t>
    </r>
    <phoneticPr fontId="141" type="noConversion"/>
  </si>
  <si>
    <t>市值</t>
    <phoneticPr fontId="141" type="noConversion"/>
  </si>
  <si>
    <t>还原率</t>
    <phoneticPr fontId="141" type="noConversion"/>
  </si>
  <si>
    <t>A1、2</t>
    <phoneticPr fontId="141" type="noConversion"/>
  </si>
  <si>
    <t>B1、2</t>
    <phoneticPr fontId="141" type="noConversion"/>
  </si>
  <si>
    <t>1849</t>
    <phoneticPr fontId="141" type="noConversion"/>
  </si>
  <si>
    <t>前门大街</t>
    <phoneticPr fontId="141" type="noConversion"/>
  </si>
  <si>
    <t>五矿广场</t>
    <phoneticPr fontId="141" type="noConversion"/>
  </si>
  <si>
    <r>
      <t>2</t>
    </r>
    <r>
      <rPr>
        <sz val="11"/>
        <color theme="1"/>
        <rFont val="宋体"/>
        <family val="3"/>
        <charset val="134"/>
        <scheme val="minor"/>
      </rPr>
      <t>013.4.1</t>
    </r>
    <phoneticPr fontId="141" type="noConversion"/>
  </si>
  <si>
    <t>商业</t>
    <phoneticPr fontId="141" type="noConversion"/>
  </si>
  <si>
    <r>
      <t>2</t>
    </r>
    <r>
      <rPr>
        <sz val="11"/>
        <color theme="1"/>
        <rFont val="宋体"/>
        <family val="3"/>
        <charset val="134"/>
        <scheme val="minor"/>
      </rPr>
      <t>013.4.1-2023.3.31</t>
    </r>
    <phoneticPr fontId="141" type="noConversion"/>
  </si>
  <si>
    <t>渤海银行</t>
    <phoneticPr fontId="141" type="noConversion"/>
  </si>
  <si>
    <t>2014.7.1</t>
    <phoneticPr fontId="141" type="noConversion"/>
  </si>
  <si>
    <r>
      <t>-</t>
    </r>
    <r>
      <rPr>
        <sz val="11"/>
        <color theme="1"/>
        <rFont val="宋体"/>
        <family val="3"/>
        <charset val="134"/>
        <scheme val="minor"/>
      </rPr>
      <t>1</t>
    </r>
    <phoneticPr fontId="141" type="noConversion"/>
  </si>
  <si>
    <r>
      <t>2</t>
    </r>
    <r>
      <rPr>
        <sz val="11"/>
        <color theme="1"/>
        <rFont val="宋体"/>
        <family val="3"/>
        <charset val="134"/>
        <scheme val="minor"/>
      </rPr>
      <t>014.7.10-2021.7.9</t>
    </r>
    <phoneticPr fontId="141" type="noConversion"/>
  </si>
  <si>
    <r>
      <t>朝阳门S</t>
    </r>
    <r>
      <rPr>
        <sz val="11"/>
        <color theme="1"/>
        <rFont val="宋体"/>
        <family val="3"/>
        <charset val="134"/>
        <scheme val="minor"/>
      </rPr>
      <t>OHO、大卫体育</t>
    </r>
    <phoneticPr fontId="141" type="noConversion"/>
  </si>
  <si>
    <r>
      <t>朝阳门S</t>
    </r>
    <r>
      <rPr>
        <sz val="11"/>
        <color theme="1"/>
        <rFont val="宋体"/>
        <family val="3"/>
        <charset val="134"/>
        <scheme val="minor"/>
      </rPr>
      <t>OHO</t>
    </r>
    <phoneticPr fontId="141" type="noConversion"/>
  </si>
  <si>
    <r>
      <t>2</t>
    </r>
    <r>
      <rPr>
        <sz val="11"/>
        <color theme="1"/>
        <rFont val="宋体"/>
        <family val="3"/>
        <charset val="134"/>
        <scheme val="minor"/>
      </rPr>
      <t>016.8.26</t>
    </r>
    <phoneticPr fontId="141" type="noConversion"/>
  </si>
  <si>
    <r>
      <t>2</t>
    </r>
    <r>
      <rPr>
        <sz val="11"/>
        <color theme="1"/>
        <rFont val="宋体"/>
        <family val="3"/>
        <charset val="134"/>
        <scheme val="minor"/>
      </rPr>
      <t>016.8.26-2019.8.25</t>
    </r>
    <phoneticPr fontId="141" type="noConversion"/>
  </si>
  <si>
    <r>
      <t>2</t>
    </r>
    <r>
      <rPr>
        <sz val="11"/>
        <color theme="1"/>
        <rFont val="宋体"/>
        <family val="3"/>
        <charset val="134"/>
        <scheme val="minor"/>
      </rPr>
      <t>016.10.17</t>
    </r>
    <phoneticPr fontId="141" type="noConversion"/>
  </si>
  <si>
    <r>
      <t>2</t>
    </r>
    <r>
      <rPr>
        <sz val="11"/>
        <color theme="1"/>
        <rFont val="宋体"/>
        <family val="3"/>
        <charset val="134"/>
        <scheme val="minor"/>
      </rPr>
      <t>016.10.17-2019.10.16</t>
    </r>
    <phoneticPr fontId="141" type="noConversion"/>
  </si>
  <si>
    <r>
      <t>2</t>
    </r>
    <r>
      <rPr>
        <sz val="11"/>
        <color theme="1"/>
        <rFont val="宋体"/>
        <family val="3"/>
        <charset val="134"/>
        <scheme val="minor"/>
      </rPr>
      <t>017.6.28-1层商业</t>
    </r>
    <phoneticPr fontId="141" type="noConversion"/>
  </si>
  <si>
    <t>A5</t>
    <phoneticPr fontId="141" type="noConversion"/>
  </si>
  <si>
    <r>
      <t>2</t>
    </r>
    <r>
      <rPr>
        <sz val="11"/>
        <color theme="1"/>
        <rFont val="宋体"/>
        <family val="3"/>
        <charset val="134"/>
        <scheme val="minor"/>
      </rPr>
      <t>018.10.1</t>
    </r>
    <phoneticPr fontId="141" type="noConversion"/>
  </si>
  <si>
    <t>1</t>
    <phoneticPr fontId="141" type="noConversion"/>
  </si>
  <si>
    <t>商业</t>
    <phoneticPr fontId="141" type="noConversion"/>
  </si>
  <si>
    <r>
      <t>2</t>
    </r>
    <r>
      <rPr>
        <sz val="11"/>
        <color theme="1"/>
        <rFont val="宋体"/>
        <family val="3"/>
        <charset val="134"/>
        <scheme val="minor"/>
      </rPr>
      <t>017.10.1-2021.9.30</t>
    </r>
    <phoneticPr fontId="141" type="noConversion"/>
  </si>
  <si>
    <r>
      <t>2</t>
    </r>
    <r>
      <rPr>
        <sz val="11"/>
        <color theme="1"/>
        <rFont val="宋体"/>
        <family val="3"/>
        <charset val="134"/>
        <scheme val="minor"/>
      </rPr>
      <t>018.2.1</t>
    </r>
    <phoneticPr fontId="141" type="noConversion"/>
  </si>
  <si>
    <t>兴业银行</t>
    <phoneticPr fontId="141" type="noConversion"/>
  </si>
  <si>
    <t>咖啡</t>
    <phoneticPr fontId="141" type="noConversion"/>
  </si>
  <si>
    <r>
      <t>2</t>
    </r>
    <r>
      <rPr>
        <sz val="11"/>
        <color theme="1"/>
        <rFont val="宋体"/>
        <family val="3"/>
        <charset val="134"/>
        <scheme val="minor"/>
      </rPr>
      <t>015.8.17</t>
    </r>
    <phoneticPr fontId="141" type="noConversion"/>
  </si>
  <si>
    <r>
      <t>2</t>
    </r>
    <r>
      <rPr>
        <sz val="11"/>
        <color theme="1"/>
        <rFont val="宋体"/>
        <family val="3"/>
        <charset val="134"/>
        <scheme val="minor"/>
      </rPr>
      <t>015.8.17-2018.8.16</t>
    </r>
    <phoneticPr fontId="141" type="noConversion"/>
  </si>
  <si>
    <t>2017.6.28一层商业</t>
    <phoneticPr fontId="141" type="noConversion"/>
  </si>
  <si>
    <t>民生银行</t>
    <phoneticPr fontId="141" type="noConversion"/>
  </si>
  <si>
    <t>渤海银行</t>
    <phoneticPr fontId="141" type="noConversion"/>
  </si>
  <si>
    <t>车位</t>
    <phoneticPr fontId="141" type="noConversion"/>
  </si>
  <si>
    <t>民生金融</t>
    <phoneticPr fontId="141" type="noConversion"/>
  </si>
  <si>
    <t>车库</t>
    <phoneticPr fontId="141" type="noConversion"/>
  </si>
  <si>
    <t>2020Q1</t>
    <phoneticPr fontId="141" type="noConversion"/>
  </si>
  <si>
    <t>2020Q2</t>
  </si>
  <si>
    <t>2020Q3</t>
  </si>
  <si>
    <t>2020Q4</t>
  </si>
  <si>
    <t>50123、50127</t>
    <phoneticPr fontId="141" type="noConversion"/>
  </si>
  <si>
    <t>加建201</t>
    <phoneticPr fontId="141" type="noConversion"/>
  </si>
  <si>
    <t>加建301</t>
    <phoneticPr fontId="141" type="noConversion"/>
  </si>
  <si>
    <t>加建401</t>
    <phoneticPr fontId="141" type="noConversion"/>
  </si>
  <si>
    <t>加建101</t>
    <phoneticPr fontId="141" type="noConversion"/>
  </si>
  <si>
    <t>一期A111</t>
    <phoneticPr fontId="141" type="noConversion"/>
  </si>
  <si>
    <t>二期B127</t>
    <phoneticPr fontId="141" type="noConversion"/>
  </si>
  <si>
    <t>一期A120</t>
    <phoneticPr fontId="141" type="noConversion"/>
  </si>
  <si>
    <t>一期A110</t>
    <phoneticPr fontId="141" type="noConversion"/>
  </si>
  <si>
    <r>
      <t>一期A</t>
    </r>
    <r>
      <rPr>
        <sz val="11"/>
        <color theme="1"/>
        <rFont val="宋体"/>
        <family val="3"/>
        <charset val="134"/>
        <scheme val="minor"/>
      </rPr>
      <t>125</t>
    </r>
    <phoneticPr fontId="141" type="noConversion"/>
  </si>
  <si>
    <t>6-110</t>
    <phoneticPr fontId="141" type="noConversion"/>
  </si>
  <si>
    <t>A座11216</t>
    <phoneticPr fontId="141" type="noConversion"/>
  </si>
  <si>
    <t>B座20105</t>
    <phoneticPr fontId="141" type="noConversion"/>
  </si>
  <si>
    <t>B座20101</t>
    <phoneticPr fontId="141" type="noConversion"/>
  </si>
  <si>
    <t>D座50737</t>
    <phoneticPr fontId="141" type="noConversion"/>
  </si>
  <si>
    <t>一期A-105</t>
    <phoneticPr fontId="141" type="noConversion"/>
  </si>
  <si>
    <t>A座10709</t>
    <phoneticPr fontId="141" type="noConversion"/>
  </si>
  <si>
    <t>2020.8.1-2022.7.31</t>
    <phoneticPr fontId="141" type="noConversion"/>
  </si>
  <si>
    <r>
      <t>2</t>
    </r>
    <r>
      <rPr>
        <sz val="11"/>
        <color theme="1"/>
        <rFont val="宋体"/>
        <family val="3"/>
        <charset val="134"/>
        <scheme val="minor"/>
      </rPr>
      <t>020.8.1-2022.7.31</t>
    </r>
    <phoneticPr fontId="141" type="noConversion"/>
  </si>
  <si>
    <r>
      <t>2</t>
    </r>
    <r>
      <rPr>
        <sz val="11"/>
        <color theme="1"/>
        <rFont val="宋体"/>
        <family val="3"/>
        <charset val="134"/>
        <scheme val="minor"/>
      </rPr>
      <t>020.9.15-2024.9.14</t>
    </r>
    <phoneticPr fontId="141" type="noConversion"/>
  </si>
  <si>
    <r>
      <t>一期A</t>
    </r>
    <r>
      <rPr>
        <sz val="11"/>
        <color theme="1"/>
        <rFont val="宋体"/>
        <family val="3"/>
        <charset val="134"/>
        <scheme val="minor"/>
      </rPr>
      <t>-108</t>
    </r>
    <phoneticPr fontId="141" type="noConversion"/>
  </si>
  <si>
    <r>
      <rPr>
        <sz val="11"/>
        <color theme="1"/>
        <rFont val="宋体"/>
        <family val="3"/>
        <charset val="134"/>
        <scheme val="minor"/>
      </rPr>
      <t>D座</t>
    </r>
    <r>
      <rPr>
        <sz val="11"/>
        <color theme="1"/>
        <rFont val="宋体"/>
        <family val="3"/>
        <charset val="134"/>
        <scheme val="minor"/>
      </rPr>
      <t>5</t>
    </r>
    <r>
      <rPr>
        <sz val="11"/>
        <color theme="1"/>
        <rFont val="宋体"/>
        <family val="3"/>
        <charset val="134"/>
        <scheme val="minor"/>
      </rPr>
      <t>0725</t>
    </r>
    <r>
      <rPr>
        <sz val="11"/>
        <color theme="1"/>
        <rFont val="宋体"/>
        <family val="3"/>
        <charset val="134"/>
        <scheme val="minor"/>
      </rPr>
      <t>%</t>
    </r>
    <phoneticPr fontId="141" type="noConversion"/>
  </si>
  <si>
    <t>D座B1-10</t>
    <phoneticPr fontId="141" type="noConversion"/>
  </si>
  <si>
    <t>凯恒中心</t>
    <phoneticPr fontId="141" type="noConversion"/>
  </si>
  <si>
    <r>
      <t>朝阳门S</t>
    </r>
    <r>
      <rPr>
        <sz val="11"/>
        <color theme="1"/>
        <rFont val="宋体"/>
        <family val="3"/>
        <charset val="134"/>
        <scheme val="minor"/>
      </rPr>
      <t>OHO</t>
    </r>
    <phoneticPr fontId="141" type="noConversion"/>
  </si>
  <si>
    <t>凯恒中心</t>
    <phoneticPr fontId="141" type="noConversion"/>
  </si>
  <si>
    <t>好</t>
    <phoneticPr fontId="33" type="noConversion"/>
  </si>
  <si>
    <t>较好</t>
    <phoneticPr fontId="33" type="noConversion"/>
  </si>
  <si>
    <t>一般</t>
    <phoneticPr fontId="33" type="noConversion"/>
  </si>
  <si>
    <t>租期</t>
    <phoneticPr fontId="33" type="noConversion"/>
  </si>
  <si>
    <t>设施设备</t>
    <phoneticPr fontId="33" type="noConversion"/>
  </si>
  <si>
    <t>一般</t>
    <phoneticPr fontId="33" type="noConversion"/>
  </si>
  <si>
    <t>较好</t>
    <phoneticPr fontId="33" type="noConversion"/>
  </si>
  <si>
    <t>好</t>
    <phoneticPr fontId="33" type="noConversion"/>
  </si>
  <si>
    <t>位于朝阳门区域，周边有凯恒中心、朝阳门SOHO、中国海洋石油大厦、中国石化大厦、丰联广场等，办公集聚程度较好。</t>
    <phoneticPr fontId="33" type="noConversion"/>
  </si>
  <si>
    <t>位于东四十条区域，周边有保利大厦、首创大厦、富华大厦等，办公集聚度好</t>
    <phoneticPr fontId="33" type="noConversion"/>
  </si>
  <si>
    <t>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t>
    <phoneticPr fontId="141" type="noConversion"/>
  </si>
  <si>
    <t>周边有智化寺等，自然及人文环境较好</t>
    <phoneticPr fontId="33" type="noConversion"/>
  </si>
  <si>
    <t>租期</t>
    <phoneticPr fontId="32" type="noConversion"/>
  </si>
  <si>
    <t>周边有保利剧院、南新仓文化休闲街、东四奥林匹克社区公园等，自然及人文环境较好</t>
    <phoneticPr fontId="33" type="noConversion"/>
  </si>
  <si>
    <t>位于东四十条区域，周边有南新仓文化休闲街、沿街商铺等，商业氛围较成熟，人流量较大，商业繁华度较好</t>
    <phoneticPr fontId="32" type="noConversion"/>
  </si>
  <si>
    <t>好</t>
    <phoneticPr fontId="32" type="noConversion"/>
  </si>
  <si>
    <t>较好</t>
    <phoneticPr fontId="32" type="noConversion"/>
  </si>
  <si>
    <t>一般</t>
    <phoneticPr fontId="32" type="noConversion"/>
  </si>
  <si>
    <t>大</t>
  </si>
  <si>
    <t>大</t>
    <phoneticPr fontId="32" type="noConversion"/>
  </si>
  <si>
    <t>较大</t>
    <phoneticPr fontId="32" type="noConversion"/>
  </si>
  <si>
    <t>商业综合体</t>
  </si>
  <si>
    <t>商业综合体</t>
    <phoneticPr fontId="32" type="noConversion"/>
  </si>
  <si>
    <t>商业街</t>
    <phoneticPr fontId="32" type="noConversion"/>
  </si>
  <si>
    <t>单价</t>
  </si>
  <si>
    <t>修正后单价</t>
    <phoneticPr fontId="141" type="noConversion"/>
  </si>
  <si>
    <t>总价</t>
    <phoneticPr fontId="141" type="noConversion"/>
  </si>
  <si>
    <t>权重</t>
    <phoneticPr fontId="141" type="noConversion"/>
  </si>
  <si>
    <t>比较法单价</t>
    <phoneticPr fontId="141" type="noConversion"/>
  </si>
  <si>
    <t>楼层修正</t>
    <phoneticPr fontId="141" type="noConversion"/>
  </si>
  <si>
    <t>车库</t>
    <phoneticPr fontId="33" type="noConversion"/>
  </si>
  <si>
    <t>240:1</t>
    <phoneticPr fontId="33" type="noConversion"/>
  </si>
  <si>
    <t>150:1</t>
    <phoneticPr fontId="33" type="noConversion"/>
  </si>
  <si>
    <t>100:1</t>
    <phoneticPr fontId="33" type="noConversion"/>
  </si>
  <si>
    <t>奥克伍德华庭酒店公寓</t>
    <phoneticPr fontId="141" type="noConversion"/>
  </si>
  <si>
    <t>酒店改造为办公</t>
    <phoneticPr fontId="141" type="noConversion"/>
  </si>
  <si>
    <t>上东公园里</t>
    <phoneticPr fontId="141" type="noConversion"/>
  </si>
  <si>
    <t>地上面积</t>
  </si>
  <si>
    <t>万平方米</t>
  </si>
  <si>
    <t>总建筑面积</t>
  </si>
  <si>
    <t>地上租金</t>
  </si>
  <si>
    <t>天</t>
  </si>
  <si>
    <t>月</t>
  </si>
  <si>
    <t>年</t>
  </si>
  <si>
    <t>cap rate</t>
  </si>
  <si>
    <t>Value</t>
  </si>
  <si>
    <t>Total</t>
  </si>
  <si>
    <t>建筑面积</t>
  </si>
  <si>
    <t>国瑞城</t>
    <phoneticPr fontId="32" type="noConversion"/>
  </si>
  <si>
    <t>1800</t>
    <phoneticPr fontId="141" type="noConversion"/>
  </si>
  <si>
    <t>层高修正</t>
    <phoneticPr fontId="141" type="noConversion"/>
  </si>
  <si>
    <t>面积修正</t>
    <phoneticPr fontId="141" type="noConversion"/>
  </si>
  <si>
    <t>层高</t>
    <phoneticPr fontId="141" type="noConversion"/>
  </si>
  <si>
    <t>2-2.5
2.5-3
3-3.5</t>
    <phoneticPr fontId="141" type="noConversion"/>
  </si>
  <si>
    <t>供电局</t>
    <phoneticPr fontId="141" type="noConversion"/>
  </si>
  <si>
    <t>位置</t>
    <phoneticPr fontId="4" type="noConversion"/>
  </si>
  <si>
    <t>所属区县</t>
    <phoneticPr fontId="4" type="noConversion"/>
  </si>
  <si>
    <t>商圈</t>
    <phoneticPr fontId="4" type="noConversion"/>
  </si>
  <si>
    <t>卖方</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</si>
  <si>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</si>
  <si>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</si>
  <si>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</si>
  <si>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</si>
  <si>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</si>
  <si>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</si>
  <si>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</si>
  <si>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</si>
  <si>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</si>
  <si>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</si>
  <si>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</si>
  <si>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</si>
  <si>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网络报价总建筑面楼面单价（元㎡）</t>
    <phoneticPr fontId="4" type="noConversion"/>
  </si>
  <si>
    <t>备注</t>
    <phoneticPr fontId="4" type="noConversion"/>
  </si>
  <si>
    <t>成交价与报价的比例</t>
    <phoneticPr fontId="4" type="noConversion"/>
  </si>
  <si>
    <t>十里堡西单商场</t>
    <phoneticPr fontId="4" type="noConversion"/>
  </si>
  <si>
    <t>朝阳区十里堡甲3号</t>
    <phoneticPr fontId="4" type="noConversion"/>
  </si>
  <si>
    <t>十里堡</t>
    <phoneticPr fontId="4" type="noConversion"/>
  </si>
  <si>
    <t>京港物业</t>
    <phoneticPr fontId="4" type="noConversion"/>
  </si>
  <si>
    <t>万科</t>
    <phoneticPr fontId="4" type="noConversion"/>
  </si>
  <si>
    <r>
      <t>2</t>
    </r>
    <r>
      <rPr>
        <sz val="10"/>
        <rFont val="宋体"/>
        <family val="3"/>
        <charset val="134"/>
      </rPr>
      <t>016年第二季度</t>
    </r>
    <phoneticPr fontId="4" type="noConversion"/>
  </si>
  <si>
    <r>
      <t>股权交易；十里堡西单商场项目地下3层地上6层，土地使用权面积为9,846.61平方米，土地使用权终止日期为2033年6月4日，估价对象建筑面积为36,026.08平方米，其中地下1层至地上6层商业建筑面积为32,344.01平方米，地下2至3层车库建筑面积为3,682.07平方米（共有车位284个）；</t>
    </r>
    <r>
      <rPr>
        <b/>
        <sz val="10"/>
        <color indexed="10"/>
        <rFont val="宋体"/>
        <family val="3"/>
        <charset val="134"/>
      </rPr>
      <t>北京万科为收购该项目82.5%的权益，支付了约10个亿对价。</t>
    </r>
    <phoneticPr fontId="4" type="noConversion"/>
  </si>
  <si>
    <r>
      <t>1</t>
    </r>
    <r>
      <rPr>
        <sz val="10"/>
        <rFont val="宋体"/>
        <family val="3"/>
        <charset val="134"/>
      </rPr>
      <t>998年</t>
    </r>
    <phoneticPr fontId="4" type="noConversion"/>
  </si>
  <si>
    <r>
      <t>招商局大厦2</t>
    </r>
    <r>
      <rPr>
        <sz val="10"/>
        <rFont val="宋体"/>
        <family val="3"/>
        <charset val="134"/>
      </rPr>
      <t>0-28层</t>
    </r>
    <phoneticPr fontId="4" type="noConversion"/>
  </si>
  <si>
    <t>朝阳区建国路118号，国贸桥的东南角</t>
    <phoneticPr fontId="4" type="noConversion"/>
  </si>
  <si>
    <t>CBD</t>
    <phoneticPr fontId="4" type="noConversion"/>
  </si>
  <si>
    <t>高富诺集团</t>
    <phoneticPr fontId="4" type="noConversion"/>
  </si>
  <si>
    <t>写字楼</t>
    <phoneticPr fontId="4" type="noConversion"/>
  </si>
  <si>
    <t>弘睿资本</t>
    <phoneticPr fontId="4" type="noConversion"/>
  </si>
  <si>
    <t>1996年</t>
    <phoneticPr fontId="4" type="noConversion"/>
  </si>
  <si>
    <t>上东今旅酒店</t>
    <phoneticPr fontId="4" type="noConversion"/>
  </si>
  <si>
    <t>朝阳区东四环北路2号</t>
    <phoneticPr fontId="4" type="noConversion"/>
  </si>
  <si>
    <t>东四环</t>
    <phoneticPr fontId="4" type="noConversion"/>
  </si>
  <si>
    <t>阳光集团</t>
    <phoneticPr fontId="4" type="noConversion"/>
  </si>
  <si>
    <t>酒店</t>
    <phoneticPr fontId="4" type="noConversion"/>
  </si>
  <si>
    <t>国内金融机构</t>
    <phoneticPr fontId="4" type="noConversion"/>
  </si>
  <si>
    <r>
      <t>2</t>
    </r>
    <r>
      <rPr>
        <sz val="10"/>
        <rFont val="宋体"/>
        <family val="3"/>
        <charset val="134"/>
      </rPr>
      <t>017-Q2</t>
    </r>
    <phoneticPr fontId="4" type="noConversion"/>
  </si>
  <si>
    <r>
      <t>2</t>
    </r>
    <r>
      <rPr>
        <sz val="10"/>
        <rFont val="宋体"/>
        <family val="3"/>
        <charset val="134"/>
      </rPr>
      <t>007年</t>
    </r>
    <phoneticPr fontId="4" type="noConversion"/>
  </si>
  <si>
    <t>东华金座</t>
    <phoneticPr fontId="4" type="noConversion"/>
  </si>
  <si>
    <t>西城区广安门内大街118号1号楼、牛街东侧14-16号商住楼（东华金座）地上1-3层商业裙房及地下一层房屋</t>
    <phoneticPr fontId="4" type="noConversion"/>
  </si>
  <si>
    <t>广安门</t>
    <phoneticPr fontId="4" type="noConversion"/>
  </si>
  <si>
    <t>北京房开置业股份有限公司</t>
    <phoneticPr fontId="4" type="noConversion"/>
  </si>
  <si>
    <t>北京国安置地有限责任公司</t>
    <phoneticPr fontId="4" type="noConversion"/>
  </si>
  <si>
    <t>拍卖</t>
    <phoneticPr fontId="4" type="noConversion"/>
  </si>
  <si>
    <t>恒基中心</t>
    <phoneticPr fontId="4" type="noConversion"/>
  </si>
  <si>
    <t>建国门</t>
    <phoneticPr fontId="4" type="noConversion"/>
  </si>
  <si>
    <t>恒基兆业</t>
    <phoneticPr fontId="4" type="noConversion"/>
  </si>
  <si>
    <t>中菊集团</t>
    <phoneticPr fontId="4" type="noConversion"/>
  </si>
  <si>
    <t>雅安国际公寓部分商业</t>
    <phoneticPr fontId="4" type="noConversion"/>
  </si>
  <si>
    <t>东城区金宝街2 号（雅安国际公寓）1 层101、2 层201、-1 层D01 号；所在地块四至：东邻日化家属院，南邻金成建国5 号，西临艺华胡同，北临金宝街。</t>
    <phoneticPr fontId="4" type="noConversion"/>
  </si>
  <si>
    <t>东二环</t>
    <phoneticPr fontId="4" type="noConversion"/>
  </si>
  <si>
    <t xml:space="preserve">北京永鑫耀阳科技发展有限公司
</t>
    <phoneticPr fontId="4" type="noConversion"/>
  </si>
  <si>
    <t>北京明润广居投资有限责任公司</t>
    <phoneticPr fontId="4" type="noConversion"/>
  </si>
  <si>
    <r>
      <t>2</t>
    </r>
    <r>
      <rPr>
        <sz val="10"/>
        <rFont val="宋体"/>
        <family val="3"/>
        <charset val="134"/>
      </rPr>
      <t>005年</t>
    </r>
    <phoneticPr fontId="4" type="noConversion"/>
  </si>
  <si>
    <t>2017Q2</t>
    <phoneticPr fontId="288" type="noConversion"/>
  </si>
  <si>
    <t>租赁类型</t>
    <phoneticPr fontId="32" type="noConversion"/>
  </si>
  <si>
    <t>整租</t>
    <phoneticPr fontId="32" type="noConversion"/>
  </si>
  <si>
    <t>散租</t>
    <phoneticPr fontId="32" type="noConversion"/>
  </si>
  <si>
    <t>九和大厦</t>
    <phoneticPr fontId="4" type="noConversion"/>
  </si>
  <si>
    <t>西城区北礼士路大街</t>
    <phoneticPr fontId="4" type="noConversion"/>
  </si>
  <si>
    <t>西直门</t>
    <phoneticPr fontId="4" type="noConversion"/>
  </si>
  <si>
    <t>境内股权</t>
    <phoneticPr fontId="4" type="noConversion"/>
  </si>
  <si>
    <t>标准层面积1200平方米，有3部客梯、1部货梯，地上12层、地下3层</t>
    <phoneticPr fontId="4" type="noConversion"/>
  </si>
  <si>
    <t>融新科技中心</t>
    <phoneticPr fontId="4" type="noConversion"/>
  </si>
  <si>
    <t>望京</t>
    <phoneticPr fontId="4" type="noConversion"/>
  </si>
  <si>
    <t>2016Q4</t>
    <phoneticPr fontId="4" type="noConversion"/>
  </si>
  <si>
    <t>方恒时代中心</t>
    <phoneticPr fontId="4" type="noConversion"/>
  </si>
  <si>
    <t>2016Q3</t>
    <phoneticPr fontId="4" type="noConversion"/>
  </si>
  <si>
    <t>资产交易</t>
    <phoneticPr fontId="4" type="noConversion"/>
  </si>
  <si>
    <t>联络互动</t>
    <phoneticPr fontId="4" type="noConversion"/>
  </si>
  <si>
    <t>东九中国</t>
    <phoneticPr fontId="4" type="noConversion"/>
  </si>
  <si>
    <t>阳光城</t>
    <phoneticPr fontId="4" type="noConversion"/>
  </si>
  <si>
    <t>标准层面积</t>
    <phoneticPr fontId="4" type="noConversion"/>
  </si>
  <si>
    <t>收购后意欲改写字楼；设有403间客房和套房，共21层</t>
    <phoneticPr fontId="4" type="noConversion"/>
  </si>
  <si>
    <t>北礼士路</t>
    <phoneticPr fontId="33" type="noConversion"/>
  </si>
  <si>
    <t>估价对象所在区域有购物场所（凯德mall等），教育机构（西城区师范学校附小、西城外国语学校、黄城根小学等），医疗网点（北京大学人民医院等），金融网点（招商银行、中国邮政储蓄银行等），综合分析，公共配套设施齐备程度较好。</t>
    <phoneticPr fontId="141" type="noConversion"/>
  </si>
  <si>
    <t>周边有官园公园等，自然及人文环境较好</t>
    <phoneticPr fontId="141" type="noConversion"/>
  </si>
  <si>
    <t>位于崇文门区域，周边有新世界百货、搜秀城等商场，商业氛围成熟，人流量大，商业繁华度好</t>
    <phoneticPr fontId="32" type="noConversion"/>
  </si>
  <si>
    <t>估价对象所在区域有购物场所（新世界百货、搜秀城等），教育机构（北京第九十六中学、崇文小学、会问实验中学等），医疗网点（北京普仁医院、北京同仁医院、北京医院等），金融网点（中国邮政储蓄银行、中国农业银行、中国工商银行等），综合分析，公共配套设施齐备程度较好。</t>
    <phoneticPr fontId="141" type="noConversion"/>
  </si>
  <si>
    <t>周边有明城墙遗址公园等，自然及人文环境较好</t>
    <phoneticPr fontId="33" type="noConversion"/>
  </si>
  <si>
    <r>
      <rPr>
        <sz val="11"/>
        <color rgb="FFFF0000"/>
        <rFont val="微软雅黑"/>
        <family val="2"/>
        <charset val="134"/>
      </rPr>
      <t>资产交易</t>
    </r>
    <r>
      <rPr>
        <sz val="11"/>
        <color rgb="FFFF0000"/>
        <rFont val="Arial Unicode MS"/>
        <family val="2"/>
      </rPr>
      <t>、改造</t>
    </r>
    <phoneticPr fontId="141" type="noConversion"/>
  </si>
  <si>
    <t>紧邻城市次干道-北礼士路，距离北京北站约600米，东距西二环约200米，距离2号线（1984年）、4号线（2009年）西直门站约550米，距离2号线（1984年）、6号线（2012年）车公庄站约400米，多条公交线路通达，公共交通便利，综合评价交通便捷度较好。</t>
    <phoneticPr fontId="141" type="noConversion"/>
  </si>
  <si>
    <t>2017（2017.6.28-2017.12.27）</t>
    <phoneticPr fontId="141" type="noConversion"/>
  </si>
  <si>
    <r>
      <t>2018（</t>
    </r>
    <r>
      <rPr>
        <sz val="11"/>
        <color theme="1"/>
        <rFont val="宋体"/>
        <family val="3"/>
        <charset val="134"/>
        <scheme val="minor"/>
      </rPr>
      <t>2017.12.28-2018.12.27）</t>
    </r>
    <phoneticPr fontId="141" type="noConversion"/>
  </si>
  <si>
    <r>
      <t>2019（</t>
    </r>
    <r>
      <rPr>
        <sz val="11"/>
        <color theme="1"/>
        <rFont val="宋体"/>
        <family val="3"/>
        <charset val="134"/>
        <scheme val="minor"/>
      </rPr>
      <t>2018.12.28-2019.12.27）</t>
    </r>
    <phoneticPr fontId="141" type="noConversion"/>
  </si>
  <si>
    <r>
      <t>2020（</t>
    </r>
    <r>
      <rPr>
        <sz val="11"/>
        <color theme="1"/>
        <rFont val="宋体"/>
        <family val="3"/>
        <charset val="134"/>
        <scheme val="minor"/>
      </rPr>
      <t>2019.12.28-2020.12.27）</t>
    </r>
    <phoneticPr fontId="141" type="noConversion"/>
  </si>
  <si>
    <t>建成年代1996年，地上20-28层，地下约100个车位</t>
    <phoneticPr fontId="4" type="noConversion"/>
  </si>
  <si>
    <t>每面积（租金）</t>
    <phoneticPr fontId="141" type="noConversion"/>
  </si>
  <si>
    <t>每层面积（产权）</t>
    <phoneticPr fontId="141" type="noConversion"/>
  </si>
  <si>
    <t>位于东单区域，周边有新闻大厦、东方广场、中国农业银行等，办公集聚度好</t>
    <phoneticPr fontId="33" type="noConversion"/>
  </si>
  <si>
    <t>紧邻城市快速路-东二环，距离地铁2号线（1984年）东四十条站约300米，多条公交线路通达，公共交通便利，综合评价交通便捷度较好。</t>
    <phoneticPr fontId="33" type="noConversion"/>
  </si>
  <si>
    <t>整层</t>
  </si>
  <si>
    <t>整层</t>
    <phoneticPr fontId="33" type="noConversion"/>
  </si>
  <si>
    <t>不完全整栋</t>
    <phoneticPr fontId="33" type="noConversion"/>
  </si>
  <si>
    <t>标准层面积</t>
    <phoneticPr fontId="4" type="noConversion"/>
  </si>
  <si>
    <t>B14</t>
    <phoneticPr fontId="141" type="noConversion"/>
  </si>
  <si>
    <t>较好</t>
    <phoneticPr fontId="33" type="noConversion"/>
  </si>
  <si>
    <t>主路口紧邻城市次干道-南竹杆胡同，距离地铁2号线（1984年）、6号线朝阳门站约300米，多条公交线路通达，公共交通便利，综合评价交通便捷度较好。</t>
    <phoneticPr fontId="33" type="noConversion"/>
  </si>
  <si>
    <t>外装</t>
    <phoneticPr fontId="33" type="noConversion"/>
  </si>
  <si>
    <t>一般</t>
    <phoneticPr fontId="33" type="noConversion"/>
  </si>
  <si>
    <t>一般</t>
    <phoneticPr fontId="33" type="noConversion"/>
  </si>
  <si>
    <t>利用率</t>
    <phoneticPr fontId="33" type="noConversion"/>
  </si>
  <si>
    <t>产权</t>
    <phoneticPr fontId="33" type="noConversion"/>
  </si>
  <si>
    <t>单一产权</t>
    <phoneticPr fontId="33" type="noConversion"/>
  </si>
  <si>
    <t>非单一产权</t>
    <phoneticPr fontId="33" type="noConversion"/>
  </si>
  <si>
    <t>单一产权</t>
    <phoneticPr fontId="33" type="noConversion"/>
  </si>
  <si>
    <t>单一产权</t>
    <phoneticPr fontId="32" type="noConversion"/>
  </si>
  <si>
    <t>非单一产权</t>
    <phoneticPr fontId="32" type="noConversion"/>
  </si>
  <si>
    <t>单一产权</t>
    <phoneticPr fontId="32" type="noConversion"/>
  </si>
  <si>
    <t>非单一产权</t>
    <phoneticPr fontId="32" type="noConversion"/>
  </si>
  <si>
    <t>写字楼1层商业</t>
  </si>
  <si>
    <t>写字楼1层商业</t>
    <phoneticPr fontId="32" type="noConversion"/>
  </si>
  <si>
    <r>
      <rPr>
        <sz val="11"/>
        <color rgb="FFFF0000"/>
        <rFont val="宋体"/>
        <family val="3"/>
        <charset val="134"/>
      </rPr>
      <t>展示面</t>
    </r>
    <r>
      <rPr>
        <sz val="11"/>
        <color rgb="FFFF0000"/>
        <rFont val="Arial"/>
        <family val="2"/>
      </rPr>
      <t>/</t>
    </r>
    <r>
      <rPr>
        <sz val="11"/>
        <color rgb="FFFF0000"/>
        <rFont val="宋体"/>
        <family val="3"/>
        <charset val="134"/>
      </rPr>
      <t>可视性</t>
    </r>
    <phoneticPr fontId="32" type="noConversion"/>
  </si>
  <si>
    <t>产权/统一经营</t>
    <phoneticPr fontId="32" type="noConversion"/>
  </si>
  <si>
    <t>散租</t>
    <phoneticPr fontId="32" type="noConversion"/>
  </si>
  <si>
    <t>西城区广安门内大街118号1号楼，房屋建筑面积为26891.39平方米，其中地上商业建筑面积为17646.37平方米（F1，4691.97平方米，F2：6439.65平方米，F3:6514.75平方米），地下一层建筑面积为9245.02平方米（（地下一层库房建筑面积为 1207.64平方米，平方米，地下一层 员工餐厅建筑面积为760.17 平方米，地下一层汽车库建筑面积为7277.21平方米（车库81个）；），规划用途为车位、库房、汽车库、商业、员工餐厅。配套商业为 2039年2月10日；</t>
    <phoneticPr fontId="4" type="noConversion"/>
  </si>
  <si>
    <t>土地使用权终止日期为2052 年6 月16 日；估价对象位于金宝街2 号雅安国际公寓底商，金宝街以南，东二环路以西，金成建国5 号项目以北，艺华胡同以东。估价对象所在房屋总层数为地上19 层、地下3 层，估价对象所在楼层为地下1 层、地上1 层、地上2 层；地上1层101号2283.81平方米，地上2层201号2857.41平方米；地下1层D01号2114.48平方米</t>
    <phoneticPr fontId="4" type="noConversion"/>
  </si>
  <si>
    <t>结果</t>
    <phoneticPr fontId="141" type="noConversion"/>
  </si>
  <si>
    <t>估价对象位于东四路口的东南角，紧临城市主干道-朝阳门内大街，西距东四南大街100米，距离地铁5号线（2007年通车）与6号线（2012年通车）东四站75米，多条公交线路通达，公共交通便利，停车便捷度好，综合评价交通便捷度较好。</t>
    <phoneticPr fontId="42" type="noConversion"/>
  </si>
  <si>
    <t>紧临城市主干道-崇文门外大街，距离地铁2号线（1984年）前门站、5号线（2007年）崇文门站约200米，周边有多条公交线路通达，公共交通便利，停车便捷度好，综上，交通便捷度较好</t>
    <phoneticPr fontId="33" type="noConversion"/>
  </si>
  <si>
    <t>整栋</t>
  </si>
  <si>
    <t>整栋</t>
    <phoneticPr fontId="141" type="noConversion"/>
  </si>
  <si>
    <t>位于建国门区域，周边有光华长安大厦、中粮广场、湖南大厦、信通大厦等，办公集聚程度较好</t>
    <phoneticPr fontId="141" type="noConversion"/>
  </si>
  <si>
    <t>所在区域有购物场所（中粮广场购物中心、物美超市等），教育机构（北京市汇文第一小学、清华大学附属小学等），医疗网点（北京紫荆医院等），金融网点（中国工商银行、中国银行等），综合分析，公共配套设施齐备程度较好。</t>
    <phoneticPr fontId="141" type="noConversion"/>
  </si>
  <si>
    <t>所在区域有购物场所（中粮广场购物中心、物美超市等），教育机构（北京市汇文第一小学、清北京第二十四中学等），医疗网点（北京紫荆医院等），金融网点（中国工商银行、中国银行等），综合分析，公共配套设施齐备程度较好。</t>
    <phoneticPr fontId="141" type="noConversion"/>
  </si>
  <si>
    <t>整栋</t>
    <phoneticPr fontId="33" type="noConversion"/>
  </si>
  <si>
    <t>产权</t>
    <phoneticPr fontId="141" type="noConversion"/>
  </si>
  <si>
    <t>单一产权</t>
    <phoneticPr fontId="141" type="noConversion"/>
  </si>
  <si>
    <t>主入口紧邻城市次干道-北京站街，东距东二环路约600米，距离北京站约400米，距离2号线（1984年）北京站约200米，多条公交线路通达，公共交通便利，停车便捷度一般，综合评一般。</t>
    <phoneticPr fontId="141" type="noConversion"/>
  </si>
  <si>
    <t>位于建国门区域，周边有京泰大厦、金龙大厦、赛特大厦等，办公集聚程度一般</t>
    <phoneticPr fontId="141" type="noConversion"/>
  </si>
  <si>
    <t>外部可视性</t>
    <phoneticPr fontId="141" type="noConversion"/>
  </si>
  <si>
    <t>好</t>
    <phoneticPr fontId="141" type="noConversion"/>
  </si>
  <si>
    <t>较好</t>
    <phoneticPr fontId="141" type="noConversion"/>
  </si>
  <si>
    <t>主入口紧邻城市支路，北距建国门外大街约300米，距离北京站约800米，距离地铁1号线（1969）、2号线（1984年）建国门站约300米，多条公交线路通达，公共交通便利，综合评价交通便捷度较好。</t>
    <phoneticPr fontId="141" type="noConversion"/>
  </si>
  <si>
    <t>一般</t>
    <phoneticPr fontId="141" type="noConversion"/>
  </si>
  <si>
    <t>北京长安街W酒店</t>
    <phoneticPr fontId="4" type="noConversion"/>
  </si>
  <si>
    <t>朝阳区建国门南大街2号</t>
    <phoneticPr fontId="4" type="noConversion"/>
  </si>
  <si>
    <t>中粮集团</t>
    <phoneticPr fontId="4" type="noConversion"/>
  </si>
  <si>
    <t>天府基金</t>
    <phoneticPr fontId="4" type="noConversion"/>
  </si>
  <si>
    <t>该酒店位于北京市朝阳区建国门南大街2号，高21层，五层为地下室，建筑总面积约62,805平方米，占地总面积约6,746.29平方米，配有349间客房、餐饮设施、会议设施及停车场；此次出售，代价为约为人民币13.6亿元。除支付代价外，天府基金将须偿还股东贷款合共约人民币89.56万元，及结欠大悦城的贷款约人民币6.23亿元。
据此计算，天府基金此次收购共须付出代价约19.9亿元。而大悦城预期就出售事项收取的所得现金款项总额将约为人民币19.84亿元。</t>
    <phoneticPr fontId="4" type="noConversion"/>
  </si>
  <si>
    <t>2014年</t>
    <phoneticPr fontId="4" type="noConversion"/>
  </si>
  <si>
    <r>
      <t>2</t>
    </r>
    <r>
      <rPr>
        <sz val="10"/>
        <rFont val="宋体"/>
        <family val="3"/>
        <charset val="134"/>
      </rPr>
      <t>014年开业</t>
    </r>
    <phoneticPr fontId="4" type="noConversion"/>
  </si>
  <si>
    <t>名称</t>
    <phoneticPr fontId="4" type="noConversion"/>
  </si>
  <si>
    <t>售价</t>
    <phoneticPr fontId="4" type="noConversion"/>
  </si>
  <si>
    <t>租金</t>
    <phoneticPr fontId="4" type="noConversion"/>
  </si>
  <si>
    <t>收益率</t>
    <phoneticPr fontId="4" type="noConversion"/>
  </si>
  <si>
    <t>通州</t>
    <phoneticPr fontId="4" type="noConversion"/>
  </si>
  <si>
    <t>西直门</t>
    <phoneticPr fontId="4" type="noConversion"/>
  </si>
  <si>
    <t>望京</t>
    <phoneticPr fontId="4" type="noConversion"/>
  </si>
  <si>
    <t>朝阳公园</t>
    <phoneticPr fontId="4" type="noConversion"/>
  </si>
  <si>
    <t>建国门</t>
    <phoneticPr fontId="4" type="noConversion"/>
  </si>
  <si>
    <t>立水桥</t>
    <phoneticPr fontId="4" type="noConversion"/>
  </si>
  <si>
    <t>红领巾桥</t>
    <phoneticPr fontId="4" type="noConversion"/>
  </si>
  <si>
    <t>中关村</t>
    <phoneticPr fontId="4" type="noConversion"/>
  </si>
  <si>
    <t>酒仙桥</t>
    <phoneticPr fontId="4" type="noConversion"/>
  </si>
  <si>
    <t>上地</t>
    <phoneticPr fontId="4" type="noConversion"/>
  </si>
  <si>
    <t>建材城</t>
    <phoneticPr fontId="4" type="noConversion"/>
  </si>
  <si>
    <t>右安门</t>
    <phoneticPr fontId="4" type="noConversion"/>
  </si>
  <si>
    <t>王府井</t>
    <phoneticPr fontId="4" type="noConversion"/>
  </si>
  <si>
    <t>达官营</t>
    <phoneticPr fontId="4" type="noConversion"/>
  </si>
  <si>
    <t>东单</t>
    <phoneticPr fontId="4" type="noConversion"/>
  </si>
  <si>
    <t>产权</t>
    <phoneticPr fontId="141" type="noConversion"/>
  </si>
  <si>
    <t>单一产权</t>
    <phoneticPr fontId="141" type="noConversion"/>
  </si>
  <si>
    <t>非单一产权</t>
    <phoneticPr fontId="141" type="noConversion"/>
  </si>
  <si>
    <t>商业综合体</t>
    <phoneticPr fontId="141" type="noConversion"/>
  </si>
  <si>
    <t>高区</t>
    <phoneticPr fontId="33" type="noConversion"/>
  </si>
  <si>
    <t>中区</t>
  </si>
  <si>
    <t>中区</t>
    <phoneticPr fontId="33" type="noConversion"/>
  </si>
  <si>
    <t>低区</t>
  </si>
  <si>
    <t>低区</t>
    <phoneticPr fontId="33" type="noConversion"/>
  </si>
  <si>
    <t>冠名权、广告位</t>
    <phoneticPr fontId="141" type="noConversion"/>
  </si>
  <si>
    <t>稀缺性</t>
    <phoneticPr fontId="141" type="noConversion"/>
  </si>
  <si>
    <t>租期</t>
    <phoneticPr fontId="141" type="noConversion"/>
  </si>
  <si>
    <t>车位配比</t>
    <phoneticPr fontId="141" type="noConversion"/>
  </si>
  <si>
    <t>A</t>
    <phoneticPr fontId="141" type="noConversion"/>
  </si>
  <si>
    <t>B</t>
    <phoneticPr fontId="141" type="noConversion"/>
  </si>
  <si>
    <t>C</t>
    <phoneticPr fontId="141" type="noConversion"/>
  </si>
  <si>
    <t>五矿广场C座</t>
    <phoneticPr fontId="4" type="noConversion"/>
  </si>
  <si>
    <t>A、B</t>
    <phoneticPr fontId="141" type="noConversion"/>
  </si>
  <si>
    <r>
      <t>D、</t>
    </r>
    <r>
      <rPr>
        <sz val="11"/>
        <color theme="1"/>
        <rFont val="宋体"/>
        <family val="3"/>
        <charset val="134"/>
        <scheme val="minor"/>
      </rPr>
      <t>E</t>
    </r>
    <phoneticPr fontId="141" type="noConversion"/>
  </si>
  <si>
    <t>民生金融中心A座</t>
    <phoneticPr fontId="4" type="noConversion"/>
  </si>
  <si>
    <t>位于朝阳门区域，有朝阳SOHO、悠唐中心等购物场所，商业氛围较成熟，人流量较大，商业繁华度较好</t>
    <phoneticPr fontId="32" type="noConversion"/>
  </si>
  <si>
    <r>
      <rPr>
        <sz val="11"/>
        <color rgb="FFFF0000"/>
        <rFont val="宋体"/>
        <family val="3"/>
        <charset val="134"/>
      </rPr>
      <t>临街状况</t>
    </r>
    <phoneticPr fontId="32" type="noConversion"/>
  </si>
  <si>
    <t>位于西直门区域，周边有富通大厦、中仪大厦等，办公集聚程度一般</t>
    <phoneticPr fontId="141" type="noConversion"/>
  </si>
  <si>
    <t>可视性</t>
    <phoneticPr fontId="141" type="noConversion"/>
  </si>
  <si>
    <t>地上合计</t>
    <phoneticPr fontId="141" type="noConversion"/>
  </si>
  <si>
    <t>地下合计</t>
    <phoneticPr fontId="141" type="noConversion"/>
  </si>
  <si>
    <t>比较法</t>
    <phoneticPr fontId="141" type="noConversion"/>
  </si>
  <si>
    <t>还原</t>
    <phoneticPr fontId="141" type="noConversion"/>
  </si>
  <si>
    <t>权重</t>
    <phoneticPr fontId="141" type="noConversion"/>
  </si>
  <si>
    <t>图纸</t>
    <phoneticPr fontId="141" type="noConversion"/>
  </si>
  <si>
    <t>面积</t>
    <phoneticPr fontId="141" type="noConversion"/>
  </si>
  <si>
    <t>租金收益</t>
    <phoneticPr fontId="141" type="noConversion"/>
  </si>
  <si>
    <t>市值</t>
    <phoneticPr fontId="141" type="noConversion"/>
  </si>
  <si>
    <t>还原率</t>
    <phoneticPr fontId="141" type="noConversion"/>
  </si>
  <si>
    <t>2017.12.28</t>
    <phoneticPr fontId="141" type="noConversion"/>
  </si>
  <si>
    <t>2018.12.28</t>
    <phoneticPr fontId="141" type="noConversion"/>
  </si>
  <si>
    <r>
      <t>2</t>
    </r>
    <r>
      <rPr>
        <sz val="11"/>
        <color theme="1"/>
        <rFont val="宋体"/>
        <family val="3"/>
        <charset val="134"/>
        <scheme val="minor"/>
      </rPr>
      <t>019.12.28</t>
    </r>
    <phoneticPr fontId="141" type="noConversion"/>
  </si>
  <si>
    <t>2017.6.28</t>
    <phoneticPr fontId="141" type="noConversion"/>
  </si>
  <si>
    <t>金融街</t>
    <phoneticPr fontId="288" type="noConversion"/>
  </si>
  <si>
    <t>整栋</t>
    <phoneticPr fontId="141" type="noConversion"/>
  </si>
  <si>
    <t>地上</t>
    <phoneticPr fontId="141" type="noConversion"/>
  </si>
  <si>
    <t>东城区朝阳门北大街3号</t>
    <phoneticPr fontId="4" type="noConversion"/>
  </si>
  <si>
    <t>东城区建国门内大街28号</t>
    <phoneticPr fontId="4" type="noConversion"/>
  </si>
  <si>
    <t>南竹杆胡同2号</t>
    <phoneticPr fontId="4" type="noConversion"/>
  </si>
  <si>
    <t>东门仓胡同</t>
    <phoneticPr fontId="33" type="noConversion"/>
  </si>
  <si>
    <t>南竹杆胡同</t>
    <phoneticPr fontId="33" type="noConversion"/>
  </si>
  <si>
    <t>朝阳门内大街2号</t>
    <phoneticPr fontId="4" type="noConversion"/>
  </si>
  <si>
    <t>朝阳门外大街18号</t>
    <phoneticPr fontId="4" type="noConversion"/>
  </si>
  <si>
    <t>崇文门外大街18号</t>
    <phoneticPr fontId="4" type="noConversion"/>
  </si>
  <si>
    <t>租赁类型</t>
    <phoneticPr fontId="141" type="noConversion"/>
  </si>
  <si>
    <t>整租</t>
    <phoneticPr fontId="141" type="noConversion"/>
  </si>
  <si>
    <t>散租</t>
    <phoneticPr fontId="141" type="noConversion"/>
  </si>
  <si>
    <t>东城区东长安街1号</t>
    <phoneticPr fontId="4" type="noConversion"/>
  </si>
  <si>
    <t>东城区香河园街1号</t>
    <phoneticPr fontId="4" type="noConversion"/>
  </si>
  <si>
    <t>租期</t>
    <phoneticPr fontId="33" type="noConversion"/>
  </si>
  <si>
    <t>产别</t>
    <phoneticPr fontId="33" type="noConversion"/>
  </si>
  <si>
    <t>毛坯</t>
    <phoneticPr fontId="33" type="noConversion"/>
  </si>
  <si>
    <t>精装修</t>
    <phoneticPr fontId="33" type="noConversion"/>
  </si>
  <si>
    <t>平面车位</t>
  </si>
  <si>
    <t>平面车位</t>
    <phoneticPr fontId="33" type="noConversion"/>
  </si>
  <si>
    <t>是</t>
    <phoneticPr fontId="33" type="noConversion"/>
  </si>
  <si>
    <t>月总价</t>
    <phoneticPr fontId="141" type="noConversion"/>
  </si>
  <si>
    <r>
      <rPr>
        <sz val="11"/>
        <color theme="9" tint="-0.249977111117893"/>
        <rFont val="宋体"/>
        <family val="3"/>
        <charset val="134"/>
      </rPr>
      <t>西城区北礼士路</t>
    </r>
    <r>
      <rPr>
        <sz val="11"/>
        <color theme="9" tint="-0.249977111117893"/>
        <rFont val="Arial"/>
        <family val="2"/>
      </rPr>
      <t>95</t>
    </r>
    <r>
      <rPr>
        <sz val="11"/>
        <color theme="9" tint="-0.249977111117893"/>
        <rFont val="宋体"/>
        <family val="3"/>
        <charset val="134"/>
      </rPr>
      <t>号</t>
    </r>
    <phoneticPr fontId="141" type="noConversion"/>
  </si>
  <si>
    <t>朝阳区建国门南大街2号</t>
    <phoneticPr fontId="141" type="noConversion"/>
  </si>
  <si>
    <t>东城区建国门内大街18号</t>
    <phoneticPr fontId="141" type="noConversion"/>
  </si>
  <si>
    <t>酒店</t>
  </si>
  <si>
    <t>酒店</t>
    <phoneticPr fontId="141" type="noConversion"/>
  </si>
  <si>
    <t>——</t>
    <phoneticPr fontId="4" type="noConversion"/>
  </si>
  <si>
    <t>增长率</t>
    <phoneticPr fontId="141" type="noConversion"/>
  </si>
  <si>
    <t>资本化率</t>
    <phoneticPr fontId="141" type="noConversion"/>
  </si>
  <si>
    <t>——</t>
    <phoneticPr fontId="4" type="noConversion"/>
  </si>
  <si>
    <t>戴德</t>
    <phoneticPr fontId="141" type="noConversion"/>
  </si>
  <si>
    <t>仲量</t>
    <phoneticPr fontId="141" type="noConversion"/>
  </si>
  <si>
    <t>第一太平</t>
    <phoneticPr fontId="141" type="noConversion"/>
  </si>
  <si>
    <r>
      <rPr>
        <sz val="11"/>
        <color rgb="FFFF0000"/>
        <rFont val="宋体"/>
        <family val="3"/>
        <charset val="134"/>
      </rPr>
      <t>项目停车位配比</t>
    </r>
    <phoneticPr fontId="33" type="noConversion"/>
  </si>
  <si>
    <t>停车便捷度</t>
    <phoneticPr fontId="32" type="noConversion"/>
  </si>
  <si>
    <t>整租风险性</t>
    <phoneticPr fontId="141" type="noConversion"/>
  </si>
  <si>
    <t>售价还原（15.2）</t>
    <phoneticPr fontId="141" type="noConversion"/>
  </si>
  <si>
    <t>0-2.5</t>
    <phoneticPr fontId="141" type="noConversion"/>
  </si>
  <si>
    <t>2.5-3</t>
    <phoneticPr fontId="141" type="noConversion"/>
  </si>
  <si>
    <t>3-3.5</t>
    <phoneticPr fontId="141" type="noConversion"/>
  </si>
  <si>
    <t>结果</t>
    <phoneticPr fontId="141" type="noConversion"/>
  </si>
  <si>
    <t>全市平均（戴德、仲量、第一太平）</t>
    <phoneticPr fontId="288" type="noConversion"/>
  </si>
  <si>
    <t>东二环平均（戴德、仲量）</t>
    <phoneticPr fontId="288" type="noConversion"/>
  </si>
  <si>
    <t>全市平均（戴德、仲量）</t>
    <phoneticPr fontId="288" type="noConversion"/>
  </si>
  <si>
    <t>办公3043.19㎡</t>
    <phoneticPr fontId="141" type="noConversion"/>
  </si>
  <si>
    <t>办公2101.74㎡</t>
    <phoneticPr fontId="141" type="noConversion"/>
  </si>
  <si>
    <t>戴德、仲量平均</t>
    <phoneticPr fontId="141" type="noConversion"/>
  </si>
  <si>
    <t>30-40（含）</t>
  </si>
  <si>
    <t>20-30（含）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</si>
</sst>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 numFmtId="199" formatCode="0.00000000000000%"/>
  </numFmts>
  <fonts count="30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rgb="FFFF0000"/>
      <name val="宋体"/>
      <family val="2"/>
      <scheme val="minor"/>
    </font>
    <font>
      <sz val="11"/>
      <color rgb="FFFF0000"/>
      <name val="宋体"/>
      <family val="3"/>
      <charset val="134"/>
      <scheme val="minor"/>
    </font>
    <font>
      <sz val="9"/>
      <color rgb="FF000000"/>
      <name val="华文细黑"/>
      <family val="3"/>
      <charset val="134"/>
    </font>
    <font>
      <sz val="9"/>
      <color rgb="FF000000"/>
      <name val="Arial"/>
      <family val="2"/>
    </font>
    <font>
      <sz val="9"/>
      <color rgb="FF333333"/>
      <name val="黑体"/>
      <family val="3"/>
      <charset val="134"/>
    </font>
    <font>
      <sz val="9"/>
      <color rgb="FFFF0000"/>
      <name val="华文细黑"/>
      <family val="3"/>
      <charset val="134"/>
    </font>
    <font>
      <sz val="11"/>
      <color theme="1"/>
      <name val="宋体"/>
      <family val="3"/>
      <charset val="134"/>
      <scheme val="minor"/>
    </font>
    <font>
      <sz val="11"/>
      <color rgb="FF000000"/>
      <name val="宋体"/>
      <family val="2"/>
      <charset val="134"/>
    </font>
    <font>
      <sz val="11"/>
      <name val="宋体"/>
      <family val="2"/>
      <charset val="134"/>
    </font>
    <font>
      <b/>
      <sz val="11"/>
      <color rgb="FFFFFFFF"/>
      <name val="Arial Unicode MS"/>
      <family val="2"/>
    </font>
    <font>
      <sz val="11"/>
      <color theme="1"/>
      <name val="Arial Unicode MS"/>
      <family val="2"/>
    </font>
    <font>
      <sz val="11"/>
      <name val="Arial Unicode MS"/>
      <family val="2"/>
    </font>
    <font>
      <sz val="11"/>
      <color rgb="FFFF0000"/>
      <name val="Arial Unicode MS"/>
      <family val="2"/>
    </font>
    <font>
      <sz val="11"/>
      <color rgb="FFFF0000"/>
      <name val="微软雅黑"/>
      <family val="2"/>
      <charset val="134"/>
    </font>
    <font>
      <sz val="11"/>
      <name val="微软雅黑"/>
      <family val="2"/>
      <charset val="134"/>
    </font>
    <font>
      <sz val="10"/>
      <color theme="9" tint="-0.249977111117893"/>
      <name val="宋体"/>
      <family val="2"/>
      <charset val="134"/>
    </font>
    <font>
      <sz val="11"/>
      <name val="Arial"/>
      <family val="2"/>
      <charset val="134"/>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0.5"/>
      <color rgb="FF000000"/>
      <name val="华文细黑"/>
      <family val="3"/>
      <charset val="134"/>
    </font>
    <font>
      <sz val="10.5"/>
      <color rgb="FF000000"/>
      <name val="Arial"/>
      <family val="2"/>
    </font>
    <font>
      <sz val="11"/>
      <name val="宋体"/>
      <family val="3"/>
      <charset val="134"/>
      <scheme val="minor"/>
    </font>
    <font>
      <sz val="11"/>
      <color theme="9" tint="-0.249977111117893"/>
      <name val="宋体"/>
      <family val="2"/>
      <charset val="134"/>
    </font>
    <font>
      <sz val="10.5"/>
      <color rgb="FFFF0000"/>
      <name val="华文细黑"/>
      <family val="3"/>
      <charset val="134"/>
    </font>
    <font>
      <sz val="10.5"/>
      <name val="华文细黑"/>
      <family val="3"/>
      <charset val="134"/>
    </font>
    <font>
      <b/>
      <sz val="11"/>
      <color rgb="FFFF0000"/>
      <name val="Arial Unicode MS"/>
      <family val="2"/>
    </font>
    <font>
      <sz val="11"/>
      <color rgb="FFFF0000"/>
      <name val="Arial Unicode MS"/>
      <family val="2"/>
      <charset val="134"/>
    </font>
    <font>
      <sz val="11"/>
      <color rgb="FFFF0000"/>
      <name val="宋体"/>
      <family val="2"/>
      <charset val="134"/>
    </font>
    <font>
      <b/>
      <sz val="9"/>
      <color rgb="FF000000"/>
      <name val="宋体"/>
      <family val="3"/>
      <charset val="134"/>
    </font>
    <font>
      <sz val="9"/>
      <color rgb="FF000000"/>
      <name val="宋体"/>
      <family val="3"/>
      <charset val="134"/>
    </font>
    <font>
      <sz val="11"/>
      <color theme="9" tint="-0.249977111117893"/>
      <name val="Arial"/>
      <family val="3"/>
      <charset val="134"/>
    </font>
  </fonts>
  <fills count="3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8" tint="0.79998168889431442"/>
        <bgColor indexed="64"/>
      </patternFill>
    </fill>
    <fill>
      <patternFill patternType="solid">
        <fgColor rgb="FFF8F8F8"/>
        <bgColor indexed="64"/>
      </patternFill>
    </fill>
    <fill>
      <patternFill patternType="solid">
        <fgColor rgb="FFC5D9F1"/>
        <bgColor indexed="64"/>
      </patternFill>
    </fill>
    <fill>
      <patternFill patternType="solid">
        <fgColor rgb="FFFDE9D9"/>
        <bgColor indexed="64"/>
      </patternFill>
    </fill>
    <fill>
      <patternFill patternType="solid">
        <fgColor rgb="FFE2EFD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70" fillId="0" borderId="0" applyNumberFormat="0" applyFill="0" applyBorder="0" applyAlignment="0" applyProtection="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cellStyleXfs>
  <cellXfs count="396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99" fillId="0" borderId="0" xfId="10">
      <alignment vertical="center"/>
    </xf>
    <xf numFmtId="0" fontId="255" fillId="0" borderId="1" xfId="10" applyFont="1" applyBorder="1" applyAlignment="1">
      <alignment horizontal="left" vertical="center" wrapText="1" shrinkToFit="1"/>
    </xf>
    <xf numFmtId="9" fontId="256" fillId="0" borderId="1" xfId="10" applyNumberFormat="1" applyFont="1" applyBorder="1" applyAlignment="1">
      <alignment horizontal="center" vertical="center" wrapText="1" shrinkToFit="1"/>
    </xf>
    <xf numFmtId="0" fontId="99" fillId="0" borderId="0" xfId="10" applyAlignment="1"/>
    <xf numFmtId="0" fontId="99" fillId="0" borderId="0" xfId="10" applyAlignment="1">
      <alignment vertical="center" wrapText="1"/>
    </xf>
    <xf numFmtId="49" fontId="115" fillId="0" borderId="1" xfId="10" applyNumberFormat="1" applyFont="1" applyBorder="1" applyAlignment="1">
      <alignment horizontal="center" vertical="center" wrapText="1" shrinkToFit="1"/>
    </xf>
    <xf numFmtId="0" fontId="115" fillId="0" borderId="1" xfId="10" applyFont="1" applyBorder="1" applyAlignment="1">
      <alignment vertical="center" wrapText="1" shrinkToFit="1"/>
    </xf>
    <xf numFmtId="0" fontId="115" fillId="0" borderId="1" xfId="10" applyFont="1" applyBorder="1" applyAlignment="1">
      <alignment horizontal="center" vertical="center" wrapText="1" shrinkToFit="1"/>
    </xf>
    <xf numFmtId="49" fontId="255" fillId="0" borderId="1" xfId="10" applyNumberFormat="1" applyFont="1" applyBorder="1" applyAlignment="1">
      <alignment horizontal="center" vertical="center" wrapText="1" shrinkToFit="1"/>
    </xf>
    <xf numFmtId="0" fontId="112" fillId="0" borderId="0" xfId="10" applyFont="1" applyAlignment="1">
      <alignment wrapText="1"/>
    </xf>
    <xf numFmtId="0" fontId="115" fillId="0" borderId="1" xfId="10" applyFont="1" applyBorder="1" applyAlignment="1">
      <alignment horizontal="left" vertical="center" wrapText="1" shrinkToFit="1"/>
    </xf>
    <xf numFmtId="179" fontId="115" fillId="0" borderId="1" xfId="10" applyNumberFormat="1" applyFont="1" applyBorder="1" applyAlignment="1">
      <alignment horizontal="center" vertical="center" wrapText="1" shrinkToFit="1"/>
    </xf>
    <xf numFmtId="9" fontId="115" fillId="0" borderId="1" xfId="10" applyNumberFormat="1" applyFont="1" applyBorder="1" applyAlignment="1">
      <alignment horizontal="left" vertical="center" wrapText="1" shrinkToFit="1"/>
    </xf>
    <xf numFmtId="181" fontId="259" fillId="0" borderId="1" xfId="10" applyNumberFormat="1" applyFont="1" applyBorder="1" applyAlignment="1">
      <alignment horizontal="center" vertical="center" wrapText="1" shrinkToFit="1"/>
    </xf>
    <xf numFmtId="9" fontId="260" fillId="0" borderId="1" xfId="10" applyNumberFormat="1" applyFont="1" applyBorder="1" applyAlignment="1">
      <alignment horizontal="center" vertical="center" wrapText="1"/>
    </xf>
    <xf numFmtId="179" fontId="259" fillId="0" borderId="1" xfId="10" applyNumberFormat="1" applyFont="1" applyBorder="1" applyAlignment="1">
      <alignment horizontal="center" vertical="center" wrapText="1" shrinkToFit="1"/>
    </xf>
    <xf numFmtId="0" fontId="115" fillId="0" borderId="0" xfId="10" applyFont="1" applyAlignment="1">
      <alignment horizontal="center" vertical="center"/>
    </xf>
    <xf numFmtId="9" fontId="261" fillId="20" borderId="1" xfId="10" applyNumberFormat="1" applyFont="1" applyFill="1" applyBorder="1" applyAlignment="1">
      <alignment horizontal="center" vertical="center" wrapText="1"/>
    </xf>
    <xf numFmtId="0" fontId="99" fillId="0" borderId="0" xfId="10" applyAlignment="1">
      <alignment vertical="center" wrapText="1" shrinkToFit="1"/>
    </xf>
    <xf numFmtId="179" fontId="115" fillId="0" borderId="0" xfId="10" applyNumberFormat="1" applyFont="1" applyAlignment="1">
      <alignment horizontal="center" vertical="center"/>
    </xf>
    <xf numFmtId="0" fontId="112" fillId="0" borderId="1" xfId="10" applyFont="1" applyBorder="1" applyAlignment="1">
      <alignment vertical="center" wrapText="1"/>
    </xf>
    <xf numFmtId="0" fontId="112" fillId="0" borderId="1" xfId="10" applyFont="1" applyBorder="1" applyAlignment="1">
      <alignment horizontal="center" vertical="center" wrapText="1"/>
    </xf>
    <xf numFmtId="9" fontId="255" fillId="0" borderId="1" xfId="10" applyNumberFormat="1" applyFont="1" applyBorder="1" applyAlignment="1">
      <alignment horizontal="center" vertical="center" wrapText="1"/>
    </xf>
    <xf numFmtId="9" fontId="112" fillId="0" borderId="1" xfId="10" applyNumberFormat="1" applyFont="1" applyBorder="1" applyAlignment="1">
      <alignment horizontal="center" vertical="center" wrapText="1"/>
    </xf>
    <xf numFmtId="179" fontId="262" fillId="0" borderId="0" xfId="10" applyNumberFormat="1" applyFont="1">
      <alignment vertical="center"/>
    </xf>
    <xf numFmtId="10" fontId="112" fillId="0" borderId="1" xfId="10" applyNumberFormat="1" applyFont="1" applyBorder="1" applyAlignment="1">
      <alignment horizontal="center" vertical="center" wrapText="1"/>
    </xf>
    <xf numFmtId="9" fontId="112" fillId="20" borderId="1" xfId="10" applyNumberFormat="1" applyFont="1" applyFill="1" applyBorder="1" applyAlignment="1">
      <alignment horizontal="center" vertical="center" wrapText="1"/>
    </xf>
    <xf numFmtId="10" fontId="118" fillId="0" borderId="1" xfId="10" applyNumberFormat="1" applyFont="1" applyBorder="1" applyAlignment="1">
      <alignment horizontal="center" vertical="center" wrapText="1"/>
    </xf>
    <xf numFmtId="0" fontId="112" fillId="0" borderId="1" xfId="10" applyFont="1" applyBorder="1" applyAlignment="1">
      <alignment wrapText="1"/>
    </xf>
    <xf numFmtId="0" fontId="129" fillId="0" borderId="0" xfId="1" applyFont="1" applyAlignment="1" applyProtection="1">
      <alignment horizontal="left" vertical="center"/>
      <protection hidden="1"/>
    </xf>
    <xf numFmtId="179" fontId="262" fillId="0" borderId="0" xfId="10" applyNumberFormat="1" applyFont="1" applyAlignment="1">
      <alignment vertical="center" wrapText="1" shrinkToFit="1"/>
    </xf>
    <xf numFmtId="181" fontId="115" fillId="0" borderId="0" xfId="10" applyNumberFormat="1" applyFont="1" applyAlignment="1">
      <alignment horizontal="center" vertical="center"/>
    </xf>
    <xf numFmtId="179" fontId="99" fillId="0" borderId="0" xfId="10" applyNumberFormat="1">
      <alignment vertical="center"/>
    </xf>
    <xf numFmtId="49" fontId="115" fillId="0" borderId="13" xfId="10" applyNumberFormat="1" applyFont="1" applyBorder="1" applyAlignment="1">
      <alignment horizontal="center" vertical="center" wrapText="1" shrinkToFit="1"/>
    </xf>
    <xf numFmtId="0" fontId="115" fillId="0" borderId="13" xfId="10" applyFont="1" applyBorder="1" applyAlignment="1">
      <alignment vertical="center" wrapText="1" shrinkToFi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180" fontId="115" fillId="0" borderId="54" xfId="10" applyNumberFormat="1" applyFont="1" applyBorder="1" applyAlignment="1">
      <alignment horizontal="center" vertical="center" wrapText="1" shrinkToFit="1"/>
    </xf>
    <xf numFmtId="0" fontId="115" fillId="0" borderId="3" xfId="10" applyFont="1" applyBorder="1" applyAlignment="1">
      <alignment horizontal="left" vertical="center" wrapText="1" shrinkToFit="1"/>
    </xf>
    <xf numFmtId="10" fontId="115" fillId="0" borderId="1" xfId="10" applyNumberFormat="1" applyFont="1" applyBorder="1" applyAlignment="1">
      <alignment horizontal="center" vertical="center" wrapText="1" shrinkToFit="1"/>
    </xf>
    <xf numFmtId="9" fontId="115" fillId="0" borderId="0" xfId="10" applyNumberFormat="1" applyFont="1" applyAlignment="1">
      <alignment horizontal="center" vertical="center"/>
    </xf>
    <xf numFmtId="0" fontId="115" fillId="0" borderId="5" xfId="10" applyFont="1" applyBorder="1" applyAlignment="1">
      <alignment horizontal="right" vertical="center" wrapText="1" shrinkToFit="1"/>
    </xf>
    <xf numFmtId="49" fontId="115" fillId="0" borderId="54" xfId="10" applyNumberFormat="1" applyFont="1" applyBorder="1" applyAlignment="1">
      <alignment horizontal="center" vertical="center" wrapText="1" shrinkToFit="1"/>
    </xf>
    <xf numFmtId="10" fontId="116" fillId="0" borderId="0" xfId="10" applyNumberFormat="1" applyFont="1" applyAlignment="1">
      <alignment horizontal="center" vertical="center"/>
    </xf>
    <xf numFmtId="0" fontId="263" fillId="0" borderId="0" xfId="10" applyFont="1">
      <alignment vertical="center"/>
    </xf>
    <xf numFmtId="183" fontId="115" fillId="0" borderId="0" xfId="10" applyNumberFormat="1" applyFont="1" applyAlignment="1">
      <alignment horizontal="center" vertical="center"/>
    </xf>
    <xf numFmtId="9" fontId="115" fillId="0" borderId="1" xfId="10" applyNumberFormat="1" applyFont="1" applyBorder="1" applyAlignment="1">
      <alignment horizontal="center" vertical="center" wrapText="1" shrinkToFit="1"/>
    </xf>
    <xf numFmtId="10" fontId="115" fillId="0" borderId="0" xfId="10" applyNumberFormat="1" applyFont="1" applyAlignment="1">
      <alignment horizontal="center" vertical="center"/>
    </xf>
    <xf numFmtId="0" fontId="99" fillId="0" borderId="0" xfId="10" applyAlignment="1">
      <alignment horizontal="left" vertical="center" wrapText="1"/>
    </xf>
    <xf numFmtId="0" fontId="99" fillId="0" borderId="0" xfId="10" applyAlignment="1">
      <alignment horizontal="center" vertical="center" wrapText="1"/>
    </xf>
    <xf numFmtId="0" fontId="262" fillId="0" borderId="0" xfId="10" applyFont="1" applyAlignment="1">
      <alignment horizontal="center" vertical="center" wrapText="1"/>
    </xf>
    <xf numFmtId="0" fontId="262" fillId="0" borderId="0" xfId="10" applyFont="1" applyAlignment="1">
      <alignment vertical="center" wrapText="1"/>
    </xf>
    <xf numFmtId="0" fontId="141" fillId="0" borderId="1" xfId="10" applyFont="1" applyBorder="1" applyAlignment="1">
      <alignment horizontal="center" vertical="center" wrapText="1"/>
    </xf>
    <xf numFmtId="9" fontId="141" fillId="0" borderId="1" xfId="10" applyNumberFormat="1" applyFont="1" applyBorder="1" applyAlignment="1">
      <alignment horizontal="center" vertical="center" wrapText="1"/>
    </xf>
    <xf numFmtId="178" fontId="141" fillId="0" borderId="1" xfId="10" applyNumberFormat="1" applyFont="1" applyBorder="1" applyAlignment="1">
      <alignment horizontal="center" vertical="center" wrapText="1"/>
    </xf>
    <xf numFmtId="0" fontId="268" fillId="0" borderId="0" xfId="10" applyFont="1" applyAlignment="1">
      <alignment horizontal="center" vertical="center" wrapText="1"/>
    </xf>
    <xf numFmtId="0" fontId="262" fillId="0" borderId="1" xfId="10" applyFont="1" applyBorder="1" applyAlignment="1">
      <alignment horizontal="center" vertical="center" wrapText="1"/>
    </xf>
    <xf numFmtId="0" fontId="262" fillId="0" borderId="0" xfId="10" applyFont="1" applyAlignment="1">
      <alignment horizontal="left" vertical="center" wrapText="1"/>
    </xf>
    <xf numFmtId="179" fontId="262" fillId="0" borderId="0" xfId="10" applyNumberFormat="1" applyFont="1" applyAlignment="1">
      <alignment vertical="center" wrapText="1"/>
    </xf>
    <xf numFmtId="178" fontId="99" fillId="0" borderId="0" xfId="10" applyNumberFormat="1" applyAlignment="1">
      <alignment vertical="center" wrapText="1"/>
    </xf>
    <xf numFmtId="0" fontId="235" fillId="0" borderId="24" xfId="0" applyFont="1" applyBorder="1" applyAlignment="1" applyProtection="1">
      <alignment vertical="center" wrapText="1"/>
      <protection locked="0"/>
    </xf>
    <xf numFmtId="14" fontId="50" fillId="6" borderId="0" xfId="0" applyNumberFormat="1" applyFont="1" applyFill="1" applyAlignment="1" applyProtection="1">
      <alignment vertical="center" wrapText="1"/>
      <protection locked="0"/>
    </xf>
    <xf numFmtId="0" fontId="0" fillId="22" borderId="0" xfId="0" applyFill="1" applyAlignment="1">
      <alignment horizontal="left" vertical="center" wrapText="1"/>
    </xf>
    <xf numFmtId="0" fontId="271" fillId="22" borderId="0" xfId="0" applyFont="1" applyFill="1" applyAlignment="1">
      <alignment horizontal="left" vertical="center" wrapText="1"/>
    </xf>
    <xf numFmtId="10" fontId="0" fillId="22" borderId="0" xfId="0" applyNumberFormat="1" applyFill="1" applyAlignment="1">
      <alignment horizontal="left" vertical="center" wrapText="1"/>
    </xf>
    <xf numFmtId="0" fontId="0" fillId="24" borderId="0" xfId="0" applyFill="1" applyAlignment="1">
      <alignment horizontal="left" vertical="center" wrapText="1"/>
    </xf>
    <xf numFmtId="0" fontId="272" fillId="24" borderId="0" xfId="0" applyFont="1" applyFill="1" applyAlignment="1">
      <alignment horizontal="left" vertical="center" wrapText="1"/>
    </xf>
    <xf numFmtId="10" fontId="0" fillId="0" borderId="0" xfId="0" applyNumberFormat="1" applyAlignment="1">
      <alignment horizontal="left" vertical="center" wrapText="1"/>
    </xf>
    <xf numFmtId="0" fontId="0" fillId="0" borderId="0" xfId="0" applyAlignment="1">
      <alignment horizontal="left" vertical="center" wrapText="1"/>
    </xf>
    <xf numFmtId="0" fontId="0" fillId="5" borderId="0" xfId="0" applyFill="1" applyAlignment="1">
      <alignment horizontal="left" vertical="center" wrapText="1"/>
    </xf>
    <xf numFmtId="0" fontId="272" fillId="5" borderId="0" xfId="0" applyFont="1" applyFill="1" applyAlignment="1">
      <alignment horizontal="left" vertical="center" wrapText="1"/>
    </xf>
    <xf numFmtId="0" fontId="272" fillId="0" borderId="0" xfId="0" applyFont="1" applyAlignment="1">
      <alignment horizontal="left" vertical="center" wrapText="1"/>
    </xf>
    <xf numFmtId="0" fontId="0" fillId="24" borderId="0" xfId="0" applyFill="1" applyAlignment="1">
      <alignment vertical="center" wrapText="1"/>
    </xf>
    <xf numFmtId="49" fontId="0" fillId="24" borderId="0" xfId="0" applyNumberFormat="1" applyFill="1" applyAlignment="1">
      <alignment horizontal="left" vertical="center" wrapText="1"/>
    </xf>
    <xf numFmtId="49" fontId="0" fillId="0" borderId="0" xfId="0" applyNumberFormat="1" applyAlignment="1">
      <alignment horizontal="left" vertical="center" wrapText="1"/>
    </xf>
    <xf numFmtId="0" fontId="273" fillId="0" borderId="158" xfId="0" applyFont="1" applyBorder="1" applyAlignment="1">
      <alignment horizontal="justify" vertical="center" wrapText="1"/>
    </xf>
    <xf numFmtId="0" fontId="274" fillId="0" borderId="159" xfId="0" applyFont="1" applyBorder="1" applyAlignment="1">
      <alignment horizontal="justify" vertical="center" wrapText="1"/>
    </xf>
    <xf numFmtId="0" fontId="273" fillId="0" borderId="159" xfId="0" applyFont="1" applyBorder="1" applyAlignment="1">
      <alignment horizontal="justify" vertical="center" wrapText="1"/>
    </xf>
    <xf numFmtId="49" fontId="0" fillId="5" borderId="0" xfId="0" applyNumberFormat="1" applyFill="1" applyAlignment="1">
      <alignment horizontal="left" vertical="center" wrapText="1"/>
    </xf>
    <xf numFmtId="0" fontId="275" fillId="0" borderId="159" xfId="0" applyFont="1" applyBorder="1" applyAlignment="1">
      <alignment horizontal="justify" vertical="center" wrapText="1"/>
    </xf>
    <xf numFmtId="9" fontId="0" fillId="0" borderId="0" xfId="0" applyNumberFormat="1" applyAlignment="1">
      <alignment horizontal="left" vertical="center" wrapText="1"/>
    </xf>
    <xf numFmtId="0" fontId="135" fillId="0" borderId="5" xfId="0" applyFont="1" applyFill="1" applyBorder="1" applyAlignment="1" applyProtection="1">
      <alignment horizontal="center" vertical="center" wrapText="1"/>
      <protection locked="0"/>
    </xf>
    <xf numFmtId="0" fontId="0" fillId="23" borderId="1" xfId="0" applyFill="1" applyBorder="1" applyAlignment="1">
      <alignment horizontal="left" vertical="center" wrapText="1"/>
    </xf>
    <xf numFmtId="10" fontId="0" fillId="5" borderId="0" xfId="0" applyNumberFormat="1" applyFill="1" applyAlignment="1">
      <alignment horizontal="left" vertical="center" wrapText="1"/>
    </xf>
    <xf numFmtId="0" fontId="0" fillId="0" borderId="0" xfId="0" applyFill="1" applyAlignment="1">
      <alignment horizontal="left" vertical="center" wrapText="1"/>
    </xf>
    <xf numFmtId="0" fontId="272" fillId="0" borderId="0" xfId="0" applyFont="1" applyFill="1" applyAlignment="1">
      <alignment horizontal="left" vertical="center" wrapText="1"/>
    </xf>
    <xf numFmtId="49" fontId="0" fillId="0" borderId="0" xfId="0" applyNumberFormat="1" applyFill="1" applyAlignment="1">
      <alignment horizontal="left" vertical="center" wrapText="1"/>
    </xf>
    <xf numFmtId="10" fontId="0" fillId="0" borderId="0" xfId="0" applyNumberFormat="1" applyFill="1" applyAlignment="1">
      <alignment horizontal="left" vertical="center" wrapText="1"/>
    </xf>
    <xf numFmtId="0" fontId="0" fillId="0" borderId="0" xfId="0" applyFill="1" applyAlignment="1">
      <alignment vertical="center" wrapText="1"/>
    </xf>
    <xf numFmtId="0" fontId="0" fillId="25" borderId="0" xfId="0" applyFill="1" applyAlignment="1">
      <alignment horizontal="left" vertical="center" wrapText="1"/>
    </xf>
    <xf numFmtId="0" fontId="272" fillId="25" borderId="0" xfId="0" applyFont="1" applyFill="1" applyAlignment="1">
      <alignment horizontal="left" vertical="center" wrapText="1"/>
    </xf>
    <xf numFmtId="0" fontId="272" fillId="22" borderId="0" xfId="0" applyFont="1" applyFill="1" applyAlignment="1">
      <alignment horizontal="left" vertical="center" wrapText="1"/>
    </xf>
    <xf numFmtId="0" fontId="236" fillId="0" borderId="159" xfId="0" applyFont="1" applyBorder="1" applyAlignment="1">
      <alignment horizontal="justify" vertical="center" wrapText="1"/>
    </xf>
    <xf numFmtId="0" fontId="99" fillId="0" borderId="0" xfId="0" applyFont="1" applyAlignment="1">
      <alignment horizontal="left" vertical="center" wrapText="1"/>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0" borderId="37"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0" borderId="0" xfId="0" applyAlignment="1">
      <alignment horizontal="center" vertical="center" wrapText="1"/>
    </xf>
    <xf numFmtId="0" fontId="272" fillId="0" borderId="0" xfId="0" applyFont="1" applyAlignment="1">
      <alignment horizontal="center" vertical="center" wrapText="1"/>
    </xf>
    <xf numFmtId="10" fontId="0" fillId="0" borderId="0" xfId="0" applyNumberFormat="1" applyAlignment="1">
      <alignment horizontal="center" vertical="center" wrapText="1"/>
    </xf>
    <xf numFmtId="0" fontId="279" fillId="0" borderId="9" xfId="0" applyNumberFormat="1" applyFont="1" applyFill="1" applyBorder="1" applyAlignment="1" applyProtection="1">
      <alignment horizontal="center" vertical="center" wrapText="1"/>
      <protection locked="0"/>
    </xf>
    <xf numFmtId="0" fontId="279" fillId="0" borderId="37" xfId="0" applyNumberFormat="1" applyFont="1" applyFill="1" applyBorder="1" applyAlignment="1" applyProtection="1">
      <alignment horizontal="center" vertical="center" wrapText="1"/>
      <protection locked="0"/>
    </xf>
    <xf numFmtId="0" fontId="278" fillId="0" borderId="51" xfId="0" applyNumberFormat="1" applyFont="1" applyFill="1" applyBorder="1" applyAlignment="1" applyProtection="1">
      <alignment horizontal="center" vertical="center" wrapText="1"/>
      <protection locked="0"/>
    </xf>
    <xf numFmtId="0" fontId="278" fillId="0" borderId="44" xfId="0" applyNumberFormat="1" applyFont="1" applyFill="1" applyBorder="1" applyAlignment="1" applyProtection="1">
      <alignment horizontal="center" vertical="center" wrapText="1"/>
      <protection locked="0"/>
    </xf>
    <xf numFmtId="0" fontId="280" fillId="26" borderId="1" xfId="0" applyFont="1" applyFill="1" applyBorder="1" applyAlignment="1">
      <alignment vertical="center" wrapText="1" readingOrder="1"/>
    </xf>
    <xf numFmtId="0" fontId="280" fillId="26" borderId="0" xfId="0" applyFont="1" applyFill="1" applyAlignment="1">
      <alignment vertical="center" wrapText="1" readingOrder="1"/>
    </xf>
    <xf numFmtId="0" fontId="99" fillId="0" borderId="0" xfId="0" applyFont="1">
      <alignment vertical="center"/>
    </xf>
    <xf numFmtId="0" fontId="282" fillId="7" borderId="1" xfId="0" applyFont="1" applyFill="1" applyBorder="1">
      <alignment vertical="center"/>
    </xf>
    <xf numFmtId="0" fontId="282" fillId="7" borderId="1" xfId="0" applyFont="1" applyFill="1" applyBorder="1" applyAlignment="1">
      <alignment vertical="center" wrapText="1"/>
    </xf>
    <xf numFmtId="197" fontId="282" fillId="7" borderId="1" xfId="18" applyNumberFormat="1" applyFont="1" applyFill="1" applyBorder="1" applyAlignment="1">
      <alignment vertical="center" wrapText="1"/>
    </xf>
    <xf numFmtId="43" fontId="282" fillId="7" borderId="1" xfId="18" applyFont="1" applyFill="1" applyBorder="1" applyAlignment="1">
      <alignment vertical="center" wrapText="1"/>
    </xf>
    <xf numFmtId="190" fontId="282" fillId="7" borderId="1" xfId="18" applyNumberFormat="1" applyFont="1" applyFill="1" applyBorder="1" applyAlignment="1">
      <alignment vertical="center" wrapText="1"/>
    </xf>
    <xf numFmtId="198" fontId="282" fillId="7" borderId="1" xfId="18" applyNumberFormat="1" applyFont="1" applyFill="1" applyBorder="1" applyAlignment="1">
      <alignment vertical="center" wrapText="1"/>
    </xf>
    <xf numFmtId="10" fontId="282" fillId="7" borderId="1" xfId="18" applyNumberFormat="1" applyFont="1" applyFill="1" applyBorder="1" applyAlignment="1">
      <alignment vertical="center" wrapText="1"/>
    </xf>
    <xf numFmtId="9" fontId="0" fillId="0" borderId="0" xfId="19" applyFont="1" applyAlignment="1">
      <alignment vertical="center"/>
    </xf>
    <xf numFmtId="0" fontId="283" fillId="7" borderId="1" xfId="0" applyFont="1" applyFill="1" applyBorder="1" applyAlignment="1">
      <alignment vertical="center" wrapText="1"/>
    </xf>
    <xf numFmtId="197" fontId="283" fillId="7" borderId="1" xfId="18" applyNumberFormat="1" applyFont="1" applyFill="1" applyBorder="1" applyAlignment="1">
      <alignment vertical="center" wrapText="1"/>
    </xf>
    <xf numFmtId="43" fontId="283" fillId="7" borderId="1" xfId="18" applyFont="1" applyFill="1" applyBorder="1" applyAlignment="1">
      <alignment vertical="center" wrapText="1"/>
    </xf>
    <xf numFmtId="190" fontId="283" fillId="7" borderId="1" xfId="18" applyNumberFormat="1" applyFont="1" applyFill="1" applyBorder="1" applyAlignment="1">
      <alignment vertical="center" wrapText="1"/>
    </xf>
    <xf numFmtId="198" fontId="283" fillId="7" borderId="1" xfId="18" applyNumberFormat="1" applyFont="1" applyFill="1" applyBorder="1" applyAlignment="1">
      <alignment vertical="center" wrapText="1"/>
    </xf>
    <xf numFmtId="10" fontId="283" fillId="7" borderId="1" xfId="18" applyNumberFormat="1" applyFont="1" applyFill="1" applyBorder="1" applyAlignment="1">
      <alignment vertical="center" wrapText="1"/>
    </xf>
    <xf numFmtId="10" fontId="284" fillId="7" borderId="1" xfId="18" applyNumberFormat="1" applyFont="1" applyFill="1" applyBorder="1" applyAlignment="1">
      <alignment vertical="center" wrapText="1"/>
    </xf>
    <xf numFmtId="43" fontId="282" fillId="7" borderId="0" xfId="18" applyFont="1" applyFill="1" applyBorder="1" applyAlignment="1">
      <alignment vertical="center" wrapText="1"/>
    </xf>
    <xf numFmtId="0" fontId="281" fillId="7" borderId="1" xfId="1" applyFont="1" applyFill="1" applyBorder="1" applyAlignment="1">
      <alignment vertical="center" wrapText="1"/>
    </xf>
    <xf numFmtId="3" fontId="281" fillId="7" borderId="1" xfId="1" applyNumberFormat="1" applyFont="1" applyFill="1" applyBorder="1" applyAlignment="1">
      <alignment vertical="center" wrapText="1"/>
    </xf>
    <xf numFmtId="198" fontId="281" fillId="0" borderId="1" xfId="0" applyNumberFormat="1" applyFont="1" applyBorder="1">
      <alignment vertical="center"/>
    </xf>
    <xf numFmtId="198" fontId="281" fillId="0" borderId="0" xfId="0" applyNumberFormat="1" applyFont="1">
      <alignment vertical="center"/>
    </xf>
    <xf numFmtId="41" fontId="281" fillId="7" borderId="1" xfId="1" applyNumberFormat="1" applyFont="1" applyFill="1" applyBorder="1" applyAlignment="1">
      <alignment vertical="center" wrapText="1"/>
    </xf>
    <xf numFmtId="197" fontId="281" fillId="7" borderId="1" xfId="1" applyNumberFormat="1" applyFont="1" applyFill="1" applyBorder="1" applyAlignment="1">
      <alignment vertical="center" wrapText="1"/>
    </xf>
    <xf numFmtId="10" fontId="0" fillId="0" borderId="0" xfId="0" applyNumberFormat="1">
      <alignment vertical="center"/>
    </xf>
    <xf numFmtId="198" fontId="282" fillId="27" borderId="1" xfId="18" applyNumberFormat="1" applyFont="1" applyFill="1" applyBorder="1" applyAlignment="1">
      <alignment vertical="center" wrapText="1"/>
    </xf>
    <xf numFmtId="10" fontId="282" fillId="27" borderId="1" xfId="18" applyNumberFormat="1" applyFont="1" applyFill="1" applyBorder="1" applyAlignment="1">
      <alignment vertical="center" wrapText="1"/>
    </xf>
    <xf numFmtId="0" fontId="272" fillId="0" borderId="0" xfId="0" applyFont="1">
      <alignment vertical="center"/>
    </xf>
    <xf numFmtId="186" fontId="47" fillId="13" borderId="0" xfId="0" applyNumberFormat="1" applyFont="1" applyFill="1" applyBorder="1" applyAlignment="1" applyProtection="1">
      <alignment horizontal="center" vertical="center" wrapText="1"/>
      <protection locked="0"/>
    </xf>
    <xf numFmtId="186" fontId="47" fillId="13"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269"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86" fillId="0" borderId="49" xfId="0" applyFont="1" applyBorder="1" applyAlignment="1" applyProtection="1">
      <alignment vertical="center"/>
      <protection locked="0"/>
    </xf>
    <xf numFmtId="49" fontId="279" fillId="0" borderId="14" xfId="0" applyNumberFormat="1" applyFont="1" applyFill="1" applyBorder="1" applyAlignment="1" applyProtection="1">
      <alignment horizontal="center" vertical="center" wrapText="1"/>
      <protection locked="0"/>
    </xf>
    <xf numFmtId="49" fontId="285" fillId="0" borderId="14" xfId="0" applyNumberFormat="1"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49" fontId="279" fillId="0" borderId="39" xfId="0" applyNumberFormat="1" applyFont="1" applyFill="1" applyBorder="1" applyAlignment="1" applyProtection="1">
      <alignment horizontal="center" vertical="center" wrapText="1"/>
      <protection locked="0"/>
    </xf>
    <xf numFmtId="49" fontId="279" fillId="0" borderId="35" xfId="0" applyNumberFormat="1" applyFont="1" applyFill="1" applyBorder="1" applyAlignment="1" applyProtection="1">
      <alignment horizontal="center" vertical="center" wrapText="1"/>
      <protection locked="0"/>
    </xf>
    <xf numFmtId="49" fontId="279" fillId="0" borderId="40" xfId="0" applyNumberFormat="1" applyFont="1" applyFill="1" applyBorder="1" applyAlignment="1" applyProtection="1">
      <alignment horizontal="center" vertical="center" wrapText="1"/>
      <protection locked="0"/>
    </xf>
    <xf numFmtId="49" fontId="285" fillId="0" borderId="35" xfId="0" applyNumberFormat="1" applyFont="1" applyFill="1" applyBorder="1" applyAlignment="1" applyProtection="1">
      <alignment horizontal="center" vertical="center" wrapText="1"/>
      <protection locked="0"/>
    </xf>
    <xf numFmtId="49" fontId="287" fillId="0" borderId="39"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vertical="center"/>
      <protection locked="0"/>
    </xf>
    <xf numFmtId="0" fontId="65"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vertical="center" wrapText="1"/>
      <protection locked="0"/>
    </xf>
    <xf numFmtId="0" fontId="54"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protection locked="0"/>
    </xf>
    <xf numFmtId="10" fontId="0" fillId="0" borderId="0" xfId="0" applyNumberFormat="1" applyAlignment="1">
      <alignment horizontal="center" vertical="center"/>
    </xf>
    <xf numFmtId="0" fontId="289" fillId="28" borderId="1" xfId="0" applyFont="1" applyFill="1" applyBorder="1" applyAlignment="1">
      <alignment horizontal="center" vertical="center" wrapText="1"/>
    </xf>
    <xf numFmtId="0" fontId="290" fillId="13" borderId="1" xfId="0" applyFont="1" applyFill="1" applyBorder="1" applyAlignment="1">
      <alignment horizontal="center" vertical="center" wrapText="1"/>
    </xf>
    <xf numFmtId="0" fontId="270" fillId="13" borderId="1" xfId="17" applyFill="1" applyBorder="1" applyAlignment="1">
      <alignment horizontal="center" vertical="center" wrapText="1"/>
    </xf>
    <xf numFmtId="10" fontId="291" fillId="13" borderId="1" xfId="0" applyNumberFormat="1" applyFont="1" applyFill="1" applyBorder="1" applyAlignment="1">
      <alignment horizontal="center" vertical="center" wrapText="1"/>
    </xf>
    <xf numFmtId="10" fontId="292" fillId="13" borderId="1" xfId="0" applyNumberFormat="1" applyFont="1" applyFill="1" applyBorder="1" applyAlignment="1">
      <alignment horizontal="center" vertical="center" wrapText="1"/>
    </xf>
    <xf numFmtId="0" fontId="272" fillId="0" borderId="0" xfId="0" applyFont="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0" fontId="99" fillId="0" borderId="0" xfId="0" applyFont="1" applyAlignment="1">
      <alignment horizontal="center" vertical="center"/>
    </xf>
    <xf numFmtId="10" fontId="0" fillId="0" borderId="0" xfId="0" applyNumberFormat="1" applyAlignment="1">
      <alignment vertical="center" wrapText="1"/>
    </xf>
    <xf numFmtId="0" fontId="99" fillId="0" borderId="0" xfId="0" applyFont="1" applyAlignment="1">
      <alignment vertical="center" wrapText="1"/>
    </xf>
    <xf numFmtId="10" fontId="99" fillId="0" borderId="0" xfId="0" applyNumberFormat="1" applyFont="1" applyAlignment="1">
      <alignment horizontal="center" vertical="center"/>
    </xf>
    <xf numFmtId="0" fontId="0" fillId="0" borderId="0" xfId="0" applyFont="1" applyAlignment="1">
      <alignment horizontal="center" vertical="center"/>
    </xf>
    <xf numFmtId="0" fontId="293" fillId="0" borderId="65" xfId="0" applyFont="1" applyBorder="1" applyAlignment="1">
      <alignment horizontal="center" vertical="center" wrapText="1"/>
    </xf>
    <xf numFmtId="0" fontId="293" fillId="0" borderId="56" xfId="0" applyFont="1" applyBorder="1" applyAlignment="1">
      <alignment horizontal="center" vertical="center" wrapText="1"/>
    </xf>
    <xf numFmtId="0" fontId="293" fillId="0" borderId="43" xfId="0" applyFont="1" applyBorder="1" applyAlignment="1">
      <alignment horizontal="center" vertical="center" wrapText="1"/>
    </xf>
    <xf numFmtId="0" fontId="294" fillId="31" borderId="43" xfId="0" applyFont="1" applyFill="1" applyBorder="1">
      <alignment vertical="center"/>
    </xf>
    <xf numFmtId="0" fontId="293" fillId="29" borderId="43" xfId="0" applyFont="1" applyFill="1" applyBorder="1" applyAlignment="1">
      <alignment horizontal="center" vertical="center" wrapText="1"/>
    </xf>
    <xf numFmtId="0" fontId="294" fillId="30" borderId="43" xfId="0" applyFont="1" applyFill="1" applyBorder="1" applyAlignment="1">
      <alignment horizontal="center" vertical="center"/>
    </xf>
    <xf numFmtId="0" fontId="294" fillId="30" borderId="43" xfId="0" applyFont="1" applyFill="1" applyBorder="1" applyAlignment="1">
      <alignment horizontal="center" vertical="center" wrapText="1"/>
    </xf>
    <xf numFmtId="0" fontId="0" fillId="0" borderId="0" xfId="0" applyAlignment="1">
      <alignment vertical="center"/>
    </xf>
    <xf numFmtId="0" fontId="293" fillId="0" borderId="82" xfId="0" applyFont="1" applyBorder="1" applyAlignment="1">
      <alignment vertical="center" wrapText="1"/>
    </xf>
    <xf numFmtId="0" fontId="294" fillId="0" borderId="81" xfId="0" applyFont="1" applyBorder="1" applyAlignment="1">
      <alignment vertical="center" wrapText="1"/>
    </xf>
    <xf numFmtId="0" fontId="294" fillId="29" borderId="43" xfId="0" applyFont="1" applyFill="1" applyBorder="1" applyAlignment="1">
      <alignment horizontal="center" vertical="center" wrapText="1"/>
    </xf>
    <xf numFmtId="0" fontId="293" fillId="0" borderId="81" xfId="0" applyFont="1" applyBorder="1" applyAlignment="1">
      <alignment vertical="center" wrapText="1"/>
    </xf>
    <xf numFmtId="0" fontId="99"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72" fillId="5" borderId="0" xfId="0" applyFont="1" applyFill="1" applyAlignment="1">
      <alignment vertical="center"/>
    </xf>
    <xf numFmtId="10" fontId="99" fillId="0" borderId="0" xfId="0" applyNumberFormat="1" applyFont="1">
      <alignment vertical="center"/>
    </xf>
    <xf numFmtId="0" fontId="276" fillId="0" borderId="159" xfId="0" applyFont="1" applyBorder="1" applyAlignment="1">
      <alignment horizontal="justify" vertical="center" wrapText="1"/>
    </xf>
    <xf numFmtId="0" fontId="99" fillId="0" borderId="0" xfId="0" applyFont="1" applyFill="1" applyAlignment="1">
      <alignment horizontal="left" vertical="center" wrapText="1"/>
    </xf>
    <xf numFmtId="49" fontId="99" fillId="0" borderId="0" xfId="0" applyNumberFormat="1" applyFont="1" applyAlignment="1">
      <alignment horizontal="left" vertical="center" wrapText="1"/>
    </xf>
    <xf numFmtId="0" fontId="273" fillId="0" borderId="0" xfId="0" applyFont="1" applyBorder="1" applyAlignment="1">
      <alignment horizontal="justify" vertical="center" wrapText="1"/>
    </xf>
    <xf numFmtId="0" fontId="274" fillId="0" borderId="0" xfId="0" applyFont="1" applyBorder="1" applyAlignment="1">
      <alignment horizontal="justify" vertical="center" wrapText="1"/>
    </xf>
    <xf numFmtId="0" fontId="236" fillId="0" borderId="0" xfId="0" applyFont="1" applyBorder="1" applyAlignment="1">
      <alignment horizontal="justify" vertical="center" wrapText="1"/>
    </xf>
    <xf numFmtId="0" fontId="99" fillId="0" borderId="0" xfId="0" applyFont="1" applyAlignment="1">
      <alignment horizontal="center" vertical="center" wrapText="1"/>
    </xf>
    <xf numFmtId="49" fontId="99" fillId="25" borderId="0" xfId="0" applyNumberFormat="1" applyFont="1" applyFill="1" applyAlignment="1">
      <alignment horizontal="left" vertical="center" wrapText="1"/>
    </xf>
    <xf numFmtId="0" fontId="0" fillId="27" borderId="0" xfId="0" applyFill="1" applyAlignment="1">
      <alignment horizontal="left" vertical="center" wrapText="1"/>
    </xf>
    <xf numFmtId="0" fontId="272" fillId="27" borderId="0" xfId="0" applyFont="1" applyFill="1" applyAlignment="1">
      <alignment horizontal="left" vertical="center" wrapText="1"/>
    </xf>
    <xf numFmtId="49" fontId="0" fillId="27" borderId="0" xfId="0" applyNumberFormat="1" applyFill="1" applyAlignment="1">
      <alignment horizontal="left" vertical="center" wrapText="1"/>
    </xf>
    <xf numFmtId="10" fontId="0" fillId="27" borderId="0" xfId="0" applyNumberFormat="1" applyFill="1" applyAlignment="1">
      <alignment horizontal="left" vertical="center" wrapText="1"/>
    </xf>
    <xf numFmtId="49" fontId="99" fillId="27" borderId="0" xfId="0" applyNumberFormat="1" applyFont="1" applyFill="1" applyAlignment="1">
      <alignment horizontal="left" vertical="center" wrapText="1"/>
    </xf>
    <xf numFmtId="0" fontId="0" fillId="24" borderId="0" xfId="0" applyFill="1" applyAlignment="1">
      <alignment horizontal="center" vertical="center" wrapText="1"/>
    </xf>
    <xf numFmtId="0" fontId="272" fillId="24" borderId="0" xfId="0" applyFont="1" applyFill="1" applyAlignment="1">
      <alignment horizontal="center" vertical="center" wrapText="1"/>
    </xf>
    <xf numFmtId="10" fontId="0" fillId="24" borderId="0" xfId="0" applyNumberFormat="1" applyFill="1" applyAlignment="1">
      <alignment horizontal="center" vertical="center" wrapText="1"/>
    </xf>
    <xf numFmtId="0" fontId="99" fillId="24" borderId="0" xfId="0" applyFont="1" applyFill="1" applyAlignment="1">
      <alignment horizontal="center" vertical="center" wrapText="1"/>
    </xf>
    <xf numFmtId="49" fontId="99" fillId="5" borderId="0" xfId="0" applyNumberFormat="1" applyFont="1" applyFill="1" applyAlignment="1">
      <alignment horizontal="left"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99" fillId="0" borderId="0" xfId="0" applyFont="1" applyAlignment="1">
      <alignment horizontal="center" vertical="center"/>
    </xf>
    <xf numFmtId="49" fontId="99" fillId="0" borderId="0" xfId="0" applyNumberFormat="1" applyFont="1" applyFill="1" applyAlignment="1">
      <alignment horizontal="left" vertical="center" wrapText="1"/>
    </xf>
    <xf numFmtId="0" fontId="99" fillId="24" borderId="0" xfId="0" applyFont="1" applyFill="1" applyAlignment="1">
      <alignment horizontal="left" vertical="center" wrapText="1"/>
    </xf>
    <xf numFmtId="49" fontId="99" fillId="24" borderId="0" xfId="0" applyNumberFormat="1" applyFont="1" applyFill="1" applyAlignment="1">
      <alignment horizontal="left" vertical="center" wrapText="1"/>
    </xf>
    <xf numFmtId="0" fontId="99" fillId="23" borderId="0" xfId="0" applyFont="1" applyFill="1" applyAlignment="1">
      <alignment horizontal="left" vertical="center" wrapText="1"/>
    </xf>
    <xf numFmtId="0" fontId="0" fillId="23" borderId="0" xfId="0" applyFill="1" applyAlignment="1">
      <alignment horizontal="left" vertical="center" wrapText="1"/>
    </xf>
    <xf numFmtId="0" fontId="272" fillId="23" borderId="0" xfId="0" applyFont="1" applyFill="1" applyAlignment="1">
      <alignment horizontal="left" vertical="center" wrapText="1"/>
    </xf>
    <xf numFmtId="0" fontId="99" fillId="25" borderId="0" xfId="0" applyFont="1" applyFill="1" applyAlignment="1">
      <alignment horizontal="left" vertical="center" wrapText="1"/>
    </xf>
    <xf numFmtId="0" fontId="272" fillId="0" borderId="0" xfId="0" applyNumberFormat="1" applyFont="1" applyAlignment="1">
      <alignment horizontal="left" vertical="center" wrapText="1"/>
    </xf>
    <xf numFmtId="0" fontId="295" fillId="0" borderId="0" xfId="0" applyFont="1" applyAlignment="1">
      <alignment horizontal="left" vertical="center" wrapText="1"/>
    </xf>
    <xf numFmtId="14" fontId="295" fillId="0" borderId="0" xfId="0" applyNumberFormat="1" applyFont="1" applyAlignment="1">
      <alignment horizontal="left" vertical="center" wrapText="1"/>
    </xf>
    <xf numFmtId="0" fontId="0" fillId="0" borderId="0" xfId="0" applyAlignment="1">
      <alignment horizontal="center" vertical="center"/>
    </xf>
    <xf numFmtId="0" fontId="99" fillId="0" borderId="0" xfId="0" applyFont="1" applyAlignment="1">
      <alignment horizontal="center" vertical="center"/>
    </xf>
    <xf numFmtId="10" fontId="99" fillId="0" borderId="0" xfId="0" applyNumberFormat="1" applyFont="1" applyAlignment="1">
      <alignment horizontal="left" vertical="center" wrapText="1"/>
    </xf>
    <xf numFmtId="0" fontId="99" fillId="0" borderId="0" xfId="0" applyNumberFormat="1" applyFont="1" applyAlignment="1">
      <alignment horizontal="left" vertical="center" wrapText="1"/>
    </xf>
    <xf numFmtId="0" fontId="0" fillId="0" borderId="0" xfId="0" applyBorder="1" applyAlignment="1">
      <alignment horizontal="left" vertical="center" wrapText="1"/>
    </xf>
    <xf numFmtId="0" fontId="272" fillId="0" borderId="0" xfId="0" applyFont="1" applyBorder="1" applyAlignment="1">
      <alignment horizontal="left" vertical="center" wrapText="1"/>
    </xf>
    <xf numFmtId="0" fontId="276" fillId="0" borderId="0" xfId="0" applyFont="1" applyBorder="1" applyAlignment="1">
      <alignment horizontal="justify" vertical="center" wrapText="1"/>
    </xf>
    <xf numFmtId="0" fontId="270" fillId="0" borderId="0" xfId="17" applyBorder="1" applyAlignment="1">
      <alignment horizontal="justify" vertical="center" wrapText="1"/>
    </xf>
    <xf numFmtId="181" fontId="222" fillId="13" borderId="0"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76" fontId="135" fillId="0" borderId="37" xfId="0" applyNumberFormat="1" applyFont="1" applyFill="1" applyBorder="1" applyAlignment="1" applyProtection="1">
      <alignment horizontal="center" vertical="center" wrapText="1"/>
      <protection locked="0"/>
    </xf>
    <xf numFmtId="176" fontId="135" fillId="0" borderId="41" xfId="0" applyNumberFormat="1" applyFont="1" applyFill="1" applyBorder="1" applyAlignment="1" applyProtection="1">
      <alignment horizontal="center" vertical="center" wrapText="1"/>
      <protection locked="0"/>
    </xf>
    <xf numFmtId="179" fontId="135" fillId="0" borderId="41" xfId="0" applyNumberFormat="1" applyFont="1" applyFill="1" applyBorder="1" applyAlignment="1" applyProtection="1">
      <alignment horizontal="center" vertical="center" wrapText="1"/>
      <protection locked="0"/>
    </xf>
    <xf numFmtId="14" fontId="0" fillId="5" borderId="0" xfId="0" applyNumberFormat="1" applyFill="1" applyAlignment="1">
      <alignment horizontal="left" vertical="center" wrapText="1"/>
    </xf>
    <xf numFmtId="0" fontId="295" fillId="25" borderId="0" xfId="0" applyFont="1" applyFill="1" applyAlignment="1">
      <alignment horizontal="lef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272" fillId="0" borderId="0" xfId="0" applyFont="1" applyFill="1">
      <alignment vertical="center"/>
    </xf>
    <xf numFmtId="0" fontId="293" fillId="0" borderId="0" xfId="0" applyFont="1" applyBorder="1" applyAlignment="1">
      <alignment horizontal="center" vertical="center" wrapText="1"/>
    </xf>
    <xf numFmtId="177" fontId="54" fillId="13" borderId="0" xfId="0" applyNumberFormat="1" applyFont="1" applyFill="1" applyAlignment="1" applyProtection="1">
      <alignment horizontal="center" vertical="center"/>
      <protection locked="0"/>
    </xf>
    <xf numFmtId="0" fontId="47" fillId="32" borderId="5" xfId="0" applyFont="1" applyFill="1" applyBorder="1" applyAlignment="1" applyProtection="1">
      <alignment horizontal="center" vertical="center" wrapText="1"/>
    </xf>
    <xf numFmtId="0" fontId="282" fillId="24" borderId="1" xfId="0" applyFont="1" applyFill="1" applyBorder="1">
      <alignment vertical="center"/>
    </xf>
    <xf numFmtId="0" fontId="282" fillId="24" borderId="1" xfId="0" applyFont="1" applyFill="1" applyBorder="1" applyAlignment="1">
      <alignment vertical="center" wrapText="1"/>
    </xf>
    <xf numFmtId="197" fontId="282" fillId="24" borderId="1" xfId="18" applyNumberFormat="1" applyFont="1" applyFill="1" applyBorder="1" applyAlignment="1">
      <alignment vertical="center" wrapText="1"/>
    </xf>
    <xf numFmtId="43" fontId="282" fillId="24" borderId="1" xfId="18" applyFont="1" applyFill="1" applyBorder="1" applyAlignment="1">
      <alignment vertical="center" wrapText="1"/>
    </xf>
    <xf numFmtId="190" fontId="282" fillId="24" borderId="1" xfId="18" applyNumberFormat="1" applyFont="1" applyFill="1" applyBorder="1" applyAlignment="1">
      <alignment vertical="center" wrapText="1"/>
    </xf>
    <xf numFmtId="198" fontId="282" fillId="24" borderId="1" xfId="18" applyNumberFormat="1" applyFont="1" applyFill="1" applyBorder="1" applyAlignment="1">
      <alignment vertical="center" wrapText="1"/>
    </xf>
    <xf numFmtId="10" fontId="282" fillId="24" borderId="1" xfId="18" applyNumberFormat="1" applyFont="1" applyFill="1" applyBorder="1" applyAlignment="1">
      <alignment vertical="center" wrapText="1"/>
    </xf>
    <xf numFmtId="0" fontId="295" fillId="24" borderId="0" xfId="0" applyFont="1" applyFill="1" applyAlignment="1">
      <alignment vertical="center" wrapText="1"/>
    </xf>
    <xf numFmtId="0" fontId="280" fillId="33" borderId="1" xfId="0" applyFont="1" applyFill="1" applyBorder="1" applyAlignment="1">
      <alignment vertical="center" wrapText="1" readingOrder="1"/>
    </xf>
    <xf numFmtId="43" fontId="282" fillId="33" borderId="1" xfId="18" applyFont="1" applyFill="1" applyBorder="1" applyAlignment="1">
      <alignment vertical="center" wrapText="1"/>
    </xf>
    <xf numFmtId="43" fontId="283" fillId="33" borderId="1" xfId="18" applyFont="1" applyFill="1" applyBorder="1" applyAlignment="1">
      <alignment vertical="center" wrapText="1"/>
    </xf>
    <xf numFmtId="198" fontId="281" fillId="33" borderId="1" xfId="0" applyNumberFormat="1" applyFont="1" applyFill="1" applyBorder="1">
      <alignment vertical="center"/>
    </xf>
    <xf numFmtId="0" fontId="0" fillId="33" borderId="0" xfId="0" applyFill="1">
      <alignment vertical="center"/>
    </xf>
    <xf numFmtId="0" fontId="0" fillId="5" borderId="0" xfId="0" applyFill="1" applyAlignment="1"/>
    <xf numFmtId="0" fontId="0" fillId="32" borderId="0" xfId="0" applyFill="1" applyAlignment="1"/>
    <xf numFmtId="9" fontId="0" fillId="0" borderId="0" xfId="0" applyNumberFormat="1" applyAlignment="1"/>
    <xf numFmtId="10" fontId="0" fillId="5" borderId="0" xfId="0" applyNumberFormat="1" applyFill="1" applyAlignment="1"/>
    <xf numFmtId="9" fontId="0" fillId="32" borderId="0" xfId="0" applyNumberFormat="1" applyFill="1" applyAlignment="1"/>
    <xf numFmtId="10" fontId="0" fillId="0" borderId="0" xfId="0" applyNumberFormat="1" applyAlignment="1"/>
    <xf numFmtId="43" fontId="0" fillId="0" borderId="0" xfId="18" applyFont="1" applyAlignment="1"/>
    <xf numFmtId="43" fontId="0" fillId="5" borderId="0" xfId="18" applyFont="1" applyFill="1" applyAlignment="1"/>
    <xf numFmtId="43" fontId="0" fillId="32" borderId="0" xfId="18" applyFont="1" applyFill="1" applyAlignment="1"/>
    <xf numFmtId="43" fontId="0" fillId="0" borderId="0" xfId="0" applyNumberFormat="1" applyAlignment="1"/>
    <xf numFmtId="43" fontId="0" fillId="5" borderId="0" xfId="0" applyNumberFormat="1" applyFill="1" applyAlignment="1"/>
    <xf numFmtId="43" fontId="0" fillId="32" borderId="0" xfId="0" applyNumberFormat="1" applyFill="1" applyAlignment="1"/>
    <xf numFmtId="0" fontId="20" fillId="0" borderId="1" xfId="0" applyFont="1" applyFill="1" applyBorder="1" applyAlignment="1">
      <alignment horizontal="center" vertical="center"/>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0" fontId="20" fillId="0" borderId="1" xfId="0" applyFont="1" applyFill="1" applyBorder="1" applyAlignment="1">
      <alignment horizontal="center" vertical="center"/>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49" fontId="272" fillId="0" borderId="0" xfId="0" applyNumberFormat="1" applyFont="1" applyAlignment="1">
      <alignment horizontal="left" vertical="center" wrapText="1"/>
    </xf>
    <xf numFmtId="0" fontId="99" fillId="0" borderId="15"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97" fillId="0" borderId="0" xfId="0" applyFont="1" applyBorder="1" applyAlignment="1">
      <alignment horizontal="center" vertical="center" wrapText="1"/>
    </xf>
    <xf numFmtId="0" fontId="294" fillId="29" borderId="56" xfId="0" applyFont="1" applyFill="1" applyBorder="1" applyAlignment="1">
      <alignment horizontal="center" vertical="center"/>
    </xf>
    <xf numFmtId="0" fontId="294" fillId="29" borderId="43" xfId="0" applyFont="1" applyFill="1" applyBorder="1" applyAlignment="1">
      <alignment horizontal="center" vertical="center"/>
    </xf>
    <xf numFmtId="0" fontId="293" fillId="30" borderId="43" xfId="0" applyFont="1" applyFill="1" applyBorder="1" applyAlignment="1">
      <alignment horizontal="center" vertical="center"/>
    </xf>
    <xf numFmtId="0" fontId="294" fillId="30" borderId="56" xfId="0" applyFont="1" applyFill="1" applyBorder="1" applyAlignment="1">
      <alignment horizontal="center" vertical="center"/>
    </xf>
    <xf numFmtId="0" fontId="295" fillId="0" borderId="15" xfId="0" applyFont="1" applyFill="1" applyBorder="1" applyAlignment="1">
      <alignment horizontal="center" vertical="center" wrapText="1"/>
    </xf>
    <xf numFmtId="0" fontId="295" fillId="0" borderId="0" xfId="0" applyFont="1" applyAlignment="1">
      <alignment horizontal="center" vertical="center" wrapText="1"/>
    </xf>
    <xf numFmtId="0" fontId="298" fillId="0" borderId="0" xfId="0" applyFont="1" applyBorder="1" applyAlignment="1">
      <alignment horizontal="center" vertical="center" wrapText="1"/>
    </xf>
    <xf numFmtId="199" fontId="0" fillId="0" borderId="0" xfId="0" applyNumberFormat="1">
      <alignment vertical="center"/>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4"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78" fillId="0" borderId="5" xfId="0" applyFont="1" applyFill="1" applyBorder="1" applyAlignment="1" applyProtection="1">
      <alignment horizontal="center" vertical="center" wrapText="1"/>
      <protection locked="0"/>
    </xf>
    <xf numFmtId="0" fontId="278" fillId="0" borderId="37" xfId="0" applyNumberFormat="1" applyFont="1" applyFill="1" applyBorder="1" applyAlignment="1" applyProtection="1">
      <alignment horizontal="center" vertical="center" wrapText="1"/>
      <protection locked="0"/>
    </xf>
    <xf numFmtId="10" fontId="20" fillId="0" borderId="0" xfId="0" applyNumberFormat="1" applyFont="1" applyAlignment="1">
      <alignment horizontal="center" vertical="center" wrapText="1"/>
    </xf>
    <xf numFmtId="0" fontId="20" fillId="0" borderId="1" xfId="0" applyFont="1" applyFill="1" applyBorder="1" applyAlignment="1">
      <alignment horizontal="center" vertical="center" wrapText="1"/>
    </xf>
    <xf numFmtId="176" fontId="20" fillId="0" borderId="1" xfId="0" applyNumberFormat="1" applyFont="1" applyFill="1" applyBorder="1" applyAlignment="1">
      <alignment horizontal="center" vertical="center"/>
    </xf>
    <xf numFmtId="184"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31" fontId="20" fillId="0" borderId="1" xfId="0" applyNumberFormat="1" applyFont="1" applyFill="1" applyBorder="1" applyAlignment="1">
      <alignment horizontal="center" vertical="center" wrapText="1"/>
    </xf>
    <xf numFmtId="10" fontId="0" fillId="0" borderId="0" xfId="0" applyNumberFormat="1" applyFill="1">
      <alignment vertical="center"/>
    </xf>
    <xf numFmtId="0" fontId="20" fillId="0" borderId="0" xfId="0" applyFont="1" applyFill="1" applyAlignment="1">
      <alignment horizontal="center" vertical="center"/>
    </xf>
    <xf numFmtId="0" fontId="136" fillId="0" borderId="1" xfId="0" applyFont="1" applyFill="1" applyBorder="1" applyAlignment="1">
      <alignment horizontal="center" vertical="center"/>
    </xf>
    <xf numFmtId="0" fontId="20" fillId="35" borderId="1" xfId="0" applyFont="1" applyFill="1" applyBorder="1" applyAlignment="1">
      <alignment horizontal="center" vertical="center" wrapText="1"/>
    </xf>
    <xf numFmtId="0" fontId="20" fillId="35" borderId="1" xfId="0" applyFont="1" applyFill="1" applyBorder="1" applyAlignment="1">
      <alignment horizontal="center" vertical="center"/>
    </xf>
    <xf numFmtId="176" fontId="20" fillId="35" borderId="1" xfId="0" applyNumberFormat="1" applyFont="1" applyFill="1" applyBorder="1" applyAlignment="1">
      <alignment horizontal="center" vertical="center"/>
    </xf>
    <xf numFmtId="184" fontId="20" fillId="35" borderId="1" xfId="0" applyNumberFormat="1" applyFont="1" applyFill="1" applyBorder="1" applyAlignment="1">
      <alignment horizontal="center" vertical="center"/>
    </xf>
    <xf numFmtId="0" fontId="20" fillId="35" borderId="1" xfId="0" applyFont="1" applyFill="1" applyBorder="1" applyAlignment="1">
      <alignment vertical="center" wrapText="1"/>
    </xf>
    <xf numFmtId="0" fontId="98" fillId="6" borderId="5" xfId="0" applyFont="1" applyFill="1" applyBorder="1" applyAlignment="1" applyProtection="1">
      <alignment horizontal="center" vertical="center" wrapText="1"/>
    </xf>
    <xf numFmtId="0" fontId="99" fillId="0" borderId="15" xfId="0" applyFont="1" applyBorder="1" applyAlignment="1">
      <alignment horizontal="center" vertical="center" wrapText="1"/>
    </xf>
    <xf numFmtId="0" fontId="272" fillId="0" borderId="1" xfId="0" applyFont="1" applyBorder="1" applyAlignment="1">
      <alignment horizontal="center" vertical="center"/>
    </xf>
    <xf numFmtId="0" fontId="295" fillId="0" borderId="1" xfId="0" applyFont="1" applyBorder="1" applyAlignment="1">
      <alignment horizontal="center" vertical="center"/>
    </xf>
    <xf numFmtId="197" fontId="73" fillId="3" borderId="20" xfId="0" applyNumberFormat="1" applyFont="1" applyFill="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0" fontId="285" fillId="2" borderId="35"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wrapText="1"/>
    </xf>
    <xf numFmtId="0" fontId="295" fillId="0" borderId="0" xfId="0" applyFont="1" applyAlignment="1">
      <alignment vertical="center" wrapText="1"/>
    </xf>
    <xf numFmtId="0" fontId="136" fillId="0" borderId="1" xfId="0" applyFont="1" applyBorder="1" applyAlignment="1">
      <alignment horizontal="center" vertical="center" wrapText="1"/>
    </xf>
    <xf numFmtId="0" fontId="136" fillId="35" borderId="1" xfId="0" applyFont="1" applyFill="1" applyBorder="1" applyAlignment="1">
      <alignment horizontal="center" vertical="center" wrapText="1"/>
    </xf>
    <xf numFmtId="0" fontId="136" fillId="0" borderId="1" xfId="0" applyFont="1" applyFill="1" applyBorder="1" applyAlignment="1">
      <alignment horizontal="center" vertical="center" wrapText="1"/>
    </xf>
    <xf numFmtId="0" fontId="299" fillId="26" borderId="0" xfId="0" applyFont="1" applyFill="1" applyAlignment="1">
      <alignment vertical="center" wrapText="1" readingOrder="1"/>
    </xf>
    <xf numFmtId="10" fontId="283" fillId="24" borderId="1" xfId="18" applyNumberFormat="1" applyFont="1" applyFill="1" applyBorder="1" applyAlignment="1">
      <alignment vertical="center" wrapText="1"/>
    </xf>
    <xf numFmtId="10" fontId="300" fillId="7" borderId="1" xfId="18" applyNumberFormat="1" applyFont="1" applyFill="1" applyBorder="1" applyAlignment="1">
      <alignment vertical="center" wrapText="1"/>
    </xf>
    <xf numFmtId="43" fontId="283" fillId="7" borderId="0" xfId="18" applyFont="1" applyFill="1" applyBorder="1" applyAlignment="1">
      <alignment vertical="center" wrapText="1"/>
    </xf>
    <xf numFmtId="198" fontId="283" fillId="0" borderId="0" xfId="0" applyNumberFormat="1" applyFont="1">
      <alignment vertical="center"/>
    </xf>
    <xf numFmtId="0" fontId="20" fillId="0" borderId="1" xfId="0" applyFont="1" applyFill="1" applyBorder="1" applyAlignment="1">
      <alignment horizontal="center" vertical="center"/>
    </xf>
    <xf numFmtId="14" fontId="99" fillId="0" borderId="0" xfId="0" applyNumberFormat="1" applyFont="1">
      <alignment vertical="center"/>
    </xf>
    <xf numFmtId="0" fontId="20" fillId="25" borderId="1" xfId="0" applyFont="1" applyFill="1" applyBorder="1" applyAlignment="1">
      <alignment horizontal="center" vertical="center" wrapText="1"/>
    </xf>
    <xf numFmtId="0" fontId="20" fillId="25" borderId="1" xfId="0" applyFont="1" applyFill="1" applyBorder="1" applyAlignment="1">
      <alignment horizontal="center" vertical="center"/>
    </xf>
    <xf numFmtId="176" fontId="20" fillId="25" borderId="1" xfId="0" applyNumberFormat="1" applyFont="1" applyFill="1" applyBorder="1" applyAlignment="1">
      <alignment horizontal="center" vertical="center"/>
    </xf>
    <xf numFmtId="0" fontId="136" fillId="25" borderId="1" xfId="0" applyFont="1" applyFill="1" applyBorder="1" applyAlignment="1">
      <alignment horizontal="center" vertical="center" wrapText="1"/>
    </xf>
    <xf numFmtId="184" fontId="20" fillId="25" borderId="1" xfId="0" applyNumberFormat="1" applyFont="1" applyFill="1" applyBorder="1" applyAlignment="1">
      <alignment horizontal="center" vertical="center"/>
    </xf>
    <xf numFmtId="0" fontId="20" fillId="25" borderId="1" xfId="0" applyFont="1" applyFill="1" applyBorder="1" applyAlignment="1">
      <alignment vertical="center" wrapText="1"/>
    </xf>
    <xf numFmtId="31" fontId="20" fillId="25" borderId="1" xfId="0" applyNumberFormat="1" applyFont="1" applyFill="1" applyBorder="1" applyAlignment="1">
      <alignment horizontal="center" vertical="center" wrapText="1"/>
    </xf>
    <xf numFmtId="0" fontId="20" fillId="25" borderId="0" xfId="0" applyFont="1" applyFill="1" applyAlignment="1">
      <alignment horizontal="center" vertical="center"/>
    </xf>
    <xf numFmtId="0" fontId="20" fillId="25" borderId="3" xfId="0" applyFont="1" applyFill="1" applyBorder="1" applyAlignment="1">
      <alignment horizontal="center" vertical="center"/>
    </xf>
    <xf numFmtId="0" fontId="105" fillId="2" borderId="6" xfId="0" applyNumberFormat="1" applyFont="1" applyFill="1" applyBorder="1" applyAlignment="1" applyProtection="1">
      <alignment horizontal="center" vertical="center" wrapText="1"/>
      <protection locked="0"/>
    </xf>
    <xf numFmtId="0" fontId="130" fillId="0" borderId="24" xfId="0" applyFont="1" applyFill="1" applyBorder="1" applyAlignment="1" applyProtection="1">
      <alignment horizontal="center" vertical="center" wrapText="1"/>
      <protection locked="0"/>
    </xf>
    <xf numFmtId="0" fontId="130" fillId="0" borderId="33" xfId="0" applyFont="1" applyFill="1" applyBorder="1" applyAlignment="1" applyProtection="1">
      <alignment horizontal="center" vertical="center" wrapText="1"/>
      <protection locked="0"/>
    </xf>
    <xf numFmtId="0" fontId="105" fillId="5" borderId="5" xfId="0" applyFont="1" applyFill="1" applyBorder="1" applyAlignment="1" applyProtection="1">
      <alignment horizontal="center" vertical="center" wrapText="1"/>
      <protection locked="0"/>
    </xf>
    <xf numFmtId="0" fontId="301" fillId="0" borderId="37" xfId="0" applyNumberFormat="1" applyFont="1" applyFill="1" applyBorder="1" applyAlignment="1" applyProtection="1">
      <alignment horizontal="center" vertical="center" wrapText="1"/>
      <protection locked="0"/>
    </xf>
    <xf numFmtId="0" fontId="0" fillId="25" borderId="0" xfId="0" applyFill="1">
      <alignment vertical="center"/>
    </xf>
    <xf numFmtId="43" fontId="0" fillId="0" borderId="0" xfId="0" applyNumberFormat="1">
      <alignment vertical="center"/>
    </xf>
    <xf numFmtId="14" fontId="99" fillId="25" borderId="0" xfId="0" applyNumberFormat="1" applyFont="1" applyFill="1">
      <alignment vertical="center"/>
    </xf>
    <xf numFmtId="14" fontId="0" fillId="25" borderId="0" xfId="0" applyNumberFormat="1" applyFill="1">
      <alignment vertical="center"/>
    </xf>
    <xf numFmtId="0" fontId="99" fillId="25" borderId="0" xfId="0" applyFont="1" applyFill="1">
      <alignment vertical="center"/>
    </xf>
    <xf numFmtId="0" fontId="99" fillId="0" borderId="0" xfId="0" applyFont="1" applyFill="1">
      <alignment vertical="center"/>
    </xf>
    <xf numFmtId="0" fontId="99" fillId="0" borderId="0" xfId="0" applyFont="1" applyFill="1" applyAlignment="1">
      <alignment vertical="center" wrapText="1"/>
    </xf>
    <xf numFmtId="49" fontId="279" fillId="0" borderId="39" xfId="0" applyNumberFormat="1" applyFont="1" applyBorder="1" applyAlignment="1" applyProtection="1">
      <alignment horizontal="center" vertical="center" wrapText="1"/>
      <protection locked="0"/>
    </xf>
    <xf numFmtId="49" fontId="279" fillId="0" borderId="35" xfId="0" applyNumberFormat="1" applyFont="1" applyBorder="1" applyAlignment="1" applyProtection="1">
      <alignment horizontal="center" vertical="center" wrapText="1"/>
      <protection locked="0"/>
    </xf>
    <xf numFmtId="49" fontId="285" fillId="0" borderId="11" xfId="0" applyNumberFormat="1" applyFont="1" applyBorder="1" applyAlignment="1" applyProtection="1">
      <alignment horizontal="center" vertical="center" wrapText="1"/>
      <protection locked="0"/>
    </xf>
    <xf numFmtId="49" fontId="285" fillId="0" borderId="14" xfId="0" applyNumberFormat="1"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5" fillId="0" borderId="24" xfId="0" applyFont="1" applyFill="1" applyBorder="1" applyAlignment="1" applyProtection="1">
      <alignment horizontal="center" vertical="center" wrapText="1"/>
      <protection locked="0"/>
    </xf>
    <xf numFmtId="14" fontId="0" fillId="0" borderId="0" xfId="0" applyNumberFormat="1">
      <alignment vertical="center"/>
    </xf>
    <xf numFmtId="0" fontId="20" fillId="0" borderId="1" xfId="0" applyFont="1" applyBorder="1" applyAlignment="1">
      <alignment horizontal="center" vertical="center"/>
    </xf>
    <xf numFmtId="0" fontId="136" fillId="36" borderId="1" xfId="0" applyFont="1" applyFill="1" applyBorder="1" applyAlignment="1">
      <alignment horizontal="center" vertical="center" wrapText="1"/>
    </xf>
    <xf numFmtId="0" fontId="20" fillId="36" borderId="1" xfId="0" applyFont="1" applyFill="1" applyBorder="1" applyAlignment="1">
      <alignment horizontal="center" vertical="center"/>
    </xf>
    <xf numFmtId="10" fontId="20" fillId="0" borderId="0" xfId="0" applyNumberFormat="1" applyFont="1" applyFill="1" applyAlignment="1">
      <alignment horizontal="center" vertical="center" wrapText="1"/>
    </xf>
    <xf numFmtId="10" fontId="20" fillId="0" borderId="1" xfId="0" applyNumberFormat="1" applyFont="1" applyFill="1" applyBorder="1" applyAlignment="1">
      <alignment horizontal="center" vertical="center" wrapText="1"/>
    </xf>
    <xf numFmtId="10" fontId="20" fillId="25" borderId="0" xfId="0" applyNumberFormat="1" applyFont="1" applyFill="1" applyAlignment="1">
      <alignment horizontal="center" vertical="center" wrapText="1"/>
    </xf>
    <xf numFmtId="10" fontId="0" fillId="0" borderId="0" xfId="0" applyNumberFormat="1" applyFill="1" applyAlignment="1">
      <alignment vertical="center" wrapText="1"/>
    </xf>
    <xf numFmtId="10" fontId="0" fillId="25" borderId="0" xfId="0" applyNumberFormat="1" applyFill="1" applyAlignment="1">
      <alignment vertical="center" wrapText="1"/>
    </xf>
    <xf numFmtId="10" fontId="99" fillId="0" borderId="0" xfId="0" applyNumberFormat="1" applyFont="1" applyAlignment="1">
      <alignment vertical="center" wrapText="1"/>
    </xf>
    <xf numFmtId="10" fontId="272" fillId="0" borderId="0" xfId="0" applyNumberFormat="1" applyFont="1">
      <alignment vertical="center"/>
    </xf>
    <xf numFmtId="10" fontId="295" fillId="0" borderId="0" xfId="0" applyNumberFormat="1" applyFont="1">
      <alignment vertical="center"/>
    </xf>
    <xf numFmtId="0" fontId="99" fillId="5" borderId="0" xfId="0" applyFont="1" applyFill="1">
      <alignment vertical="center"/>
    </xf>
    <xf numFmtId="10" fontId="0" fillId="5" borderId="0" xfId="0" applyNumberFormat="1" applyFill="1" applyAlignment="1">
      <alignment vertical="center" wrapText="1"/>
    </xf>
    <xf numFmtId="0" fontId="0" fillId="5" borderId="0" xfId="0" applyFill="1">
      <alignment vertical="center"/>
    </xf>
    <xf numFmtId="0" fontId="0" fillId="0" borderId="1" xfId="0"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05" fillId="24" borderId="5" xfId="0" applyFont="1" applyFill="1" applyBorder="1" applyAlignment="1" applyProtection="1">
      <alignment horizontal="center" vertical="center" wrapText="1"/>
    </xf>
    <xf numFmtId="0" fontId="54" fillId="13" borderId="0"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0" fillId="34" borderId="0" xfId="0" applyFill="1" applyBorder="1" applyAlignment="1">
      <alignment horizontal="center" vertical="center"/>
    </xf>
    <xf numFmtId="0" fontId="99" fillId="0" borderId="0" xfId="0" applyFont="1" applyBorder="1" applyAlignment="1">
      <alignment horizontal="center" vertical="center"/>
    </xf>
    <xf numFmtId="0" fontId="272" fillId="34" borderId="0" xfId="0" applyFont="1" applyFill="1" applyBorder="1" applyAlignment="1">
      <alignment horizontal="center" vertical="center"/>
    </xf>
    <xf numFmtId="0" fontId="295" fillId="34" borderId="0" xfId="0" applyFont="1" applyFill="1" applyBorder="1" applyAlignment="1">
      <alignment horizontal="center" vertical="center"/>
    </xf>
    <xf numFmtId="0" fontId="272" fillId="23" borderId="0" xfId="0" applyFont="1" applyFill="1" applyBorder="1" applyAlignment="1">
      <alignment horizontal="center" vertical="center"/>
    </xf>
    <xf numFmtId="0" fontId="272" fillId="37" borderId="1" xfId="0" applyFont="1" applyFill="1" applyBorder="1" applyAlignment="1">
      <alignment horizontal="center" vertical="center"/>
    </xf>
    <xf numFmtId="0" fontId="272" fillId="5" borderId="0" xfId="0" applyFont="1" applyFill="1" applyAlignment="1">
      <alignment horizontal="center" vertical="center" wrapText="1"/>
    </xf>
    <xf numFmtId="0" fontId="0" fillId="5" borderId="0" xfId="0" applyFill="1" applyAlignment="1">
      <alignment horizontal="center" vertical="center"/>
    </xf>
    <xf numFmtId="0" fontId="0" fillId="0" borderId="1" xfId="0" applyBorder="1" applyAlignment="1">
      <alignment horizontal="center" vertical="center"/>
    </xf>
    <xf numFmtId="0" fontId="135" fillId="0" borderId="37" xfId="0" applyNumberFormat="1" applyFont="1" applyFill="1" applyBorder="1" applyAlignment="1" applyProtection="1">
      <alignment horizontal="center" vertical="center" wrapText="1"/>
      <protection locked="0"/>
    </xf>
    <xf numFmtId="0" fontId="135" fillId="0" borderId="36" xfId="0" applyFont="1" applyFill="1" applyBorder="1" applyAlignment="1" applyProtection="1">
      <alignment horizontal="center" vertical="center" wrapText="1"/>
      <protection locked="0"/>
    </xf>
    <xf numFmtId="10" fontId="99" fillId="5" borderId="0" xfId="0" applyNumberFormat="1" applyFont="1" applyFill="1">
      <alignment vertical="center"/>
    </xf>
    <xf numFmtId="0" fontId="99" fillId="0" borderId="0" xfId="0" applyFont="1" applyAlignment="1">
      <alignment horizontal="center" vertical="center"/>
    </xf>
    <xf numFmtId="0" fontId="272" fillId="0" borderId="0" xfId="0" applyFont="1" applyAlignment="1">
      <alignment horizontal="center" vertical="center"/>
    </xf>
    <xf numFmtId="0" fontId="105" fillId="6" borderId="24" xfId="0" applyFont="1" applyFill="1" applyBorder="1" applyAlignment="1" applyProtection="1">
      <alignment horizontal="center" vertical="center" wrapText="1"/>
    </xf>
    <xf numFmtId="0" fontId="135" fillId="6" borderId="62" xfId="0" applyFont="1" applyFill="1" applyBorder="1" applyAlignment="1" applyProtection="1">
      <alignment horizontal="center" vertical="center" wrapText="1"/>
    </xf>
    <xf numFmtId="0" fontId="105" fillId="6" borderId="40" xfId="0" applyNumberFormat="1" applyFont="1" applyFill="1" applyBorder="1" applyAlignment="1" applyProtection="1">
      <alignment horizontal="center" vertical="center" wrapText="1"/>
    </xf>
    <xf numFmtId="0" fontId="0" fillId="10" borderId="1" xfId="0" applyFill="1" applyBorder="1" applyAlignment="1">
      <alignment horizontal="center" vertical="center"/>
    </xf>
    <xf numFmtId="0" fontId="99" fillId="10" borderId="1"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272" fillId="0" borderId="1" xfId="0" applyFont="1" applyBorder="1" applyAlignment="1">
      <alignment horizontal="center" vertical="center"/>
    </xf>
    <xf numFmtId="0" fontId="99" fillId="0" borderId="0" xfId="0" applyFont="1" applyAlignment="1">
      <alignment horizontal="center" vertical="center" wrapText="1"/>
    </xf>
    <xf numFmtId="0" fontId="0" fillId="23" borderId="0" xfId="0" applyFill="1" applyAlignment="1">
      <alignment horizontal="center" vertical="center"/>
    </xf>
    <xf numFmtId="0" fontId="272" fillId="0" borderId="1" xfId="0" applyFont="1" applyFill="1" applyBorder="1" applyAlignment="1">
      <alignment horizontal="center" vertical="center"/>
    </xf>
    <xf numFmtId="10" fontId="0" fillId="0" borderId="1" xfId="0" applyNumberFormat="1" applyBorder="1" applyAlignment="1">
      <alignment horizontal="center" vertical="center"/>
    </xf>
    <xf numFmtId="0" fontId="272" fillId="5" borderId="1" xfId="0" applyFont="1" applyFill="1" applyBorder="1" applyAlignment="1">
      <alignment horizontal="center" vertical="center"/>
    </xf>
    <xf numFmtId="0" fontId="0" fillId="33" borderId="0" xfId="0" applyFill="1" applyAlignment="1">
      <alignment horizontal="center" vertical="center"/>
    </xf>
    <xf numFmtId="0" fontId="99" fillId="33" borderId="0" xfId="0" applyFont="1" applyFill="1" applyAlignment="1">
      <alignment horizontal="center" vertical="center"/>
    </xf>
    <xf numFmtId="10" fontId="0" fillId="33" borderId="0" xfId="0" applyNumberFormat="1" applyFill="1" applyAlignment="1">
      <alignment horizontal="center" vertical="center"/>
    </xf>
    <xf numFmtId="10" fontId="0" fillId="33" borderId="0" xfId="0" applyNumberFormat="1" applyFill="1">
      <alignment vertical="center"/>
    </xf>
    <xf numFmtId="0" fontId="0" fillId="23" borderId="0" xfId="0" applyFill="1">
      <alignment vertical="center"/>
    </xf>
    <xf numFmtId="0" fontId="99" fillId="23" borderId="0" xfId="0" applyFont="1" applyFill="1" applyAlignment="1">
      <alignment horizontal="center" vertical="center"/>
    </xf>
    <xf numFmtId="10" fontId="0" fillId="23" borderId="0" xfId="0" applyNumberFormat="1" applyFill="1" applyAlignment="1">
      <alignment horizontal="center" vertical="center"/>
    </xf>
    <xf numFmtId="10" fontId="0" fillId="23" borderId="0" xfId="0" applyNumberFormat="1" applyFill="1">
      <alignment vertical="center"/>
    </xf>
    <xf numFmtId="0" fontId="0" fillId="24" borderId="0" xfId="0" applyFill="1">
      <alignment vertical="center"/>
    </xf>
    <xf numFmtId="0" fontId="0" fillId="24" borderId="0" xfId="0" applyFill="1" applyAlignment="1">
      <alignment horizontal="center" vertical="center"/>
    </xf>
    <xf numFmtId="0" fontId="99" fillId="24" borderId="0" xfId="0" applyFont="1" applyFill="1" applyAlignment="1">
      <alignment horizontal="center" vertical="center"/>
    </xf>
    <xf numFmtId="10" fontId="0" fillId="24" borderId="0" xfId="0" applyNumberFormat="1" applyFill="1" applyAlignment="1">
      <alignment horizontal="center" vertical="center"/>
    </xf>
    <xf numFmtId="10" fontId="0" fillId="24" borderId="0" xfId="0" applyNumberFormat="1" applyFill="1">
      <alignment vertical="center"/>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10" fontId="115" fillId="0" borderId="1" xfId="10" applyNumberFormat="1" applyFont="1" applyBorder="1" applyAlignment="1">
      <alignment horizontal="center" vertical="center" wrapText="1" shrinkToFi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0" fontId="115" fillId="0" borderId="3" xfId="10" applyFont="1" applyBorder="1" applyAlignment="1">
      <alignment horizontal="center" vertical="center" wrapText="1" shrinkToFit="1"/>
    </xf>
    <xf numFmtId="0" fontId="115" fillId="0" borderId="1" xfId="10" applyFont="1" applyBorder="1" applyAlignment="1">
      <alignment horizontal="center" vertical="center" wrapText="1" shrinkToFit="1"/>
    </xf>
    <xf numFmtId="179" fontId="141" fillId="0" borderId="1" xfId="10" applyNumberFormat="1" applyFont="1" applyBorder="1" applyAlignment="1">
      <alignment horizontal="center" vertical="center" wrapText="1"/>
    </xf>
    <xf numFmtId="0" fontId="265" fillId="21" borderId="0" xfId="10" applyFont="1" applyFill="1" applyAlignment="1">
      <alignment horizontal="center" vertical="center" wrapText="1"/>
    </xf>
    <xf numFmtId="0" fontId="141" fillId="0" borderId="1" xfId="10" applyFont="1" applyBorder="1" applyAlignment="1">
      <alignment horizontal="center" vertical="center" wrapText="1"/>
    </xf>
    <xf numFmtId="0" fontId="115" fillId="0" borderId="1" xfId="10" applyFont="1" applyBorder="1" applyAlignment="1">
      <alignment horizontal="left" vertical="center" wrapText="1" shrinkToFit="1"/>
    </xf>
    <xf numFmtId="179" fontId="115" fillId="0" borderId="46" xfId="10" applyNumberFormat="1" applyFont="1" applyBorder="1" applyAlignment="1">
      <alignment horizontal="center" vertical="center" wrapText="1" shrinkToFit="1"/>
    </xf>
    <xf numFmtId="179" fontId="115" fillId="0" borderId="36" xfId="10" applyNumberFormat="1" applyFont="1" applyBorder="1" applyAlignment="1">
      <alignment horizontal="center" vertical="center" wrapText="1" shrinkToFit="1"/>
    </xf>
    <xf numFmtId="179" fontId="115" fillId="0" borderId="22" xfId="10" applyNumberFormat="1" applyFont="1" applyBorder="1" applyAlignment="1">
      <alignment horizontal="center" vertical="center" wrapText="1" shrinkToFit="1"/>
    </xf>
    <xf numFmtId="179" fontId="115" fillId="0" borderId="4" xfId="10" applyNumberFormat="1" applyFont="1" applyBorder="1" applyAlignment="1">
      <alignment horizontal="center" vertical="center" wrapText="1" shrinkToFit="1"/>
    </xf>
    <xf numFmtId="179" fontId="115" fillId="0" borderId="60" xfId="10" applyNumberFormat="1" applyFont="1" applyBorder="1" applyAlignment="1">
      <alignment horizontal="center" vertical="center" wrapText="1" shrinkToFit="1"/>
    </xf>
    <xf numFmtId="179" fontId="115" fillId="0" borderId="7" xfId="10" applyNumberFormat="1" applyFont="1" applyBorder="1" applyAlignment="1">
      <alignment horizontal="center" vertical="center" wrapText="1" shrinkToFit="1"/>
    </xf>
    <xf numFmtId="0" fontId="115" fillId="0" borderId="5" xfId="10" applyFont="1" applyBorder="1" applyAlignment="1">
      <alignment horizontal="right" vertical="center" wrapText="1" shrinkToFit="1"/>
    </xf>
    <xf numFmtId="0" fontId="115" fillId="0" borderId="54" xfId="10" applyFont="1" applyBorder="1" applyAlignment="1">
      <alignment horizontal="right" vertical="center" wrapText="1" shrinkToFit="1"/>
    </xf>
    <xf numFmtId="10" fontId="115" fillId="0" borderId="54" xfId="10" applyNumberFormat="1" applyFont="1" applyBorder="1" applyAlignment="1">
      <alignment horizontal="left" vertical="center" wrapText="1" shrinkToFit="1"/>
    </xf>
    <xf numFmtId="10" fontId="115" fillId="0" borderId="3" xfId="10" applyNumberFormat="1" applyFont="1" applyBorder="1" applyAlignment="1">
      <alignment horizontal="left" vertical="center" wrapText="1" shrinkToFit="1"/>
    </xf>
    <xf numFmtId="183" fontId="115" fillId="0" borderId="1" xfId="10" applyNumberFormat="1" applyFont="1" applyBorder="1" applyAlignment="1">
      <alignment horizontal="center" vertical="center" wrapText="1" shrinkToFit="1"/>
    </xf>
    <xf numFmtId="9" fontId="115" fillId="0" borderId="13" xfId="10" applyNumberFormat="1" applyFont="1" applyBorder="1" applyAlignment="1">
      <alignment horizontal="left" vertical="center" wrapText="1" shrinkToFit="1"/>
    </xf>
    <xf numFmtId="9" fontId="115" fillId="0" borderId="2" xfId="10" applyNumberFormat="1" applyFont="1" applyBorder="1" applyAlignment="1">
      <alignment horizontal="left" vertical="center" wrapText="1" shrinkToFit="1"/>
    </xf>
    <xf numFmtId="9" fontId="115" fillId="0" borderId="1" xfId="10" applyNumberFormat="1" applyFont="1" applyBorder="1" applyAlignment="1">
      <alignment horizontal="center" vertical="center" wrapText="1" shrinkToFit="1"/>
    </xf>
    <xf numFmtId="0" fontId="115" fillId="0" borderId="54" xfId="10" applyFont="1" applyBorder="1" applyAlignment="1">
      <alignment horizontal="left" vertical="center" wrapText="1" shrinkToFit="1"/>
    </xf>
    <xf numFmtId="0" fontId="115" fillId="0" borderId="3" xfId="10" applyFont="1" applyBorder="1" applyAlignment="1">
      <alignment horizontal="left" vertical="center" wrapText="1" shrinkToFit="1"/>
    </xf>
    <xf numFmtId="181" fontId="115" fillId="0" borderId="1" xfId="10" applyNumberFormat="1" applyFont="1" applyBorder="1" applyAlignment="1">
      <alignment horizontal="center" vertical="center" wrapText="1" shrinkToFit="1"/>
    </xf>
    <xf numFmtId="180" fontId="115" fillId="0" borderId="5" xfId="10" applyNumberFormat="1" applyFont="1" applyBorder="1" applyAlignment="1">
      <alignment horizontal="right" vertical="center" wrapText="1" shrinkToFit="1"/>
    </xf>
    <xf numFmtId="180" fontId="115" fillId="0" borderId="54" xfId="10" applyNumberFormat="1" applyFont="1" applyBorder="1" applyAlignment="1">
      <alignment horizontal="right" vertical="center" wrapText="1" shrinkToFit="1"/>
    </xf>
    <xf numFmtId="0" fontId="118" fillId="0" borderId="0" xfId="10" applyFont="1" applyAlignment="1">
      <alignment horizontal="center" vertical="center" wrapText="1"/>
    </xf>
    <xf numFmtId="0" fontId="99" fillId="0" borderId="1" xfId="10" applyBorder="1" applyAlignment="1">
      <alignment horizontal="center" vertical="center" wrapText="1"/>
    </xf>
    <xf numFmtId="0" fontId="115" fillId="0" borderId="46" xfId="10" applyFont="1" applyBorder="1" applyAlignment="1">
      <alignment horizontal="center" vertical="center" wrapText="1" shrinkToFit="1"/>
    </xf>
    <xf numFmtId="0" fontId="115" fillId="0" borderId="36" xfId="10" applyFont="1" applyBorder="1" applyAlignment="1">
      <alignment horizontal="center" vertical="center" wrapText="1" shrinkToFit="1"/>
    </xf>
    <xf numFmtId="0" fontId="115" fillId="0" borderId="22" xfId="10" applyFont="1" applyBorder="1" applyAlignment="1">
      <alignment horizontal="center" vertical="center" wrapText="1" shrinkToFit="1"/>
    </xf>
    <xf numFmtId="0" fontId="115" fillId="0" borderId="58" xfId="10" applyFont="1" applyBorder="1" applyAlignment="1">
      <alignment horizontal="center" vertical="center" wrapText="1" shrinkToFit="1"/>
    </xf>
    <xf numFmtId="0" fontId="115" fillId="0" borderId="0" xfId="10" applyFont="1" applyAlignment="1">
      <alignment horizontal="center" vertical="center" wrapText="1" shrinkToFit="1"/>
    </xf>
    <xf numFmtId="0" fontId="115" fillId="0" borderId="35" xfId="10" applyFont="1" applyBorder="1" applyAlignment="1">
      <alignment horizontal="center" vertical="center" wrapText="1" shrinkToFit="1"/>
    </xf>
    <xf numFmtId="0" fontId="115" fillId="0" borderId="4" xfId="10" applyFont="1" applyBorder="1" applyAlignment="1">
      <alignment horizontal="center" vertical="center" wrapText="1" shrinkToFit="1"/>
    </xf>
    <xf numFmtId="0" fontId="115" fillId="0" borderId="60" xfId="10" applyFont="1" applyBorder="1" applyAlignment="1">
      <alignment horizontal="center" vertical="center" wrapText="1" shrinkToFit="1"/>
    </xf>
    <xf numFmtId="0" fontId="115" fillId="0" borderId="7" xfId="10" applyFont="1" applyBorder="1" applyAlignment="1">
      <alignment horizontal="center" vertical="center" wrapText="1" shrinkToFit="1"/>
    </xf>
    <xf numFmtId="0" fontId="99" fillId="0" borderId="1" xfId="10" applyBorder="1" applyAlignment="1">
      <alignment horizontal="center" vertical="center" wrapText="1" shrinkToFit="1"/>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304" fillId="0" borderId="11"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96" fillId="0" borderId="3" xfId="0" applyFont="1" applyFill="1" applyBorder="1" applyAlignment="1" applyProtection="1">
      <alignment horizontal="center" vertical="center" wrapText="1"/>
      <protection locked="0"/>
    </xf>
    <xf numFmtId="0" fontId="0" fillId="32" borderId="1" xfId="0" applyFill="1" applyBorder="1" applyAlignment="1">
      <alignment horizontal="center" vertical="center"/>
    </xf>
    <xf numFmtId="0" fontId="272" fillId="37" borderId="5" xfId="0" applyFont="1" applyFill="1" applyBorder="1" applyAlignment="1">
      <alignment horizontal="center" vertical="center" wrapText="1"/>
    </xf>
    <xf numFmtId="0" fontId="272" fillId="37" borderId="54" xfId="0" applyFont="1" applyFill="1" applyBorder="1" applyAlignment="1">
      <alignment horizontal="center" vertical="center" wrapText="1"/>
    </xf>
    <xf numFmtId="0" fontId="272" fillId="37" borderId="3" xfId="0" applyFont="1" applyFill="1" applyBorder="1" applyAlignment="1">
      <alignment horizontal="center" vertical="center" wrapText="1"/>
    </xf>
    <xf numFmtId="0" fontId="272" fillId="37" borderId="36" xfId="0" applyFont="1" applyFill="1" applyBorder="1" applyAlignment="1">
      <alignment horizontal="center" vertical="center" wrapText="1"/>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Fill="1" applyAlignment="1">
      <alignment horizontal="center" vertical="center"/>
    </xf>
    <xf numFmtId="0" fontId="0" fillId="34" borderId="1" xfId="0" applyFill="1" applyBorder="1" applyAlignment="1">
      <alignment horizontal="center" vertical="center"/>
    </xf>
    <xf numFmtId="0" fontId="0" fillId="23" borderId="1" xfId="0" applyFill="1" applyBorder="1" applyAlignment="1">
      <alignment horizontal="center" vertical="center"/>
    </xf>
    <xf numFmtId="0" fontId="272" fillId="34" borderId="1" xfId="0" applyFont="1" applyFill="1" applyBorder="1" applyAlignment="1">
      <alignment horizontal="center" vertical="center"/>
    </xf>
    <xf numFmtId="0" fontId="295" fillId="34" borderId="1" xfId="0" applyFont="1" applyFill="1" applyBorder="1" applyAlignment="1">
      <alignment horizontal="center" vertical="center"/>
    </xf>
    <xf numFmtId="0" fontId="99" fillId="34" borderId="1" xfId="0" applyFont="1" applyFill="1" applyBorder="1" applyAlignment="1">
      <alignment horizontal="center" vertical="center"/>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0" borderId="15" xfId="0" applyFont="1" applyBorder="1" applyAlignment="1">
      <alignment horizontal="center" vertical="center"/>
    </xf>
    <xf numFmtId="0" fontId="272" fillId="32" borderId="1" xfId="0" applyFont="1" applyFill="1" applyBorder="1" applyAlignment="1">
      <alignment horizontal="center" vertical="center"/>
    </xf>
    <xf numFmtId="0" fontId="295" fillId="0" borderId="1" xfId="0" applyFont="1" applyBorder="1" applyAlignment="1">
      <alignment horizontal="center" vertical="center"/>
    </xf>
    <xf numFmtId="0" fontId="295" fillId="32" borderId="1" xfId="0" applyFont="1" applyFill="1" applyBorder="1" applyAlignment="1">
      <alignment horizontal="center" vertical="center"/>
    </xf>
    <xf numFmtId="0" fontId="272" fillId="23" borderId="1" xfId="0" applyFont="1" applyFill="1" applyBorder="1" applyAlignment="1">
      <alignment horizontal="center" vertical="center"/>
    </xf>
    <xf numFmtId="0" fontId="295" fillId="23" borderId="1" xfId="0" applyFont="1" applyFill="1" applyBorder="1" applyAlignment="1">
      <alignment horizontal="center" vertical="center"/>
    </xf>
    <xf numFmtId="0" fontId="100" fillId="5" borderId="1" xfId="0" applyFont="1" applyFill="1" applyBorder="1" applyAlignment="1">
      <alignment horizontal="center" vertical="center"/>
    </xf>
    <xf numFmtId="0" fontId="272" fillId="23" borderId="13" xfId="0" applyFont="1" applyFill="1" applyBorder="1" applyAlignment="1">
      <alignment horizontal="center" vertical="center"/>
    </xf>
    <xf numFmtId="0" fontId="272" fillId="23" borderId="15" xfId="0" applyFont="1" applyFill="1" applyBorder="1" applyAlignment="1">
      <alignment horizontal="center" vertical="center"/>
    </xf>
    <xf numFmtId="0" fontId="272" fillId="23" borderId="2"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0" fontId="272" fillId="0" borderId="1" xfId="0" applyFont="1" applyBorder="1" applyAlignment="1">
      <alignment horizontal="center" vertical="center"/>
    </xf>
    <xf numFmtId="0" fontId="294" fillId="30" borderId="63" xfId="0" applyFont="1" applyFill="1" applyBorder="1" applyAlignment="1">
      <alignment horizontal="center" vertical="center"/>
    </xf>
    <xf numFmtId="0" fontId="294" fillId="30" borderId="64" xfId="0" applyFont="1" applyFill="1" applyBorder="1" applyAlignment="1">
      <alignment horizontal="center" vertical="center"/>
    </xf>
    <xf numFmtId="0" fontId="294" fillId="30" borderId="65" xfId="0" applyFont="1" applyFill="1" applyBorder="1" applyAlignment="1">
      <alignment horizontal="center" vertical="center"/>
    </xf>
    <xf numFmtId="0" fontId="293" fillId="0" borderId="63" xfId="0" applyFont="1" applyBorder="1" applyAlignment="1">
      <alignment horizontal="center" vertical="center"/>
    </xf>
    <xf numFmtId="0" fontId="293" fillId="0" borderId="64" xfId="0" applyFont="1" applyBorder="1" applyAlignment="1">
      <alignment horizontal="center" vertical="center"/>
    </xf>
    <xf numFmtId="0" fontId="293" fillId="0" borderId="65" xfId="0" applyFont="1" applyBorder="1" applyAlignment="1">
      <alignment horizontal="center" vertical="center"/>
    </xf>
    <xf numFmtId="0" fontId="294" fillId="29" borderId="63" xfId="0" applyFont="1" applyFill="1" applyBorder="1" applyAlignment="1">
      <alignment horizontal="center" vertical="center"/>
    </xf>
    <xf numFmtId="0" fontId="294" fillId="29" borderId="64" xfId="0" applyFont="1" applyFill="1" applyBorder="1" applyAlignment="1">
      <alignment horizontal="center" vertical="center"/>
    </xf>
    <xf numFmtId="0" fontId="294" fillId="29" borderId="65" xfId="0" applyFont="1" applyFill="1" applyBorder="1" applyAlignment="1">
      <alignment horizontal="center" vertical="center"/>
    </xf>
    <xf numFmtId="0" fontId="293" fillId="30" borderId="63" xfId="0" applyFont="1" applyFill="1" applyBorder="1" applyAlignment="1">
      <alignment horizontal="center" vertical="center"/>
    </xf>
    <xf numFmtId="0" fontId="293" fillId="30" borderId="64" xfId="0" applyFont="1" applyFill="1" applyBorder="1" applyAlignment="1">
      <alignment horizontal="center" vertical="center"/>
    </xf>
    <xf numFmtId="0" fontId="293" fillId="30" borderId="65" xfId="0" applyFont="1" applyFill="1" applyBorder="1" applyAlignment="1">
      <alignment horizontal="center" vertical="center"/>
    </xf>
    <xf numFmtId="0" fontId="293" fillId="30" borderId="63" xfId="0" applyFont="1" applyFill="1" applyBorder="1" applyAlignment="1">
      <alignment horizontal="center" vertical="center" wrapText="1"/>
    </xf>
    <xf numFmtId="0" fontId="293" fillId="30" borderId="64" xfId="0" applyFont="1" applyFill="1" applyBorder="1" applyAlignment="1">
      <alignment horizontal="center" vertical="center" wrapText="1"/>
    </xf>
    <xf numFmtId="0" fontId="293" fillId="30" borderId="65" xfId="0" applyFont="1" applyFill="1" applyBorder="1" applyAlignment="1">
      <alignment horizontal="center" vertical="center" wrapText="1"/>
    </xf>
    <xf numFmtId="10" fontId="0" fillId="0" borderId="0" xfId="0" applyNumberFormat="1" applyFill="1" applyAlignment="1">
      <alignment horizontal="center" vertical="center"/>
    </xf>
    <xf numFmtId="0" fontId="0" fillId="23" borderId="0" xfId="0" applyFill="1" applyAlignment="1">
      <alignment horizontal="center" vertical="center"/>
    </xf>
    <xf numFmtId="0" fontId="295" fillId="0" borderId="0" xfId="0" applyFont="1" applyAlignment="1">
      <alignment horizontal="center" vertical="center"/>
    </xf>
    <xf numFmtId="179" fontId="0" fillId="0" borderId="0" xfId="0" applyNumberFormat="1" applyAlignment="1">
      <alignment horizontal="center" vertical="center"/>
    </xf>
    <xf numFmtId="0" fontId="272" fillId="0" borderId="0" xfId="0" applyFont="1" applyFill="1" applyAlignment="1">
      <alignment horizontal="center" vertical="center"/>
    </xf>
    <xf numFmtId="0" fontId="272" fillId="0" borderId="0" xfId="0" applyFont="1" applyAlignment="1">
      <alignment horizontal="center" vertical="center"/>
    </xf>
    <xf numFmtId="2" fontId="100" fillId="5" borderId="1" xfId="0" applyNumberFormat="1" applyFont="1" applyFill="1" applyBorder="1" applyAlignment="1">
      <alignment horizontal="center" vertical="center"/>
    </xf>
    <xf numFmtId="0" fontId="0" fillId="23" borderId="1" xfId="0" applyFill="1" applyBorder="1" applyAlignment="1">
      <alignment horizontal="center" vertical="center" wrapText="1"/>
    </xf>
    <xf numFmtId="0" fontId="0" fillId="0" borderId="1" xfId="0" applyBorder="1" applyAlignment="1">
      <alignment horizontal="center" vertical="center" wrapText="1"/>
    </xf>
    <xf numFmtId="0" fontId="0" fillId="23" borderId="13" xfId="0" applyFill="1" applyBorder="1" applyAlignment="1">
      <alignment horizontal="center" vertical="center" wrapText="1"/>
    </xf>
    <xf numFmtId="0" fontId="0" fillId="23" borderId="15" xfId="0" applyFill="1" applyBorder="1" applyAlignment="1">
      <alignment horizontal="center" vertical="center" wrapText="1"/>
    </xf>
    <xf numFmtId="0" fontId="0" fillId="23" borderId="2" xfId="0" applyFill="1" applyBorder="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27" borderId="0" xfId="0" applyFill="1" applyAlignment="1">
      <alignment horizontal="center" vertical="center" wrapText="1"/>
    </xf>
    <xf numFmtId="0" fontId="99" fillId="23" borderId="1" xfId="0" applyFont="1" applyFill="1" applyBorder="1" applyAlignment="1">
      <alignment horizontal="center" vertical="center" wrapText="1"/>
    </xf>
    <xf numFmtId="0" fontId="0" fillId="5" borderId="58" xfId="0" applyFill="1" applyBorder="1" applyAlignment="1">
      <alignment vertical="center" wrapText="1"/>
    </xf>
    <xf numFmtId="0" fontId="99" fillId="5" borderId="0" xfId="0" applyFont="1" applyFill="1" applyAlignment="1">
      <alignment horizontal="center" vertical="center" wrapText="1"/>
    </xf>
    <xf numFmtId="0" fontId="0" fillId="5" borderId="0" xfId="0" applyFill="1" applyAlignment="1">
      <alignment horizontal="center" vertical="center" wrapText="1"/>
    </xf>
    <xf numFmtId="0" fontId="99" fillId="0" borderId="36" xfId="0" applyFont="1" applyBorder="1" applyAlignment="1">
      <alignment horizontal="center" vertical="center" wrapText="1"/>
    </xf>
    <xf numFmtId="0" fontId="99" fillId="0" borderId="58" xfId="0" applyFont="1" applyBorder="1" applyAlignment="1">
      <alignment horizontal="center" vertical="center" wrapText="1"/>
    </xf>
    <xf numFmtId="0" fontId="281" fillId="0" borderId="1" xfId="0" applyFont="1" applyBorder="1">
      <alignment vertical="center"/>
    </xf>
    <xf numFmtId="0" fontId="99" fillId="33" borderId="0" xfId="0" applyFont="1" applyFill="1" applyAlignment="1">
      <alignment horizontal="center" vertical="center"/>
    </xf>
    <xf numFmtId="0" fontId="0" fillId="33" borderId="0" xfId="0" applyFill="1" applyAlignment="1">
      <alignment horizontal="center" vertical="center"/>
    </xf>
    <xf numFmtId="0" fontId="99" fillId="0" borderId="0" xfId="0" applyFont="1" applyAlignment="1">
      <alignment horizontal="center" vertical="center"/>
    </xf>
    <xf numFmtId="0" fontId="99" fillId="23" borderId="0" xfId="0" applyFont="1" applyFill="1" applyAlignment="1">
      <alignment horizontal="center" vertical="center"/>
    </xf>
    <xf numFmtId="0" fontId="99" fillId="24" borderId="0" xfId="0" applyFont="1" applyFill="1" applyAlignment="1">
      <alignment horizontal="center" vertical="center"/>
    </xf>
    <xf numFmtId="0" fontId="0" fillId="24" borderId="0" xfId="0" applyFill="1" applyAlignment="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0">
    <cellStyle name="百分比" xfId="19"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7" builtinId="8"/>
    <cellStyle name="千位分隔" xfId="18" builtinId="3"/>
  </cellStyles>
  <dxfs count="29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a:t>
            </a:r>
            <a:r>
              <a:rPr lang="zh-CN" altLang="zh-CN" sz="1800" b="0" i="0" baseline="0">
                <a:effectLst/>
              </a:rPr>
              <a:t>办公楼市场分析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市场走势!$AA$3</c:f>
              <c:strCache>
                <c:ptCount val="1"/>
                <c:pt idx="0">
                  <c:v>存量（万㎡）</c:v>
                </c:pt>
              </c:strCache>
            </c:strRef>
          </c:tx>
          <c:spPr>
            <a:solidFill>
              <a:schemeClr val="accent6"/>
            </a:solidFill>
            <a:ln>
              <a:noFill/>
            </a:ln>
            <a:effectLst/>
          </c:spPr>
          <c:invertIfNegative val="0"/>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市场走势!$AA$4:$AA$23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CA4C-45D4-92CC-1B034F00E82C}"/>
            </c:ext>
          </c:extLst>
        </c:ser>
        <c:dLbls>
          <c:showLegendKey val="0"/>
          <c:showVal val="0"/>
          <c:showCatName val="0"/>
          <c:showSerName val="0"/>
          <c:showPercent val="0"/>
          <c:showBubbleSize val="0"/>
        </c:dLbls>
        <c:gapWidth val="219"/>
        <c:axId val="223918720"/>
        <c:axId val="223957760"/>
      </c:barChart>
      <c:lineChart>
        <c:grouping val="standard"/>
        <c:varyColors val="0"/>
        <c:ser>
          <c:idx val="3"/>
          <c:order val="3"/>
          <c:tx>
            <c:strRef>
              <c:f>市场走势!$Y$3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市场走势!$Y$4:$Y$23</c:f>
            </c:numRef>
          </c:val>
          <c:smooth val="0"/>
          <c:extLst>
            <c:ext xmlns:c16="http://schemas.microsoft.com/office/drawing/2014/chart" uri="{C3380CC4-5D6E-409C-BE32-E72D297353CC}">
              <c16:uniqueId val="{00000002-CA4C-45D4-92CC-1B034F00E82C}"/>
            </c:ext>
          </c:extLst>
        </c:ser>
        <c:ser>
          <c:idx val="4"/>
          <c:order val="4"/>
          <c:tx>
            <c:strRef>
              <c:f>市场走势!$Z$3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市场走势!$Z$4:$Z$23</c:f>
            </c:numRef>
          </c:val>
          <c:smooth val="0"/>
          <c:extLst>
            <c:ext xmlns:c16="http://schemas.microsoft.com/office/drawing/2014/chart" uri="{C3380CC4-5D6E-409C-BE32-E72D297353CC}">
              <c16:uniqueId val="{00000003-CA4C-45D4-92CC-1B034F00E82C}"/>
            </c:ext>
          </c:extLst>
        </c:ser>
        <c:ser>
          <c:idx val="0"/>
          <c:order val="0"/>
          <c:tx>
            <c:strRef>
              <c:f>市场走势!$V$3</c:f>
              <c:strCache>
                <c:ptCount val="1"/>
                <c:pt idx="0">
                  <c:v>平均有效租金</c:v>
                </c:pt>
              </c:strCache>
            </c:strRef>
          </c:tx>
          <c:spPr>
            <a:ln w="28575" cap="rnd">
              <a:solidFill>
                <a:schemeClr val="accent1"/>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市场走势!$V$4:$V$23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4-CA4C-45D4-92CC-1B034F00E82C}"/>
            </c:ext>
          </c:extLst>
        </c:ser>
        <c:dLbls>
          <c:showLegendKey val="0"/>
          <c:showVal val="0"/>
          <c:showCatName val="0"/>
          <c:showSerName val="0"/>
          <c:showPercent val="0"/>
          <c:showBubbleSize val="0"/>
        </c:dLbls>
        <c:marker val="1"/>
        <c:smooth val="0"/>
        <c:axId val="223918720"/>
        <c:axId val="223957760"/>
        <c:extLst>
          <c:ext xmlns:c15="http://schemas.microsoft.com/office/drawing/2012/chart" uri="{02D57815-91ED-43cb-92C2-25804820EDAC}">
            <c15:filteredLineSeries>
              <c15:ser>
                <c:idx val="2"/>
                <c:order val="2"/>
                <c:tx>
                  <c:strRef>
                    <c:extLst>
                      <c:ext uri="{02D57815-91ED-43cb-92C2-25804820EDAC}">
                        <c15:formulaRef>
                          <c15:sqref>市场走势!$X$3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市场走势!$U$4:$U$23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市场走势!$X$4:$X$23</c15:sqref>
                        </c15:formulaRef>
                      </c:ext>
                    </c:extLst>
                    <c:numCache>
                      <c:formatCode>0.00%</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CA4C-45D4-92CC-1B034F00E82C}"/>
                  </c:ext>
                </c:extLst>
              </c15:ser>
            </c15:filteredLineSeries>
          </c:ext>
        </c:extLst>
      </c:lineChart>
      <c:lineChart>
        <c:grouping val="standard"/>
        <c:varyColors val="0"/>
        <c:ser>
          <c:idx val="1"/>
          <c:order val="1"/>
          <c:tx>
            <c:strRef>
              <c:f>市场走势!$W$3</c:f>
              <c:strCache>
                <c:ptCount val="1"/>
                <c:pt idx="0">
                  <c:v>空置率</c:v>
                </c:pt>
              </c:strCache>
            </c:strRef>
          </c:tx>
          <c:spPr>
            <a:ln w="28575" cap="rnd">
              <a:solidFill>
                <a:schemeClr val="accent2"/>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市场走势!$W$4:$W$23</c:f>
              <c:numCache>
                <c:formatCode>0.00%</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5-CA4C-45D4-92CC-1B034F00E82C}"/>
            </c:ext>
          </c:extLst>
        </c:ser>
        <c:dLbls>
          <c:showLegendKey val="0"/>
          <c:showVal val="0"/>
          <c:showCatName val="0"/>
          <c:showSerName val="0"/>
          <c:showPercent val="0"/>
          <c:showBubbleSize val="0"/>
        </c:dLbls>
        <c:marker val="1"/>
        <c:smooth val="0"/>
        <c:axId val="223969280"/>
        <c:axId val="223959296"/>
      </c:lineChart>
      <c:catAx>
        <c:axId val="22391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57760"/>
        <c:crosses val="autoZero"/>
        <c:auto val="1"/>
        <c:lblAlgn val="ctr"/>
        <c:lblOffset val="100"/>
        <c:noMultiLvlLbl val="0"/>
      </c:catAx>
      <c:valAx>
        <c:axId val="22395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18720"/>
        <c:crosses val="autoZero"/>
        <c:crossBetween val="between"/>
      </c:valAx>
      <c:valAx>
        <c:axId val="22395929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69280"/>
        <c:crosses val="max"/>
        <c:crossBetween val="between"/>
      </c:valAx>
      <c:catAx>
        <c:axId val="223969280"/>
        <c:scaling>
          <c:orientation val="minMax"/>
        </c:scaling>
        <c:delete val="1"/>
        <c:axPos val="b"/>
        <c:numFmt formatCode="General" sourceLinked="1"/>
        <c:majorTickMark val="out"/>
        <c:minorTickMark val="none"/>
        <c:tickLblPos val="nextTo"/>
        <c:crossAx val="223959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BC2-429A-AD9A-E7577A2468A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BC2-429A-AD9A-E7577A2468A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BC2-429A-AD9A-E7577A2468A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BC2-429A-AD9A-E7577A2468A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BC2-429A-AD9A-E7577A2468A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BC2-429A-AD9A-E7577A2468A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8086-4AB8-966F-C101B8387184}"/>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2-8086-4AB8-966F-C101B8387184}"/>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3-8086-4AB8-966F-C101B8387184}"/>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4-8086-4AB8-966F-C101B8387184}"/>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1-8086-4AB8-966F-C101B8387184}"/>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5-8086-4AB8-966F-C101B8387184}"/>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596D-4276-BF9A-ACCB6B6A9C29}"/>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596D-4276-BF9A-ACCB6B6A9C29}"/>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596D-4276-BF9A-ACCB6B6A9C29}"/>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596D-4276-BF9A-ACCB6B6A9C29}"/>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596D-4276-BF9A-ACCB6B6A9C29}"/>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596D-4276-BF9A-ACCB6B6A9C29}"/>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8627-4D14-B43A-E77985217278}"/>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2-8627-4D14-B43A-E77985217278}"/>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3-8627-4D14-B43A-E77985217278}"/>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4-8627-4D14-B43A-E77985217278}"/>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1-8627-4D14-B43A-E77985217278}"/>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5-8627-4D14-B43A-E77985217278}"/>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9C70-414A-95EB-F6F170E596FE}"/>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1-9C70-414A-95EB-F6F170E596FE}"/>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2-9C70-414A-95EB-F6F170E596FE}"/>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3-9C70-414A-95EB-F6F170E596FE}"/>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5-9C70-414A-95EB-F6F170E596FE}"/>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4-9C70-414A-95EB-F6F170E596FE}"/>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4C3C-4EC4-A517-9AE59166A69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4C3C-4EC4-A517-9AE59166A692}"/>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4C3C-4EC4-A517-9AE59166A692}"/>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4C3C-4EC4-A517-9AE59166A69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4C3C-4EC4-A517-9AE59166A692}"/>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4C3C-4EC4-A517-9AE59166A69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A05D-4F86-BC54-C474650A60E0}"/>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A05D-4F86-BC54-C474650A60E0}"/>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A05D-4F86-BC54-C474650A60E0}"/>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A05D-4F86-BC54-C474650A60E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A05D-4F86-BC54-C474650A60E0}"/>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0A6C-4A56-8915-7BBAD1CBEEC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0A6C-4A56-8915-7BBAD1CBEEC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0A6C-4A56-8915-7BBAD1CBEEC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0A6C-4A56-8915-7BBAD1CBEE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0A6C-4A56-8915-7BBAD1CBEEC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B106-4341-860F-7672F807D8B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B106-4341-860F-7672F807D8B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B106-4341-860F-7672F807D8B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B106-4341-860F-7672F807D8B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B106-4341-860F-7672F807D8B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1B40-41AD-9ABC-98BC249DC5AE}"/>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1B40-41AD-9ABC-98BC249DC5AE}"/>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1B40-41AD-9ABC-98BC249DC5AE}"/>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1B40-41AD-9ABC-98BC249DC5A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1B40-41AD-9ABC-98BC249DC5AE}"/>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220A-4A53-A4D9-9DF20E0969EF}"/>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4-220A-4A53-A4D9-9DF20E0969EF}"/>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1-220A-4A53-A4D9-9DF20E0969E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2-220A-4A53-A4D9-9DF20E0969E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3-220A-4A53-A4D9-9DF20E0969EF}"/>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5-220A-4A53-A4D9-9DF20E0969EF}"/>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F928-4794-8BD4-DCCB9AEB387A}"/>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1-F928-4794-8BD4-DCCB9AEB387A}"/>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3-F928-4794-8BD4-DCCB9AEB387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4-F928-4794-8BD4-DCCB9AEB387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5-F928-4794-8BD4-DCCB9AEB387A}"/>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2-F928-4794-8BD4-DCCB9AEB387A}"/>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C581-424B-B45C-0E20350A0D95}"/>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C581-424B-B45C-0E20350A0D95}"/>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C581-424B-B45C-0E20350A0D95}"/>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C581-424B-B45C-0E20350A0D95}"/>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C581-424B-B45C-0E20350A0D95}"/>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C581-424B-B45C-0E20350A0D95}"/>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C581-424B-B45C-0E20350A0D95}"/>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0F6F-449E-AE6A-1173995AB3CD}"/>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0F6F-449E-AE6A-1173995AB3CD}"/>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2-0F6F-449E-AE6A-1173995AB3CD}"/>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3-0F6F-449E-AE6A-1173995AB3CD}"/>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4-0F6F-449E-AE6A-1173995AB3CD}"/>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5-0F6F-449E-AE6A-1173995AB3CD}"/>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r>
              <a:rPr lang="zh-CN" altLang="en-US" sz="1600" b="0" i="0" baseline="0">
                <a:effectLst/>
              </a:rPr>
              <a:t>（戴德、仲量、第一太平）</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902-4BF3-88BC-F3C5DBB9299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902-4BF3-88BC-F3C5DBB9299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902-4BF3-88BC-F3C5DBB9299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902-4BF3-88BC-F3C5DBB9299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902-4BF3-88BC-F3C5DBB9299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902-4BF3-88BC-F3C5DBB9299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F403-42FF-AE8A-3CBD080674C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1-F403-42FF-AE8A-3CBD080674C2}"/>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2-F403-42FF-AE8A-3CBD080674C2}"/>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3-F403-42FF-AE8A-3CBD080674C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5-F403-42FF-AE8A-3CBD080674C2}"/>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4-F403-42FF-AE8A-3CBD080674C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第一太平戴维斯商业</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[2]Sheet3!$X$3</c:f>
              <c:strCache>
                <c:ptCount val="1"/>
                <c:pt idx="0">
                  <c:v>存量（万㎡）</c:v>
                </c:pt>
              </c:strCache>
            </c:strRef>
          </c:tx>
          <c:spPr>
            <a:solidFill>
              <a:schemeClr val="accent6"/>
            </a:solidFill>
            <a:ln>
              <a:noFill/>
            </a:ln>
            <a:effectLst/>
          </c:spPr>
          <c:invertIfNegative val="0"/>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[2]Sheet3!$X$4:$X$23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9AB1-42DC-A4FC-0FAA864D4A6D}"/>
            </c:ext>
          </c:extLst>
        </c:ser>
        <c:dLbls>
          <c:showLegendKey val="0"/>
          <c:showVal val="0"/>
          <c:showCatName val="0"/>
          <c:showSerName val="0"/>
          <c:showPercent val="0"/>
          <c:showBubbleSize val="0"/>
        </c:dLbls>
        <c:gapWidth val="219"/>
        <c:axId val="230451840"/>
        <c:axId val="230461824"/>
      </c:barChart>
      <c:lineChart>
        <c:grouping val="standard"/>
        <c:varyColors val="0"/>
        <c:ser>
          <c:idx val="0"/>
          <c:order val="0"/>
          <c:tx>
            <c:strRef>
              <c:f>[2]Sheet3!$S$3</c:f>
              <c:strCache>
                <c:ptCount val="1"/>
                <c:pt idx="0">
                  <c:v>平均有效租金</c:v>
                </c:pt>
              </c:strCache>
            </c:strRef>
          </c:tx>
          <c:spPr>
            <a:ln w="28575" cap="rnd">
              <a:solidFill>
                <a:schemeClr val="accent1"/>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[2]Sheet3!$S$4:$S$23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2-9AB1-42DC-A4FC-0FAA864D4A6D}"/>
            </c:ext>
          </c:extLst>
        </c:ser>
        <c:dLbls>
          <c:showLegendKey val="0"/>
          <c:showVal val="0"/>
          <c:showCatName val="0"/>
          <c:showSerName val="0"/>
          <c:showPercent val="0"/>
          <c:showBubbleSize val="0"/>
        </c:dLbls>
        <c:marker val="1"/>
        <c:smooth val="0"/>
        <c:axId val="230451840"/>
        <c:axId val="230461824"/>
        <c:extLst>
          <c:ext xmlns:c15="http://schemas.microsoft.com/office/drawing/2012/chart" uri="{02D57815-91ED-43cb-92C2-25804820EDAC}">
            <c15:filteredLineSeries>
              <c15:ser>
                <c:idx val="2"/>
                <c:order val="2"/>
                <c:tx>
                  <c:strRef>
                    <c:extLst>
                      <c:ext uri="{02D57815-91ED-43cb-92C2-25804820EDAC}">
                        <c15:formulaRef>
                          <c15:sqref>[2]Sheet3!$U$3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[2]Sheet3!$U$4:$U$23</c15:sqref>
                        </c15:formulaRef>
                      </c:ext>
                    </c:extLst>
                    <c:numCache>
                      <c:formatCode>General</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9AB1-42DC-A4FC-0FAA864D4A6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[2]Sheet3!$V$3</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[2]Sheet3!$V$4:$V$23</c15:sqref>
                        </c15:formulaRef>
                      </c:ext>
                    </c:extLst>
                    <c:numCache>
                      <c:formatCode>General</c:formatCode>
                      <c:ptCount val="20"/>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extLst xmlns:c15="http://schemas.microsoft.com/office/drawing/2012/chart">
                  <c:ext xmlns:c16="http://schemas.microsoft.com/office/drawing/2014/chart" uri="{C3380CC4-5D6E-409C-BE32-E72D297353CC}">
                    <c16:uniqueId val="{00000004-9AB1-42DC-A4FC-0FAA864D4A6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[2]Sheet3!$W$3</c15:sqref>
                        </c15:formulaRef>
                      </c:ext>
                    </c:extLst>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[2]Sheet3!$W$4:$W$23</c15:sqref>
                        </c15:formulaRef>
                      </c:ext>
                    </c:extLst>
                    <c:numCache>
                      <c:formatCode>General</c:formatCode>
                      <c:ptCount val="20"/>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extLst xmlns:c15="http://schemas.microsoft.com/office/drawing/2012/chart">
                  <c:ext xmlns:c16="http://schemas.microsoft.com/office/drawing/2014/chart" uri="{C3380CC4-5D6E-409C-BE32-E72D297353CC}">
                    <c16:uniqueId val="{00000005-9AB1-42DC-A4FC-0FAA864D4A6D}"/>
                  </c:ext>
                </c:extLst>
              </c15:ser>
            </c15:filteredLineSeries>
          </c:ext>
        </c:extLst>
      </c:lineChart>
      <c:lineChart>
        <c:grouping val="standard"/>
        <c:varyColors val="0"/>
        <c:ser>
          <c:idx val="1"/>
          <c:order val="1"/>
          <c:tx>
            <c:strRef>
              <c:f>[2]Sheet3!$T$3</c:f>
              <c:strCache>
                <c:ptCount val="1"/>
                <c:pt idx="0">
                  <c:v>空置率</c:v>
                </c:pt>
              </c:strCache>
            </c:strRef>
          </c:tx>
          <c:spPr>
            <a:ln w="28575" cap="rnd">
              <a:solidFill>
                <a:schemeClr val="accent2"/>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[2]Sheet3!$T$4:$T$23</c:f>
              <c:numCache>
                <c:formatCode>General</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3-9AB1-42DC-A4FC-0FAA864D4A6D}"/>
            </c:ext>
          </c:extLst>
        </c:ser>
        <c:dLbls>
          <c:showLegendKey val="0"/>
          <c:showVal val="0"/>
          <c:showCatName val="0"/>
          <c:showSerName val="0"/>
          <c:showPercent val="0"/>
          <c:showBubbleSize val="0"/>
        </c:dLbls>
        <c:marker val="1"/>
        <c:smooth val="0"/>
        <c:axId val="230464896"/>
        <c:axId val="230463360"/>
      </c:lineChart>
      <c:catAx>
        <c:axId val="23045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1824"/>
        <c:crosses val="autoZero"/>
        <c:auto val="1"/>
        <c:lblAlgn val="ctr"/>
        <c:lblOffset val="100"/>
        <c:noMultiLvlLbl val="0"/>
      </c:catAx>
      <c:valAx>
        <c:axId val="23046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51840"/>
        <c:crosses val="autoZero"/>
        <c:crossBetween val="between"/>
      </c:valAx>
      <c:valAx>
        <c:axId val="2304633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4896"/>
        <c:crosses val="max"/>
        <c:crossBetween val="between"/>
      </c:valAx>
      <c:catAx>
        <c:axId val="230464896"/>
        <c:scaling>
          <c:orientation val="minMax"/>
        </c:scaling>
        <c:delete val="1"/>
        <c:axPos val="b"/>
        <c:numFmt formatCode="General" sourceLinked="1"/>
        <c:majorTickMark val="out"/>
        <c:minorTickMark val="none"/>
        <c:tickLblPos val="nextTo"/>
        <c:crossAx val="230463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06BD-4304-A119-7EAA210757F3}"/>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06BD-4304-A119-7EAA210757F3}"/>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06BD-4304-A119-7EAA210757F3}"/>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06BD-4304-A119-7EAA210757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06BD-4304-A119-7EAA210757F3}"/>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27E1-4A22-A561-2028BC1AEC2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27E1-4A22-A561-2028BC1AEC2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27E1-4A22-A561-2028BC1AEC2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27E1-4A22-A561-2028BC1AEC2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27E1-4A22-A561-2028BC1AEC2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68EE-48DD-84F4-9170E9DD391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68EE-48DD-84F4-9170E9DD391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68EE-48DD-84F4-9170E9DD391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68EE-48DD-84F4-9170E9DD391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68EE-48DD-84F4-9170E9DD391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2B72-4051-8BF2-7FC499F09851}"/>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2B72-4051-8BF2-7FC499F09851}"/>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2B72-4051-8BF2-7FC499F09851}"/>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2B72-4051-8BF2-7FC499F09851}"/>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2B72-4051-8BF2-7FC499F09851}"/>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2B72-4051-8BF2-7FC499F09851}"/>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2B72-4051-8BF2-7FC499F09851}"/>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939D-45C2-9153-54905FD55FA4}"/>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939D-45C2-9153-54905FD55FA4}"/>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939D-45C2-9153-54905FD55FA4}"/>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939D-45C2-9153-54905FD55F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939D-45C2-9153-54905FD55FA4}"/>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7585-4072-A82D-73FB0F295615}"/>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7585-4072-A82D-73FB0F295615}"/>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3-7585-4072-A82D-73FB0F295615}"/>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4-7585-4072-A82D-73FB0F295615}"/>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5-7585-4072-A82D-73FB0F295615}"/>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2-7585-4072-A82D-73FB0F295615}"/>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868680</xdr:colOff>
      <xdr:row>2</xdr:row>
      <xdr:rowOff>158115</xdr:rowOff>
    </xdr:from>
    <xdr:to>
      <xdr:col>22</xdr:col>
      <xdr:colOff>812874</xdr:colOff>
      <xdr:row>18</xdr:row>
      <xdr:rowOff>62277</xdr:rowOff>
    </xdr:to>
    <xdr:pic>
      <xdr:nvPicPr>
        <xdr:cNvPr id="2" name="图片 1">
          <a:extLst>
            <a:ext uri="{FF2B5EF4-FFF2-40B4-BE49-F238E27FC236}">
              <a16:creationId xmlns:a16="http://schemas.microsoft.com/office/drawing/2014/main" id="{A6D6A07E-F5F3-4431-A5B2-FA77BBC21580}"/>
            </a:ext>
          </a:extLst>
        </xdr:cNvPr>
        <xdr:cNvPicPr>
          <a:picLocks noChangeAspect="1"/>
        </xdr:cNvPicPr>
      </xdr:nvPicPr>
      <xdr:blipFill>
        <a:blip xmlns:r="http://schemas.openxmlformats.org/officeDocument/2006/relationships" r:embed="rId1"/>
        <a:stretch>
          <a:fillRect/>
        </a:stretch>
      </xdr:blipFill>
      <xdr:spPr>
        <a:xfrm>
          <a:off x="13470255" y="672465"/>
          <a:ext cx="4476190" cy="4704762"/>
        </a:xfrm>
        <a:prstGeom prst="rect">
          <a:avLst/>
        </a:prstGeom>
      </xdr:spPr>
    </xdr:pic>
    <xdr:clientData/>
  </xdr:twoCellAnchor>
  <xdr:twoCellAnchor editAs="oneCell">
    <xdr:from>
      <xdr:col>16</xdr:col>
      <xdr:colOff>276225</xdr:colOff>
      <xdr:row>37</xdr:row>
      <xdr:rowOff>228600</xdr:rowOff>
    </xdr:from>
    <xdr:to>
      <xdr:col>24</xdr:col>
      <xdr:colOff>3009</xdr:colOff>
      <xdr:row>54</xdr:row>
      <xdr:rowOff>161290</xdr:rowOff>
    </xdr:to>
    <xdr:pic>
      <xdr:nvPicPr>
        <xdr:cNvPr id="3" name="图片 2">
          <a:extLst>
            <a:ext uri="{FF2B5EF4-FFF2-40B4-BE49-F238E27FC236}">
              <a16:creationId xmlns:a16="http://schemas.microsoft.com/office/drawing/2014/main" id="{0071425B-5414-4AAB-8D79-92F26805B2D4}"/>
            </a:ext>
          </a:extLst>
        </xdr:cNvPr>
        <xdr:cNvPicPr>
          <a:picLocks noChangeAspect="1"/>
        </xdr:cNvPicPr>
      </xdr:nvPicPr>
      <xdr:blipFill>
        <a:blip xmlns:r="http://schemas.openxmlformats.org/officeDocument/2006/relationships" r:embed="rId2"/>
        <a:stretch>
          <a:fillRect/>
        </a:stretch>
      </xdr:blipFill>
      <xdr:spPr>
        <a:xfrm>
          <a:off x="12439650" y="12573000"/>
          <a:ext cx="6409524" cy="5076190"/>
        </a:xfrm>
        <a:prstGeom prst="rect">
          <a:avLst/>
        </a:prstGeom>
      </xdr:spPr>
    </xdr:pic>
    <xdr:clientData/>
  </xdr:twoCellAnchor>
  <xdr:twoCellAnchor editAs="oneCell">
    <xdr:from>
      <xdr:col>12</xdr:col>
      <xdr:colOff>476250</xdr:colOff>
      <xdr:row>88</xdr:row>
      <xdr:rowOff>295275</xdr:rowOff>
    </xdr:from>
    <xdr:to>
      <xdr:col>19</xdr:col>
      <xdr:colOff>322970</xdr:colOff>
      <xdr:row>99</xdr:row>
      <xdr:rowOff>322721</xdr:rowOff>
    </xdr:to>
    <xdr:pic>
      <xdr:nvPicPr>
        <xdr:cNvPr id="4" name="图片 3">
          <a:extLst>
            <a:ext uri="{FF2B5EF4-FFF2-40B4-BE49-F238E27FC236}">
              <a16:creationId xmlns:a16="http://schemas.microsoft.com/office/drawing/2014/main" id="{AD5E8E5C-E5AB-412F-83CE-F1298F942B2F}"/>
            </a:ext>
          </a:extLst>
        </xdr:cNvPr>
        <xdr:cNvPicPr>
          <a:picLocks noChangeAspect="1"/>
        </xdr:cNvPicPr>
      </xdr:nvPicPr>
      <xdr:blipFill>
        <a:blip xmlns:r="http://schemas.openxmlformats.org/officeDocument/2006/relationships" r:embed="rId3"/>
        <a:stretch>
          <a:fillRect/>
        </a:stretch>
      </xdr:blipFill>
      <xdr:spPr>
        <a:xfrm>
          <a:off x="10991850" y="27260550"/>
          <a:ext cx="5123570" cy="3799346"/>
        </a:xfrm>
        <a:prstGeom prst="rect">
          <a:avLst/>
        </a:prstGeom>
      </xdr:spPr>
    </xdr:pic>
    <xdr:clientData/>
  </xdr:twoCellAnchor>
  <xdr:twoCellAnchor editAs="oneCell">
    <xdr:from>
      <xdr:col>9</xdr:col>
      <xdr:colOff>561974</xdr:colOff>
      <xdr:row>86</xdr:row>
      <xdr:rowOff>56757</xdr:rowOff>
    </xdr:from>
    <xdr:to>
      <xdr:col>20</xdr:col>
      <xdr:colOff>46326</xdr:colOff>
      <xdr:row>95</xdr:row>
      <xdr:rowOff>113854</xdr:rowOff>
    </xdr:to>
    <xdr:pic>
      <xdr:nvPicPr>
        <xdr:cNvPr id="5" name="图片 4">
          <a:extLst>
            <a:ext uri="{FF2B5EF4-FFF2-40B4-BE49-F238E27FC236}">
              <a16:creationId xmlns:a16="http://schemas.microsoft.com/office/drawing/2014/main" id="{FEFD4FE8-F042-4970-9CDE-36ADD9D44470}"/>
            </a:ext>
          </a:extLst>
        </xdr:cNvPr>
        <xdr:cNvPicPr>
          <a:picLocks noChangeAspect="1"/>
        </xdr:cNvPicPr>
      </xdr:nvPicPr>
      <xdr:blipFill>
        <a:blip xmlns:r="http://schemas.openxmlformats.org/officeDocument/2006/relationships" r:embed="rId4"/>
        <a:stretch>
          <a:fillRect/>
        </a:stretch>
      </xdr:blipFill>
      <xdr:spPr>
        <a:xfrm>
          <a:off x="7629524" y="21688032"/>
          <a:ext cx="8637877" cy="29717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238124</xdr:colOff>
      <xdr:row>38</xdr:row>
      <xdr:rowOff>26747</xdr:rowOff>
    </xdr:from>
    <xdr:to>
      <xdr:col>21</xdr:col>
      <xdr:colOff>171449</xdr:colOff>
      <xdr:row>139</xdr:row>
      <xdr:rowOff>39892</xdr:rowOff>
    </xdr:to>
    <xdr:pic>
      <xdr:nvPicPr>
        <xdr:cNvPr id="2" name="图片 1">
          <a:extLst>
            <a:ext uri="{FF2B5EF4-FFF2-40B4-BE49-F238E27FC236}">
              <a16:creationId xmlns:a16="http://schemas.microsoft.com/office/drawing/2014/main" id="{53D49FB8-33F5-4521-8F21-1981BD1CF3E9}"/>
            </a:ext>
          </a:extLst>
        </xdr:cNvPr>
        <xdr:cNvPicPr>
          <a:picLocks noChangeAspect="1"/>
        </xdr:cNvPicPr>
      </xdr:nvPicPr>
      <xdr:blipFill>
        <a:blip xmlns:r="http://schemas.openxmlformats.org/officeDocument/2006/relationships" r:embed="rId1"/>
        <a:stretch>
          <a:fillRect/>
        </a:stretch>
      </xdr:blipFill>
      <xdr:spPr>
        <a:xfrm>
          <a:off x="10048874" y="18171872"/>
          <a:ext cx="6315075" cy="6166295"/>
        </a:xfrm>
        <a:prstGeom prst="rect">
          <a:avLst/>
        </a:prstGeom>
      </xdr:spPr>
    </xdr:pic>
    <xdr:clientData/>
  </xdr:twoCellAnchor>
  <xdr:twoCellAnchor editAs="oneCell">
    <xdr:from>
      <xdr:col>13</xdr:col>
      <xdr:colOff>647700</xdr:colOff>
      <xdr:row>37</xdr:row>
      <xdr:rowOff>104082</xdr:rowOff>
    </xdr:from>
    <xdr:to>
      <xdr:col>21</xdr:col>
      <xdr:colOff>357074</xdr:colOff>
      <xdr:row>126</xdr:row>
      <xdr:rowOff>94687</xdr:rowOff>
    </xdr:to>
    <xdr:pic>
      <xdr:nvPicPr>
        <xdr:cNvPr id="3" name="图片 2">
          <a:extLst>
            <a:ext uri="{FF2B5EF4-FFF2-40B4-BE49-F238E27FC236}">
              <a16:creationId xmlns:a16="http://schemas.microsoft.com/office/drawing/2014/main" id="{13FDEEF9-5754-4C9A-9E85-C94881108C62}"/>
            </a:ext>
          </a:extLst>
        </xdr:cNvPr>
        <xdr:cNvPicPr>
          <a:picLocks noChangeAspect="1"/>
        </xdr:cNvPicPr>
      </xdr:nvPicPr>
      <xdr:blipFill>
        <a:blip xmlns:r="http://schemas.openxmlformats.org/officeDocument/2006/relationships" r:embed="rId2"/>
        <a:stretch>
          <a:fillRect/>
        </a:stretch>
      </xdr:blipFill>
      <xdr:spPr>
        <a:xfrm>
          <a:off x="9782175" y="18039657"/>
          <a:ext cx="6767399" cy="4124455"/>
        </a:xfrm>
        <a:prstGeom prst="rect">
          <a:avLst/>
        </a:prstGeom>
      </xdr:spPr>
    </xdr:pic>
    <xdr:clientData/>
  </xdr:twoCellAnchor>
  <xdr:twoCellAnchor editAs="oneCell">
    <xdr:from>
      <xdr:col>15</xdr:col>
      <xdr:colOff>819150</xdr:colOff>
      <xdr:row>42</xdr:row>
      <xdr:rowOff>304107</xdr:rowOff>
    </xdr:from>
    <xdr:to>
      <xdr:col>31</xdr:col>
      <xdr:colOff>70976</xdr:colOff>
      <xdr:row>122</xdr:row>
      <xdr:rowOff>56293</xdr:rowOff>
    </xdr:to>
    <xdr:pic>
      <xdr:nvPicPr>
        <xdr:cNvPr id="4" name="图片 3">
          <a:extLst>
            <a:ext uri="{FF2B5EF4-FFF2-40B4-BE49-F238E27FC236}">
              <a16:creationId xmlns:a16="http://schemas.microsoft.com/office/drawing/2014/main" id="{C2906241-585D-4CCA-AA70-5E3F16B9D8A0}"/>
            </a:ext>
          </a:extLst>
        </xdr:cNvPr>
        <xdr:cNvPicPr>
          <a:picLocks noChangeAspect="1"/>
        </xdr:cNvPicPr>
      </xdr:nvPicPr>
      <xdr:blipFill>
        <a:blip xmlns:r="http://schemas.openxmlformats.org/officeDocument/2006/relationships" r:embed="rId3"/>
        <a:stretch>
          <a:fillRect/>
        </a:stretch>
      </xdr:blipFill>
      <xdr:spPr>
        <a:xfrm>
          <a:off x="11477625" y="19916082"/>
          <a:ext cx="11339051" cy="1523836"/>
        </a:xfrm>
        <a:prstGeom prst="rect">
          <a:avLst/>
        </a:prstGeom>
      </xdr:spPr>
    </xdr:pic>
    <xdr:clientData/>
  </xdr:twoCellAnchor>
  <xdr:twoCellAnchor editAs="oneCell">
    <xdr:from>
      <xdr:col>24</xdr:col>
      <xdr:colOff>304800</xdr:colOff>
      <xdr:row>4</xdr:row>
      <xdr:rowOff>211035</xdr:rowOff>
    </xdr:from>
    <xdr:to>
      <xdr:col>32</xdr:col>
      <xdr:colOff>361042</xdr:colOff>
      <xdr:row>10</xdr:row>
      <xdr:rowOff>866207</xdr:rowOff>
    </xdr:to>
    <xdr:pic>
      <xdr:nvPicPr>
        <xdr:cNvPr id="5" name="图片 4">
          <a:extLst>
            <a:ext uri="{FF2B5EF4-FFF2-40B4-BE49-F238E27FC236}">
              <a16:creationId xmlns:a16="http://schemas.microsoft.com/office/drawing/2014/main" id="{D5FF6D8E-7D77-47F8-9468-1B8C6A236503}"/>
            </a:ext>
          </a:extLst>
        </xdr:cNvPr>
        <xdr:cNvPicPr>
          <a:picLocks noChangeAspect="1"/>
        </xdr:cNvPicPr>
      </xdr:nvPicPr>
      <xdr:blipFill>
        <a:blip xmlns:r="http://schemas.openxmlformats.org/officeDocument/2006/relationships" r:embed="rId4"/>
        <a:stretch>
          <a:fillRect/>
        </a:stretch>
      </xdr:blipFill>
      <xdr:spPr>
        <a:xfrm>
          <a:off x="18316575" y="1477860"/>
          <a:ext cx="5466442" cy="3417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381000</xdr:colOff>
      <xdr:row>26</xdr:row>
      <xdr:rowOff>66675</xdr:rowOff>
    </xdr:from>
    <xdr:to>
      <xdr:col>28</xdr:col>
      <xdr:colOff>152400</xdr:colOff>
      <xdr:row>49</xdr:row>
      <xdr:rowOff>66675</xdr:rowOff>
    </xdr:to>
    <xdr:graphicFrame macro="">
      <xdr:nvGraphicFramePr>
        <xdr:cNvPr id="4" name="图表 3">
          <a:extLst>
            <a:ext uri="{FF2B5EF4-FFF2-40B4-BE49-F238E27FC236}">
              <a16:creationId xmlns:a16="http://schemas.microsoft.com/office/drawing/2014/main" id="{2FFE596B-5575-425F-A4CC-33CD33267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28574</xdr:colOff>
      <xdr:row>118</xdr:row>
      <xdr:rowOff>47626</xdr:rowOff>
    </xdr:from>
    <xdr:to>
      <xdr:col>20</xdr:col>
      <xdr:colOff>38100</xdr:colOff>
      <xdr:row>135</xdr:row>
      <xdr:rowOff>114300</xdr:rowOff>
    </xdr:to>
    <xdr:graphicFrame macro="">
      <xdr:nvGraphicFramePr>
        <xdr:cNvPr id="5" name="图表 4">
          <a:extLst>
            <a:ext uri="{FF2B5EF4-FFF2-40B4-BE49-F238E27FC236}">
              <a16:creationId xmlns:a16="http://schemas.microsoft.com/office/drawing/2014/main" id="{A4900CC9-B959-4D1E-933D-6C45DC8F0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228599</xdr:colOff>
      <xdr:row>2</xdr:row>
      <xdr:rowOff>123825</xdr:rowOff>
    </xdr:from>
    <xdr:to>
      <xdr:col>30</xdr:col>
      <xdr:colOff>333374</xdr:colOff>
      <xdr:row>20</xdr:row>
      <xdr:rowOff>142874</xdr:rowOff>
    </xdr:to>
    <xdr:graphicFrame macro="">
      <xdr:nvGraphicFramePr>
        <xdr:cNvPr id="6" name="图表 5">
          <a:extLst>
            <a:ext uri="{FF2B5EF4-FFF2-40B4-BE49-F238E27FC236}">
              <a16:creationId xmlns:a16="http://schemas.microsoft.com/office/drawing/2014/main" id="{21D16EB3-549B-4025-9142-7C3ED6F4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104774</xdr:colOff>
      <xdr:row>130</xdr:row>
      <xdr:rowOff>150928</xdr:rowOff>
    </xdr:from>
    <xdr:to>
      <xdr:col>9</xdr:col>
      <xdr:colOff>609165</xdr:colOff>
      <xdr:row>145</xdr:row>
      <xdr:rowOff>157109</xdr:rowOff>
    </xdr:to>
    <xdr:graphicFrame macro="">
      <xdr:nvGraphicFramePr>
        <xdr:cNvPr id="8" name="图表 7">
          <a:extLst>
            <a:ext uri="{FF2B5EF4-FFF2-40B4-BE49-F238E27FC236}">
              <a16:creationId xmlns:a16="http://schemas.microsoft.com/office/drawing/2014/main" id="{FC4B2AD0-84DA-4B5C-A666-826F83F3C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28574</xdr:colOff>
      <xdr:row>116</xdr:row>
      <xdr:rowOff>86935</xdr:rowOff>
    </xdr:from>
    <xdr:to>
      <xdr:col>9</xdr:col>
      <xdr:colOff>647699</xdr:colOff>
      <xdr:row>129</xdr:row>
      <xdr:rowOff>142875</xdr:rowOff>
    </xdr:to>
    <xdr:graphicFrame macro="">
      <xdr:nvGraphicFramePr>
        <xdr:cNvPr id="9" name="图表 8">
          <a:extLst>
            <a:ext uri="{FF2B5EF4-FFF2-40B4-BE49-F238E27FC236}">
              <a16:creationId xmlns:a16="http://schemas.microsoft.com/office/drawing/2014/main" id="{43693B86-D3C6-4C60-B0CA-206CEC88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99</xdr:row>
      <xdr:rowOff>142874</xdr:rowOff>
    </xdr:from>
    <xdr:to>
      <xdr:col>9</xdr:col>
      <xdr:colOff>352425</xdr:colOff>
      <xdr:row>115</xdr:row>
      <xdr:rowOff>75769</xdr:rowOff>
    </xdr:to>
    <xdr:graphicFrame macro="">
      <xdr:nvGraphicFramePr>
        <xdr:cNvPr id="10" name="图表 9">
          <a:extLst>
            <a:ext uri="{FF2B5EF4-FFF2-40B4-BE49-F238E27FC236}">
              <a16:creationId xmlns:a16="http://schemas.microsoft.com/office/drawing/2014/main" id="{373675DA-DE46-4AE6-AB28-3D6A53F29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762000</xdr:colOff>
      <xdr:row>101</xdr:row>
      <xdr:rowOff>76200</xdr:rowOff>
    </xdr:from>
    <xdr:to>
      <xdr:col>19</xdr:col>
      <xdr:colOff>266700</xdr:colOff>
      <xdr:row>118</xdr:row>
      <xdr:rowOff>76200</xdr:rowOff>
    </xdr:to>
    <xdr:graphicFrame macro="">
      <xdr:nvGraphicFramePr>
        <xdr:cNvPr id="11" name="图表 10">
          <a:extLst>
            <a:ext uri="{FF2B5EF4-FFF2-40B4-BE49-F238E27FC236}">
              <a16:creationId xmlns:a16="http://schemas.microsoft.com/office/drawing/2014/main" id="{DB6918F6-F236-4C51-B58B-A8BCA460B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104775</xdr:colOff>
      <xdr:row>147</xdr:row>
      <xdr:rowOff>57150</xdr:rowOff>
    </xdr:from>
    <xdr:to>
      <xdr:col>9</xdr:col>
      <xdr:colOff>390525</xdr:colOff>
      <xdr:row>162</xdr:row>
      <xdr:rowOff>161495</xdr:rowOff>
    </xdr:to>
    <xdr:graphicFrame macro="">
      <xdr:nvGraphicFramePr>
        <xdr:cNvPr id="13" name="图表 12">
          <a:extLst>
            <a:ext uri="{FF2B5EF4-FFF2-40B4-BE49-F238E27FC236}">
              <a16:creationId xmlns:a16="http://schemas.microsoft.com/office/drawing/2014/main" id="{1EAD59F9-17D9-452F-A890-D62534B98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1581150</xdr:colOff>
      <xdr:row>137</xdr:row>
      <xdr:rowOff>47625</xdr:rowOff>
    </xdr:from>
    <xdr:to>
      <xdr:col>19</xdr:col>
      <xdr:colOff>581026</xdr:colOff>
      <xdr:row>154</xdr:row>
      <xdr:rowOff>76199</xdr:rowOff>
    </xdr:to>
    <xdr:graphicFrame macro="">
      <xdr:nvGraphicFramePr>
        <xdr:cNvPr id="14" name="图表 13">
          <a:extLst>
            <a:ext uri="{FF2B5EF4-FFF2-40B4-BE49-F238E27FC236}">
              <a16:creationId xmlns:a16="http://schemas.microsoft.com/office/drawing/2014/main" id="{4A3580C7-D784-42E7-B833-EFA31C264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47625</xdr:colOff>
      <xdr:row>49</xdr:row>
      <xdr:rowOff>161925</xdr:rowOff>
    </xdr:from>
    <xdr:to>
      <xdr:col>35</xdr:col>
      <xdr:colOff>276225</xdr:colOff>
      <xdr:row>61</xdr:row>
      <xdr:rowOff>161925</xdr:rowOff>
    </xdr:to>
    <xdr:graphicFrame macro="">
      <xdr:nvGraphicFramePr>
        <xdr:cNvPr id="12" name="图表 11">
          <a:extLst>
            <a:ext uri="{FF2B5EF4-FFF2-40B4-BE49-F238E27FC236}">
              <a16:creationId xmlns:a16="http://schemas.microsoft.com/office/drawing/2014/main" id="{DB9E9F44-0127-46BD-9D20-1B6320386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676275</xdr:colOff>
      <xdr:row>62</xdr:row>
      <xdr:rowOff>19050</xdr:rowOff>
    </xdr:from>
    <xdr:to>
      <xdr:col>35</xdr:col>
      <xdr:colOff>219075</xdr:colOff>
      <xdr:row>78</xdr:row>
      <xdr:rowOff>19050</xdr:rowOff>
    </xdr:to>
    <xdr:graphicFrame macro="">
      <xdr:nvGraphicFramePr>
        <xdr:cNvPr id="15" name="图表 14">
          <a:extLst>
            <a:ext uri="{FF2B5EF4-FFF2-40B4-BE49-F238E27FC236}">
              <a16:creationId xmlns:a16="http://schemas.microsoft.com/office/drawing/2014/main" id="{BA2367B5-7671-43FB-A310-E4DABC2E9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609600</xdr:colOff>
      <xdr:row>79</xdr:row>
      <xdr:rowOff>57150</xdr:rowOff>
    </xdr:from>
    <xdr:to>
      <xdr:col>35</xdr:col>
      <xdr:colOff>152400</xdr:colOff>
      <xdr:row>96</xdr:row>
      <xdr:rowOff>57150</xdr:rowOff>
    </xdr:to>
    <xdr:graphicFrame macro="">
      <xdr:nvGraphicFramePr>
        <xdr:cNvPr id="16" name="图表 15">
          <a:extLst>
            <a:ext uri="{FF2B5EF4-FFF2-40B4-BE49-F238E27FC236}">
              <a16:creationId xmlns:a16="http://schemas.microsoft.com/office/drawing/2014/main" id="{659B7D7B-2E2B-47D1-8DE7-010C4365C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228600</xdr:colOff>
      <xdr:row>98</xdr:row>
      <xdr:rowOff>152400</xdr:rowOff>
    </xdr:from>
    <xdr:to>
      <xdr:col>35</xdr:col>
      <xdr:colOff>457200</xdr:colOff>
      <xdr:row>115</xdr:row>
      <xdr:rowOff>152400</xdr:rowOff>
    </xdr:to>
    <xdr:graphicFrame macro="">
      <xdr:nvGraphicFramePr>
        <xdr:cNvPr id="17" name="图表 16">
          <a:extLst>
            <a:ext uri="{FF2B5EF4-FFF2-40B4-BE49-F238E27FC236}">
              <a16:creationId xmlns:a16="http://schemas.microsoft.com/office/drawing/2014/main" id="{8877C025-2EF1-4F98-AF46-8A70C7C79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17</xdr:row>
      <xdr:rowOff>47624</xdr:rowOff>
    </xdr:from>
    <xdr:to>
      <xdr:col>6</xdr:col>
      <xdr:colOff>647700</xdr:colOff>
      <xdr:row>33</xdr:row>
      <xdr:rowOff>57149</xdr:rowOff>
    </xdr:to>
    <xdr:graphicFrame macro="">
      <xdr:nvGraphicFramePr>
        <xdr:cNvPr id="3" name="图表 2">
          <a:extLst>
            <a:ext uri="{FF2B5EF4-FFF2-40B4-BE49-F238E27FC236}">
              <a16:creationId xmlns:a16="http://schemas.microsoft.com/office/drawing/2014/main" id="{EF9FE1EE-6D7A-4CBF-84AA-B0761DDEC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33</xdr:row>
      <xdr:rowOff>133350</xdr:rowOff>
    </xdr:from>
    <xdr:to>
      <xdr:col>6</xdr:col>
      <xdr:colOff>666750</xdr:colOff>
      <xdr:row>48</xdr:row>
      <xdr:rowOff>133350</xdr:rowOff>
    </xdr:to>
    <xdr:graphicFrame macro="">
      <xdr:nvGraphicFramePr>
        <xdr:cNvPr id="4" name="图表 3">
          <a:extLst>
            <a:ext uri="{FF2B5EF4-FFF2-40B4-BE49-F238E27FC236}">
              <a16:creationId xmlns:a16="http://schemas.microsoft.com/office/drawing/2014/main" id="{1C9DD7EC-E783-4323-88BC-FFFFEB67F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161925</xdr:colOff>
      <xdr:row>50</xdr:row>
      <xdr:rowOff>74729</xdr:rowOff>
    </xdr:from>
    <xdr:to>
      <xdr:col>14</xdr:col>
      <xdr:colOff>285316</xdr:colOff>
      <xdr:row>65</xdr:row>
      <xdr:rowOff>80910</xdr:rowOff>
    </xdr:to>
    <xdr:graphicFrame macro="">
      <xdr:nvGraphicFramePr>
        <xdr:cNvPr id="5" name="图表 4">
          <a:extLst>
            <a:ext uri="{FF2B5EF4-FFF2-40B4-BE49-F238E27FC236}">
              <a16:creationId xmlns:a16="http://schemas.microsoft.com/office/drawing/2014/main" id="{195FA416-07AB-41C1-A606-BA6EA0DA2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161925</xdr:colOff>
      <xdr:row>18</xdr:row>
      <xdr:rowOff>9525</xdr:rowOff>
    </xdr:from>
    <xdr:to>
      <xdr:col>14</xdr:col>
      <xdr:colOff>428624</xdr:colOff>
      <xdr:row>32</xdr:row>
      <xdr:rowOff>9525</xdr:rowOff>
    </xdr:to>
    <xdr:graphicFrame macro="">
      <xdr:nvGraphicFramePr>
        <xdr:cNvPr id="6" name="图表 5">
          <a:extLst>
            <a:ext uri="{FF2B5EF4-FFF2-40B4-BE49-F238E27FC236}">
              <a16:creationId xmlns:a16="http://schemas.microsoft.com/office/drawing/2014/main" id="{9979AB3E-AD14-454C-99A2-F51BE6B34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352426</xdr:colOff>
      <xdr:row>1</xdr:row>
      <xdr:rowOff>104775</xdr:rowOff>
    </xdr:from>
    <xdr:to>
      <xdr:col>14</xdr:col>
      <xdr:colOff>85725</xdr:colOff>
      <xdr:row>16</xdr:row>
      <xdr:rowOff>113870</xdr:rowOff>
    </xdr:to>
    <xdr:graphicFrame macro="">
      <xdr:nvGraphicFramePr>
        <xdr:cNvPr id="7" name="图表 6">
          <a:extLst>
            <a:ext uri="{FF2B5EF4-FFF2-40B4-BE49-F238E27FC236}">
              <a16:creationId xmlns:a16="http://schemas.microsoft.com/office/drawing/2014/main" id="{8C5B4188-A998-41F1-8292-9EF68D2AA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123826</xdr:colOff>
      <xdr:row>33</xdr:row>
      <xdr:rowOff>152399</xdr:rowOff>
    </xdr:from>
    <xdr:to>
      <xdr:col>14</xdr:col>
      <xdr:colOff>28576</xdr:colOff>
      <xdr:row>50</xdr:row>
      <xdr:rowOff>47196</xdr:rowOff>
    </xdr:to>
    <xdr:graphicFrame macro="">
      <xdr:nvGraphicFramePr>
        <xdr:cNvPr id="8" name="图表 7">
          <a:extLst>
            <a:ext uri="{FF2B5EF4-FFF2-40B4-BE49-F238E27FC236}">
              <a16:creationId xmlns:a16="http://schemas.microsoft.com/office/drawing/2014/main" id="{97CE837E-4321-420D-95EF-31DAC9FE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523874</xdr:colOff>
      <xdr:row>16</xdr:row>
      <xdr:rowOff>152399</xdr:rowOff>
    </xdr:from>
    <xdr:to>
      <xdr:col>21</xdr:col>
      <xdr:colOff>400050</xdr:colOff>
      <xdr:row>30</xdr:row>
      <xdr:rowOff>142874</xdr:rowOff>
    </xdr:to>
    <xdr:graphicFrame macro="">
      <xdr:nvGraphicFramePr>
        <xdr:cNvPr id="9" name="图表 8">
          <a:extLst>
            <a:ext uri="{FF2B5EF4-FFF2-40B4-BE49-F238E27FC236}">
              <a16:creationId xmlns:a16="http://schemas.microsoft.com/office/drawing/2014/main" id="{F73D3A25-E6F3-4177-9D01-E397AEC3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352425</xdr:colOff>
      <xdr:row>2</xdr:row>
      <xdr:rowOff>57150</xdr:rowOff>
    </xdr:from>
    <xdr:to>
      <xdr:col>21</xdr:col>
      <xdr:colOff>180975</xdr:colOff>
      <xdr:row>16</xdr:row>
      <xdr:rowOff>57150</xdr:rowOff>
    </xdr:to>
    <xdr:graphicFrame macro="">
      <xdr:nvGraphicFramePr>
        <xdr:cNvPr id="10" name="图表 9">
          <a:extLst>
            <a:ext uri="{FF2B5EF4-FFF2-40B4-BE49-F238E27FC236}">
              <a16:creationId xmlns:a16="http://schemas.microsoft.com/office/drawing/2014/main" id="{1CB16B9F-56E4-4575-B85D-E09621462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485775</xdr:colOff>
      <xdr:row>33</xdr:row>
      <xdr:rowOff>95249</xdr:rowOff>
    </xdr:from>
    <xdr:to>
      <xdr:col>22</xdr:col>
      <xdr:colOff>190500</xdr:colOff>
      <xdr:row>47</xdr:row>
      <xdr:rowOff>133348</xdr:rowOff>
    </xdr:to>
    <xdr:graphicFrame macro="">
      <xdr:nvGraphicFramePr>
        <xdr:cNvPr id="11" name="图表 10">
          <a:extLst>
            <a:ext uri="{FF2B5EF4-FFF2-40B4-BE49-F238E27FC236}">
              <a16:creationId xmlns:a16="http://schemas.microsoft.com/office/drawing/2014/main" id="{381D804D-187A-4E66-8C6E-4D6E04DA3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xdr:row>
      <xdr:rowOff>152400</xdr:rowOff>
    </xdr:from>
    <xdr:to>
      <xdr:col>7</xdr:col>
      <xdr:colOff>114300</xdr:colOff>
      <xdr:row>65</xdr:row>
      <xdr:rowOff>114300</xdr:rowOff>
    </xdr:to>
    <xdr:graphicFrame macro="">
      <xdr:nvGraphicFramePr>
        <xdr:cNvPr id="13" name="图表 12">
          <a:extLst>
            <a:ext uri="{FF2B5EF4-FFF2-40B4-BE49-F238E27FC236}">
              <a16:creationId xmlns:a16="http://schemas.microsoft.com/office/drawing/2014/main" id="{2E77D785-BFB2-4646-A19E-CB2575FF3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xdr:row>
      <xdr:rowOff>133350</xdr:rowOff>
    </xdr:from>
    <xdr:to>
      <xdr:col>7</xdr:col>
      <xdr:colOff>9525</xdr:colOff>
      <xdr:row>16</xdr:row>
      <xdr:rowOff>0</xdr:rowOff>
    </xdr:to>
    <xdr:graphicFrame macro="">
      <xdr:nvGraphicFramePr>
        <xdr:cNvPr id="14" name="图表 13">
          <a:extLst>
            <a:ext uri="{FF2B5EF4-FFF2-40B4-BE49-F238E27FC236}">
              <a16:creationId xmlns:a16="http://schemas.microsoft.com/office/drawing/2014/main" id="{E1D3BF4C-4228-4C8E-A865-D801877D4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32508;&#21512;/4.&#35810;&#20215;&#21450;&#20854;&#20182;/2021-1-0305-F01ZLGJ6&#21271;&#20140;&#24066;&#28023;&#28096;&#21306;&#21271;&#34562;&#31389;&#36335;5&#21495;&#38498;3&#12289;4&#21495;&#27004;&#35033;&#25151;&#19968;&#23618;&#37096;&#20998;&#21830;&#19994;&#29992;&#25151;/F01/&#20013;&#34892;&#31199;&#37329;&#21271;&#34562;&#31389;-&#20351;&#29992;&#38754;&#31215;-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754;&#3121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一览表"/>
      <sheetName val="成本法"/>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sheetData sheetId="27">
        <row r="49">
          <cell r="C49">
            <v>11.7</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
      <sheetName val="租约"/>
      <sheetName val="Sheet3"/>
    </sheetNames>
    <sheetDataSet>
      <sheetData sheetId="0" refreshError="1"/>
      <sheetData sheetId="1" refreshError="1"/>
      <sheetData sheetId="2">
        <row r="3">
          <cell r="C3" t="str">
            <v>平均有效租金</v>
          </cell>
          <cell r="S3" t="str">
            <v>平均有效租金</v>
          </cell>
          <cell r="T3" t="str">
            <v>空置率</v>
          </cell>
          <cell r="U3" t="str">
            <v>租金增长率</v>
          </cell>
          <cell r="V3" t="str">
            <v>新增供应</v>
          </cell>
          <cell r="W3" t="str">
            <v>存量（㎡）</v>
          </cell>
          <cell r="X3" t="str">
            <v>存量（万㎡）</v>
          </cell>
        </row>
        <row r="4">
          <cell r="R4">
            <v>2016.1</v>
          </cell>
          <cell r="S4">
            <v>339.8</v>
          </cell>
          <cell r="T4">
            <v>3.9E-2</v>
          </cell>
          <cell r="W4">
            <v>9240000</v>
          </cell>
          <cell r="X4">
            <v>924</v>
          </cell>
        </row>
        <row r="5">
          <cell r="R5">
            <v>2016.2</v>
          </cell>
          <cell r="S5">
            <v>337.8</v>
          </cell>
          <cell r="T5">
            <v>4.3999999999999997E-2</v>
          </cell>
          <cell r="U5">
            <v>-5.885815185403178E-3</v>
          </cell>
          <cell r="V5">
            <v>300000</v>
          </cell>
          <cell r="W5">
            <v>9540000</v>
          </cell>
          <cell r="X5">
            <v>954</v>
          </cell>
        </row>
        <row r="6">
          <cell r="R6">
            <v>2016.3</v>
          </cell>
          <cell r="S6">
            <v>337.8</v>
          </cell>
          <cell r="T6">
            <v>4.9000000000000002E-2</v>
          </cell>
          <cell r="U6">
            <v>0</v>
          </cell>
          <cell r="V6">
            <v>220000</v>
          </cell>
          <cell r="W6">
            <v>9760000</v>
          </cell>
          <cell r="X6">
            <v>976</v>
          </cell>
        </row>
        <row r="7">
          <cell r="R7">
            <v>2016.4</v>
          </cell>
          <cell r="S7">
            <v>336.9</v>
          </cell>
          <cell r="T7">
            <v>5.6000000000000001E-2</v>
          </cell>
          <cell r="U7">
            <v>-2.6642984014210599E-3</v>
          </cell>
          <cell r="V7">
            <v>160000</v>
          </cell>
          <cell r="W7">
            <v>9920000</v>
          </cell>
          <cell r="X7">
            <v>992</v>
          </cell>
        </row>
        <row r="8">
          <cell r="R8">
            <v>2017.1</v>
          </cell>
          <cell r="S8">
            <v>335.1</v>
          </cell>
          <cell r="T8">
            <v>6.0999999999999999E-2</v>
          </cell>
          <cell r="U8">
            <v>-5.3428317008012904E-3</v>
          </cell>
          <cell r="V8">
            <v>160000</v>
          </cell>
          <cell r="W8">
            <v>10080000</v>
          </cell>
          <cell r="X8">
            <v>1008</v>
          </cell>
        </row>
        <row r="9">
          <cell r="R9">
            <v>2017.2</v>
          </cell>
          <cell r="S9">
            <v>338.1</v>
          </cell>
          <cell r="T9">
            <v>6.5000000000000002E-2</v>
          </cell>
          <cell r="U9">
            <v>8.9525514771709933E-3</v>
          </cell>
          <cell r="V9">
            <v>120000</v>
          </cell>
          <cell r="W9">
            <v>10200000</v>
          </cell>
          <cell r="X9">
            <v>1020</v>
          </cell>
        </row>
        <row r="10">
          <cell r="R10">
            <v>2017.3</v>
          </cell>
          <cell r="S10">
            <v>338.2</v>
          </cell>
          <cell r="T10">
            <v>5.5E-2</v>
          </cell>
          <cell r="U10">
            <v>2.9577048210578492E-4</v>
          </cell>
          <cell r="V10">
            <v>100000</v>
          </cell>
          <cell r="W10">
            <v>10300000</v>
          </cell>
          <cell r="X10">
            <v>1030</v>
          </cell>
        </row>
        <row r="11">
          <cell r="R11">
            <v>2017.4</v>
          </cell>
          <cell r="S11">
            <v>340</v>
          </cell>
          <cell r="T11">
            <v>7.5999999999999998E-2</v>
          </cell>
          <cell r="U11">
            <v>5.3222945002957172E-3</v>
          </cell>
          <cell r="V11">
            <v>440000</v>
          </cell>
          <cell r="W11">
            <v>10740000</v>
          </cell>
          <cell r="X11">
            <v>1074</v>
          </cell>
        </row>
        <row r="12">
          <cell r="R12">
            <v>2018.1</v>
          </cell>
          <cell r="S12">
            <v>345.3</v>
          </cell>
          <cell r="T12">
            <v>6.8000000000000005E-2</v>
          </cell>
          <cell r="U12">
            <v>1.558823529411768E-2</v>
          </cell>
          <cell r="V12">
            <v>-90000</v>
          </cell>
          <cell r="W12">
            <v>10650000</v>
          </cell>
          <cell r="X12">
            <v>1065</v>
          </cell>
        </row>
        <row r="13">
          <cell r="R13">
            <v>2018.2</v>
          </cell>
          <cell r="S13">
            <v>355</v>
          </cell>
          <cell r="T13">
            <v>5.8000000000000003E-2</v>
          </cell>
          <cell r="U13">
            <v>2.8091514624963766E-2</v>
          </cell>
          <cell r="V13">
            <v>70000</v>
          </cell>
          <cell r="W13">
            <v>10720000</v>
          </cell>
          <cell r="X13">
            <v>1072</v>
          </cell>
        </row>
        <row r="14">
          <cell r="R14">
            <v>2018.3</v>
          </cell>
          <cell r="S14">
            <v>366.9</v>
          </cell>
          <cell r="T14">
            <v>6.5000000000000002E-2</v>
          </cell>
          <cell r="U14">
            <v>3.3521126760563319E-2</v>
          </cell>
          <cell r="V14">
            <v>145000</v>
          </cell>
          <cell r="W14">
            <v>10865000</v>
          </cell>
          <cell r="X14">
            <v>1086.5</v>
          </cell>
        </row>
        <row r="15">
          <cell r="R15">
            <v>2018.4</v>
          </cell>
          <cell r="S15">
            <v>369</v>
          </cell>
          <cell r="T15">
            <v>7.0000000000000007E-2</v>
          </cell>
          <cell r="U15">
            <v>5.7236304170074212E-3</v>
          </cell>
          <cell r="V15">
            <v>157000</v>
          </cell>
          <cell r="W15">
            <v>11022000</v>
          </cell>
          <cell r="X15">
            <v>1102.2</v>
          </cell>
        </row>
        <row r="16">
          <cell r="R16">
            <v>2019.1</v>
          </cell>
          <cell r="S16">
            <v>368</v>
          </cell>
          <cell r="T16">
            <v>6.9000000000000006E-2</v>
          </cell>
          <cell r="U16">
            <v>-2.7100271002710027E-3</v>
          </cell>
          <cell r="V16">
            <v>0</v>
          </cell>
          <cell r="W16">
            <v>11022000</v>
          </cell>
          <cell r="X16">
            <v>1102.2</v>
          </cell>
        </row>
        <row r="17">
          <cell r="R17">
            <v>2019.2</v>
          </cell>
          <cell r="S17">
            <v>368.3</v>
          </cell>
          <cell r="T17">
            <v>8.5999999999999993E-2</v>
          </cell>
          <cell r="U17">
            <v>8.1521739130437868E-4</v>
          </cell>
          <cell r="V17">
            <v>284000</v>
          </cell>
          <cell r="W17">
            <v>11306000</v>
          </cell>
          <cell r="X17">
            <v>1130.5999999999999</v>
          </cell>
        </row>
        <row r="18">
          <cell r="R18">
            <v>2019.3</v>
          </cell>
          <cell r="S18">
            <v>367.6</v>
          </cell>
          <cell r="T18">
            <v>9.1999999999999998E-2</v>
          </cell>
          <cell r="U18">
            <v>-1.9006244909041232E-3</v>
          </cell>
          <cell r="V18">
            <v>180000</v>
          </cell>
          <cell r="W18">
            <v>11486000</v>
          </cell>
          <cell r="X18">
            <v>1148.5999999999999</v>
          </cell>
        </row>
        <row r="19">
          <cell r="R19">
            <v>2019.4</v>
          </cell>
          <cell r="S19">
            <v>364.9</v>
          </cell>
          <cell r="T19">
            <v>0.127</v>
          </cell>
          <cell r="U19">
            <v>-7.344940152339623E-3</v>
          </cell>
          <cell r="V19">
            <v>933000</v>
          </cell>
          <cell r="W19">
            <v>12419000</v>
          </cell>
          <cell r="X19">
            <v>1241.9000000000001</v>
          </cell>
        </row>
        <row r="20">
          <cell r="R20">
            <v>2020.1</v>
          </cell>
          <cell r="S20">
            <v>363</v>
          </cell>
          <cell r="T20">
            <v>0.13200000000000001</v>
          </cell>
          <cell r="U20">
            <v>-5.2069060016442245E-3</v>
          </cell>
          <cell r="V20">
            <v>-41000</v>
          </cell>
          <cell r="W20">
            <v>12378000</v>
          </cell>
          <cell r="X20">
            <v>1237.8</v>
          </cell>
        </row>
        <row r="21">
          <cell r="R21">
            <v>2020.2</v>
          </cell>
          <cell r="S21">
            <v>360.5</v>
          </cell>
          <cell r="T21">
            <v>0.13600000000000001</v>
          </cell>
          <cell r="U21">
            <v>-6.8870523415977963E-3</v>
          </cell>
          <cell r="V21">
            <v>100000</v>
          </cell>
          <cell r="W21">
            <v>12478000</v>
          </cell>
          <cell r="X21">
            <v>1247.8</v>
          </cell>
        </row>
        <row r="22">
          <cell r="R22">
            <v>2020.3</v>
          </cell>
          <cell r="S22">
            <v>354.8</v>
          </cell>
          <cell r="T22">
            <v>0.15</v>
          </cell>
          <cell r="U22">
            <v>-1.5811373092926458E-2</v>
          </cell>
          <cell r="V22">
            <v>248000</v>
          </cell>
          <cell r="W22">
            <v>12726000</v>
          </cell>
          <cell r="X22">
            <v>1272.5999999999999</v>
          </cell>
        </row>
        <row r="23">
          <cell r="R23">
            <v>2020.4</v>
          </cell>
          <cell r="S23">
            <v>349.2</v>
          </cell>
          <cell r="T23">
            <v>0.158</v>
          </cell>
          <cell r="U23">
            <v>-1.578354002254798E-2</v>
          </cell>
          <cell r="V23">
            <v>164000</v>
          </cell>
          <cell r="W23">
            <v>12890000</v>
          </cell>
          <cell r="X23">
            <v>1289</v>
          </cell>
        </row>
        <row r="28">
          <cell r="K28" t="str">
            <v>平均有效租金</v>
          </cell>
          <cell r="L28" t="str">
            <v>空置率</v>
          </cell>
          <cell r="M28" t="str">
            <v>租金增长率</v>
          </cell>
          <cell r="N28" t="str">
            <v>新增供应</v>
          </cell>
          <cell r="O28" t="str">
            <v>库存（㎡）</v>
          </cell>
          <cell r="P28" t="str">
            <v>存量（万㎡）</v>
          </cell>
        </row>
        <row r="29">
          <cell r="J29">
            <v>2016.1</v>
          </cell>
          <cell r="K29">
            <v>325</v>
          </cell>
          <cell r="L29">
            <v>2E-3</v>
          </cell>
          <cell r="O29">
            <v>843800</v>
          </cell>
          <cell r="P29">
            <v>84.38</v>
          </cell>
        </row>
        <row r="30">
          <cell r="J30">
            <v>2016.2</v>
          </cell>
          <cell r="K30">
            <v>327</v>
          </cell>
          <cell r="L30">
            <v>5.0000000000000001E-3</v>
          </cell>
          <cell r="M30">
            <v>6.1538461538461538E-3</v>
          </cell>
          <cell r="N30">
            <v>0</v>
          </cell>
          <cell r="O30">
            <v>843800</v>
          </cell>
          <cell r="P30">
            <v>84.38</v>
          </cell>
        </row>
        <row r="31">
          <cell r="J31">
            <v>2016.3</v>
          </cell>
          <cell r="K31">
            <v>329</v>
          </cell>
          <cell r="L31">
            <v>4.0000000000000001E-3</v>
          </cell>
          <cell r="M31">
            <v>6.1162079510703364E-3</v>
          </cell>
          <cell r="N31">
            <v>0</v>
          </cell>
          <cell r="O31">
            <v>843800</v>
          </cell>
          <cell r="P31">
            <v>84.38</v>
          </cell>
        </row>
        <row r="32">
          <cell r="J32">
            <v>2016.4</v>
          </cell>
          <cell r="K32">
            <v>324</v>
          </cell>
          <cell r="L32">
            <v>4.0000000000000001E-3</v>
          </cell>
          <cell r="M32">
            <v>-1.5197568389057751E-2</v>
          </cell>
          <cell r="N32">
            <v>-71500</v>
          </cell>
          <cell r="O32">
            <v>772300</v>
          </cell>
          <cell r="P32">
            <v>77.23</v>
          </cell>
        </row>
        <row r="33">
          <cell r="J33">
            <v>2017.1</v>
          </cell>
          <cell r="K33">
            <v>325</v>
          </cell>
          <cell r="L33">
            <v>3.0000000000000001E-3</v>
          </cell>
          <cell r="M33">
            <v>3.0864197530864196E-3</v>
          </cell>
          <cell r="N33">
            <v>0</v>
          </cell>
          <cell r="O33">
            <v>772300</v>
          </cell>
          <cell r="P33">
            <v>77.23</v>
          </cell>
        </row>
        <row r="34">
          <cell r="J34">
            <v>2017.2</v>
          </cell>
          <cell r="K34">
            <v>324</v>
          </cell>
          <cell r="L34">
            <v>7.0000000000000001E-3</v>
          </cell>
          <cell r="M34">
            <v>-3.0769230769230769E-3</v>
          </cell>
          <cell r="N34">
            <v>0</v>
          </cell>
          <cell r="O34">
            <v>772300</v>
          </cell>
          <cell r="P34">
            <v>77.23</v>
          </cell>
        </row>
        <row r="35">
          <cell r="J35">
            <v>2017.3</v>
          </cell>
          <cell r="K35">
            <v>324</v>
          </cell>
          <cell r="L35">
            <v>0.01</v>
          </cell>
          <cell r="M35">
            <v>0</v>
          </cell>
          <cell r="N35">
            <v>0</v>
          </cell>
          <cell r="O35">
            <v>772300</v>
          </cell>
          <cell r="P35">
            <v>77.23</v>
          </cell>
        </row>
        <row r="36">
          <cell r="J36">
            <v>2017.4</v>
          </cell>
          <cell r="K36">
            <v>330</v>
          </cell>
          <cell r="L36">
            <v>8.9999999999999993E-3</v>
          </cell>
          <cell r="M36">
            <v>1.8518518518518517E-2</v>
          </cell>
          <cell r="N36">
            <v>0</v>
          </cell>
          <cell r="O36">
            <v>772300</v>
          </cell>
          <cell r="P36">
            <v>77.23</v>
          </cell>
        </row>
        <row r="37">
          <cell r="J37">
            <v>2018.1</v>
          </cell>
          <cell r="K37">
            <v>340</v>
          </cell>
          <cell r="L37">
            <v>5.0000000000000001E-3</v>
          </cell>
          <cell r="M37">
            <v>3.0303030303030304E-2</v>
          </cell>
          <cell r="N37">
            <v>0</v>
          </cell>
          <cell r="O37">
            <v>772300</v>
          </cell>
          <cell r="P37">
            <v>77.23</v>
          </cell>
        </row>
        <row r="38">
          <cell r="J38">
            <v>2018.2</v>
          </cell>
          <cell r="K38">
            <v>341</v>
          </cell>
          <cell r="L38">
            <v>5.0000000000000001E-3</v>
          </cell>
          <cell r="M38">
            <v>2.9411764705882353E-3</v>
          </cell>
          <cell r="N38">
            <v>0</v>
          </cell>
          <cell r="O38">
            <v>772300</v>
          </cell>
          <cell r="P38">
            <v>77.23</v>
          </cell>
        </row>
        <row r="39">
          <cell r="J39">
            <v>2018.3</v>
          </cell>
          <cell r="K39">
            <v>346</v>
          </cell>
          <cell r="L39">
            <v>1E-3</v>
          </cell>
          <cell r="M39">
            <v>1.466275659824047E-2</v>
          </cell>
          <cell r="N39">
            <v>0</v>
          </cell>
          <cell r="O39">
            <v>772300</v>
          </cell>
          <cell r="P39">
            <v>77.23</v>
          </cell>
        </row>
        <row r="40">
          <cell r="J40">
            <v>2018.4</v>
          </cell>
          <cell r="K40">
            <v>346</v>
          </cell>
          <cell r="L40">
            <v>3.0000000000000001E-3</v>
          </cell>
          <cell r="M40">
            <v>0</v>
          </cell>
          <cell r="N40">
            <v>0</v>
          </cell>
          <cell r="O40">
            <v>772300</v>
          </cell>
          <cell r="P40">
            <v>77.23</v>
          </cell>
        </row>
        <row r="41">
          <cell r="J41">
            <v>2019.1</v>
          </cell>
          <cell r="K41">
            <v>345</v>
          </cell>
          <cell r="L41">
            <v>3.0000000000000001E-3</v>
          </cell>
          <cell r="M41">
            <v>-2.8901734104046241E-3</v>
          </cell>
          <cell r="N41">
            <v>0</v>
          </cell>
          <cell r="O41">
            <v>772300</v>
          </cell>
          <cell r="P41">
            <v>77.23</v>
          </cell>
        </row>
        <row r="42">
          <cell r="J42">
            <v>2019.2</v>
          </cell>
          <cell r="K42">
            <v>342</v>
          </cell>
          <cell r="L42">
            <v>3.0000000000000001E-3</v>
          </cell>
          <cell r="M42">
            <v>-8.6956521739130436E-3</v>
          </cell>
          <cell r="N42">
            <v>0</v>
          </cell>
          <cell r="O42">
            <v>772300</v>
          </cell>
          <cell r="P42">
            <v>77.23</v>
          </cell>
        </row>
        <row r="43">
          <cell r="J43">
            <v>2019.3</v>
          </cell>
          <cell r="K43">
            <v>342</v>
          </cell>
          <cell r="L43">
            <v>3.0000000000000001E-3</v>
          </cell>
          <cell r="M43">
            <v>0</v>
          </cell>
          <cell r="N43">
            <v>0</v>
          </cell>
          <cell r="O43">
            <v>772300</v>
          </cell>
          <cell r="P43">
            <v>77.23</v>
          </cell>
        </row>
        <row r="44">
          <cell r="J44">
            <v>2019.4</v>
          </cell>
          <cell r="K44">
            <v>342</v>
          </cell>
          <cell r="L44">
            <v>3.0000000000000001E-3</v>
          </cell>
          <cell r="M44">
            <v>0</v>
          </cell>
          <cell r="N44">
            <v>0</v>
          </cell>
          <cell r="O44">
            <v>772300</v>
          </cell>
          <cell r="P44">
            <v>77.23</v>
          </cell>
        </row>
        <row r="45">
          <cell r="J45">
            <v>2020.1</v>
          </cell>
          <cell r="K45">
            <v>342</v>
          </cell>
          <cell r="L45">
            <v>5.0000000000000001E-3</v>
          </cell>
          <cell r="M45">
            <v>0</v>
          </cell>
          <cell r="N45">
            <v>0</v>
          </cell>
          <cell r="O45">
            <v>772300</v>
          </cell>
          <cell r="P45">
            <v>77.23</v>
          </cell>
        </row>
        <row r="46">
          <cell r="J46">
            <v>2020.2</v>
          </cell>
          <cell r="K46">
            <v>334</v>
          </cell>
          <cell r="L46">
            <v>7.0000000000000001E-3</v>
          </cell>
          <cell r="M46">
            <v>-2.3391812865497075E-2</v>
          </cell>
          <cell r="N46">
            <v>0</v>
          </cell>
          <cell r="O46">
            <v>772300</v>
          </cell>
          <cell r="P46">
            <v>77.23</v>
          </cell>
        </row>
        <row r="47">
          <cell r="J47">
            <v>2020.3</v>
          </cell>
          <cell r="K47">
            <v>333</v>
          </cell>
          <cell r="L47">
            <v>6.0000000000000001E-3</v>
          </cell>
          <cell r="M47">
            <v>-2.9940119760479044E-3</v>
          </cell>
          <cell r="N47">
            <v>0</v>
          </cell>
          <cell r="O47">
            <v>772300</v>
          </cell>
          <cell r="P47">
            <v>77.23</v>
          </cell>
        </row>
        <row r="48">
          <cell r="J48">
            <v>2020.4</v>
          </cell>
          <cell r="K48">
            <v>318</v>
          </cell>
          <cell r="L48">
            <v>0.11899999999999999</v>
          </cell>
          <cell r="M48">
            <v>-4.5045045045045043E-2</v>
          </cell>
          <cell r="N48">
            <v>124000</v>
          </cell>
          <cell r="O48">
            <v>896300</v>
          </cell>
          <cell r="P48">
            <v>89.63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3.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 ca="1">'预评函-封皮'!B46</f>
        <v>梁津（注册号：1119970066)、陈颖（注册号：0)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估价对象为北京市房地产，为所有。根据《国有土地使用证》[]，估价对象（分摊）出让国有建设用地使用权面积为5933.24平方米，建筑面积为47689.05平方米。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估价对象为北京市房地产,属开发建设的，该项目尚在开发建设中。根据《国有土地使用证》[]，估价对象（分摊）出让国有建设用地使用权面积为5933.24平方米，规划建筑面积为47689.05平方米。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2017年6月28日</v>
      </c>
    </row>
    <row r="13" spans="1:2" s="1365" customFormat="1">
      <c r="A13" s="1363" t="s">
        <v>1194</v>
      </c>
      <c r="B13" s="1364" t="str">
        <f>'预评函-1'!A18</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179559</v>
      </c>
    </row>
    <row r="21" spans="1:2" s="1365" customFormat="1">
      <c r="A21" s="1363" t="s">
        <v>1202</v>
      </c>
      <c r="B21" s="1364">
        <f ca="1">'预评函-2'!D7</f>
        <v>37652</v>
      </c>
    </row>
    <row r="22" spans="1:2" s="1365" customFormat="1">
      <c r="A22" s="1363" t="s">
        <v>1203</v>
      </c>
      <c r="B22" s="1364" t="str">
        <f ca="1">'预评函-2'!D6</f>
        <v>壹拾柒亿玖仟伍佰伍拾玖万元整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179559</v>
      </c>
    </row>
    <row r="31" spans="1:2" s="1365" customFormat="1">
      <c r="A31" s="1363" t="s">
        <v>1241</v>
      </c>
      <c r="B31" s="1364">
        <f ca="1">'预评函-2'!D15</f>
        <v>37652</v>
      </c>
    </row>
    <row r="32" spans="1:2" s="1365" customFormat="1">
      <c r="A32" s="1363" t="s">
        <v>1208</v>
      </c>
      <c r="B32" s="1364" t="str">
        <f ca="1">'预评函-2'!D14</f>
        <v>壹拾柒亿玖仟伍佰伍拾玖万元整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47689.05</v>
      </c>
    </row>
    <row r="44" spans="1:2" s="1365" customFormat="1">
      <c r="A44" s="1363" t="s">
        <v>1240</v>
      </c>
      <c r="B44" s="1364" t="str">
        <f>'预评函-3'!C2</f>
        <v>(分摊)土地面积</v>
      </c>
    </row>
    <row r="45" spans="1:2" s="1365" customFormat="1">
      <c r="A45" s="1363" t="s">
        <v>1212</v>
      </c>
      <c r="B45" s="1364">
        <f>'预评函-3'!C4</f>
        <v>5933.24</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梁津</v>
      </c>
    </row>
    <row r="71" spans="1:2">
      <c r="A71" s="1363" t="s">
        <v>1228</v>
      </c>
      <c r="B71" s="1364">
        <f ca="1">'预评函-4'!B4</f>
        <v>1119970066</v>
      </c>
    </row>
    <row r="72" spans="1:2">
      <c r="A72" s="1363" t="s">
        <v>1229</v>
      </c>
      <c r="B72" s="1372" t="str">
        <f>'预评函-4'!A5</f>
        <v>陈颖</v>
      </c>
    </row>
    <row r="73" spans="1:2" s="1359" customFormat="1" ht="15" thickBot="1">
      <c r="A73" s="1366" t="s">
        <v>1230</v>
      </c>
      <c r="B73" s="1367">
        <f ca="1">'预评函-4'!B5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1" sqref="C21"/>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3033</v>
      </c>
      <c r="C17" s="1732"/>
    </row>
    <row r="18" spans="1:3">
      <c r="A18" s="1731" t="s">
        <v>1732</v>
      </c>
      <c r="B18" s="1731" t="s">
        <v>3101</v>
      </c>
      <c r="C18" s="1732"/>
    </row>
    <row r="19" spans="1:3">
      <c r="A19" s="1731" t="s">
        <v>1733</v>
      </c>
      <c r="B19" s="1731" t="s">
        <v>3103</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54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739" t="s">
        <v>832</v>
      </c>
      <c r="C54" s="1736" t="s">
        <v>1248</v>
      </c>
    </row>
    <row r="55" spans="1:4">
      <c r="A55" s="3545"/>
      <c r="B55" s="1739" t="s">
        <v>833</v>
      </c>
      <c r="C55" s="1736" t="s">
        <v>1249</v>
      </c>
    </row>
    <row r="56" spans="1:4">
      <c r="A56" s="3545"/>
      <c r="B56" s="1739" t="s">
        <v>834</v>
      </c>
      <c r="C56" s="1736" t="s">
        <v>1253</v>
      </c>
    </row>
    <row r="57" spans="1:4">
      <c r="A57" s="354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554" t="str">
        <f>IF(B10="北京市","北京市",C10)&amp;F10&amp;IF(结果表!G1="在建","出让国有建设用地使用权及在建建筑物",IF(结果表!G1="土地","出让国有建设用地使用权",))&amp;B9&amp;"预评估"</f>
        <v>北京市预评估</v>
      </c>
      <c r="C1" s="3555"/>
      <c r="D1" s="3555"/>
      <c r="E1" s="3555"/>
      <c r="F1" s="3555"/>
      <c r="G1" s="3555"/>
      <c r="H1" s="3555"/>
      <c r="I1" s="3556"/>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v>
      </c>
      <c r="T1" s="1931"/>
      <c r="U1" s="1931"/>
      <c r="V1" s="1931"/>
      <c r="W1" s="1931"/>
      <c r="X1" s="1931"/>
      <c r="Y1" s="1931"/>
      <c r="Z1" s="1931"/>
      <c r="AA1" s="1931"/>
      <c r="AB1" s="1931"/>
    </row>
    <row r="2" spans="1:28">
      <c r="A2" s="2591" t="s">
        <v>2912</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c r="C3" s="2598" t="s">
        <v>2914</v>
      </c>
      <c r="D3" s="2597">
        <v>42914</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t="s">
        <v>3227</v>
      </c>
      <c r="C4" s="2600">
        <f ca="1">SUMIF(注册房地产估价师,B4,估价师及机构信息!B3:B24)</f>
        <v>1119970066</v>
      </c>
      <c r="D4" s="2599" t="s">
        <v>3228</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梁津（注册号：1119970066)、陈颖（注册号：0)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2918</v>
      </c>
      <c r="B7" s="2611"/>
      <c r="C7" s="2609"/>
      <c r="D7" s="2610"/>
      <c r="E7" s="2887"/>
      <c r="F7" s="2889"/>
      <c r="G7" s="2889"/>
      <c r="H7" s="2889"/>
      <c r="I7" s="2889"/>
      <c r="J7" s="2665"/>
      <c r="K7" s="2840"/>
      <c r="L7" s="2837"/>
      <c r="M7" s="2837"/>
      <c r="N7" s="2665"/>
      <c r="O7" s="2676"/>
      <c r="P7" s="2665"/>
      <c r="Q7" s="2665"/>
      <c r="R7" s="2665"/>
    </row>
    <row r="8" spans="1:28">
      <c r="A8" s="2612" t="s">
        <v>2919</v>
      </c>
      <c r="B8" s="2613"/>
      <c r="C8" s="2614"/>
      <c r="D8" s="3557" t="s">
        <v>2920</v>
      </c>
      <c r="E8" s="2615"/>
      <c r="F8" s="2616"/>
      <c r="G8" s="2888"/>
      <c r="H8" s="2888"/>
      <c r="I8" s="2888"/>
      <c r="J8" s="2665"/>
      <c r="K8" s="2838"/>
      <c r="L8" s="2837"/>
      <c r="M8" s="2837"/>
      <c r="N8" s="2665"/>
      <c r="O8" s="2676"/>
      <c r="P8" s="2665"/>
      <c r="Q8" s="2665"/>
      <c r="R8" s="2665"/>
    </row>
    <row r="9" spans="1:28" ht="13.5" thickBot="1">
      <c r="A9" s="2617" t="s">
        <v>2921</v>
      </c>
      <c r="B9" s="2618"/>
      <c r="C9" s="2619"/>
      <c r="D9" s="3558"/>
      <c r="E9" s="2618"/>
      <c r="F9" s="2620"/>
      <c r="G9" s="2890"/>
      <c r="H9" s="2890"/>
      <c r="I9" s="2890"/>
      <c r="J9" s="2665"/>
      <c r="K9" s="2840"/>
      <c r="L9" s="2837"/>
      <c r="M9" s="2837"/>
      <c r="N9" s="2665"/>
      <c r="O9" s="2676"/>
      <c r="P9" s="2665"/>
      <c r="Q9" s="2665"/>
      <c r="R9" s="2665"/>
    </row>
    <row r="10" spans="1:28" ht="13.5" thickTop="1">
      <c r="A10" s="2621" t="s">
        <v>2922</v>
      </c>
      <c r="B10" s="2622" t="s">
        <v>3060</v>
      </c>
      <c r="C10" s="2623"/>
      <c r="D10" s="2606"/>
      <c r="E10" s="2624" t="s">
        <v>2923</v>
      </c>
      <c r="F10" s="2891"/>
      <c r="G10" s="2892"/>
      <c r="H10" s="2893"/>
      <c r="I10" s="2894"/>
      <c r="J10" s="2665"/>
      <c r="K10" s="2840"/>
      <c r="L10" s="2837"/>
      <c r="M10" s="2837"/>
      <c r="N10" s="2665"/>
      <c r="O10" s="2676"/>
      <c r="P10" s="2665"/>
      <c r="Q10" s="2665"/>
      <c r="R10" s="2665"/>
    </row>
    <row r="11" spans="1:28">
      <c r="A11" s="2625" t="s">
        <v>2924</v>
      </c>
      <c r="B11" s="2626" t="s">
        <v>3059</v>
      </c>
      <c r="C11" s="2627"/>
      <c r="D11" s="2628"/>
      <c r="E11" s="2594"/>
      <c r="F11" s="2594"/>
      <c r="G11" s="2594"/>
      <c r="H11" s="2594"/>
      <c r="I11" s="2594"/>
      <c r="J11" s="2665"/>
      <c r="K11" s="2840"/>
      <c r="L11" s="2837"/>
      <c r="M11" s="2837"/>
      <c r="N11" s="2665"/>
      <c r="O11" s="2676"/>
      <c r="P11" s="2665"/>
      <c r="Q11" s="2665"/>
      <c r="R11" s="2665"/>
    </row>
    <row r="12" spans="1:28">
      <c r="A12" s="2629" t="s">
        <v>2925</v>
      </c>
      <c r="B12" s="2626" t="s">
        <v>3058</v>
      </c>
      <c r="C12" s="329" t="s">
        <v>2926</v>
      </c>
      <c r="D12" s="2630" t="s">
        <v>2927</v>
      </c>
      <c r="E12" s="2630" t="s">
        <v>2928</v>
      </c>
      <c r="F12" s="2630" t="s">
        <v>2929</v>
      </c>
      <c r="G12" s="2630" t="s">
        <v>2930</v>
      </c>
      <c r="H12" s="2630" t="s">
        <v>2931</v>
      </c>
      <c r="I12" s="2630" t="s">
        <v>2932</v>
      </c>
      <c r="J12" s="3134">
        <v>55718</v>
      </c>
      <c r="K12" s="2840"/>
      <c r="L12" s="2837"/>
      <c r="M12" s="2837"/>
      <c r="N12" s="2665"/>
      <c r="O12" s="2676"/>
      <c r="P12" s="2665"/>
      <c r="Q12" s="2665"/>
      <c r="R12" s="2665"/>
    </row>
    <row r="13" spans="1:28">
      <c r="A13" s="1241"/>
      <c r="B13" s="2631"/>
      <c r="C13" s="2632" t="s">
        <v>2933</v>
      </c>
      <c r="D13" s="965"/>
      <c r="E13" s="965">
        <v>52065</v>
      </c>
      <c r="F13" s="965">
        <v>55718</v>
      </c>
      <c r="G13" s="965">
        <v>55718</v>
      </c>
      <c r="H13" s="965">
        <v>57026</v>
      </c>
      <c r="I13" s="965"/>
      <c r="J13" s="3134">
        <v>57026</v>
      </c>
      <c r="K13" s="2840"/>
      <c r="L13" s="2837"/>
      <c r="M13" s="2837"/>
      <c r="N13" s="2665"/>
      <c r="O13" s="2676"/>
      <c r="P13" s="2665"/>
      <c r="Q13" s="2665"/>
      <c r="R13" s="2665"/>
    </row>
    <row r="14" spans="1:28">
      <c r="A14" s="1241"/>
      <c r="B14" s="2631"/>
      <c r="C14" s="2632" t="s">
        <v>2934</v>
      </c>
      <c r="D14" s="2633"/>
      <c r="E14" s="2633">
        <v>40</v>
      </c>
      <c r="F14" s="2633">
        <v>50</v>
      </c>
      <c r="G14" s="2633">
        <v>50</v>
      </c>
      <c r="H14" s="2633"/>
      <c r="I14" s="2633"/>
      <c r="J14" s="2665"/>
      <c r="K14" s="2841"/>
      <c r="L14" s="2837"/>
      <c r="M14" s="2837"/>
      <c r="N14" s="2665"/>
      <c r="O14" s="2676"/>
      <c r="P14" s="2665"/>
      <c r="Q14" s="2665"/>
      <c r="R14" s="2665"/>
    </row>
    <row r="15" spans="1:28">
      <c r="A15" s="326"/>
      <c r="B15" s="2634"/>
      <c r="C15" s="2635" t="s">
        <v>2935</v>
      </c>
      <c r="D15" s="2636" t="str">
        <f>IF(B12="出让",IF(D13="","",ROUNDDOWN(MIN((D13-$D$3)/365,D14),2)),D14)</f>
        <v/>
      </c>
      <c r="E15" s="2636">
        <f>IF(B12="出让",IF(E13="","",ROUNDDOWN(MIN((E13-$D$3)/365,E14),2)),E14)</f>
        <v>25.07</v>
      </c>
      <c r="F15" s="2636">
        <f>IF(B12="出让",IF(F13="","",ROUNDDOWN(MIN((F13-$D$3)/365,F14),2)),F14)</f>
        <v>35.07</v>
      </c>
      <c r="G15" s="2636">
        <f>IF(B12="出让",IF(G13="","",ROUNDDOWN(MIN((G13-$D$3)/365,G14),2)),G14)</f>
        <v>35.07</v>
      </c>
      <c r="H15" s="2636">
        <f>IF(B12="出让",IF(H13="","",ROUNDDOWN(MIN((H13-$D$3)/365,H14),2)),H14)</f>
        <v>38.659999999999997</v>
      </c>
      <c r="I15" s="2636" t="str">
        <f>IF(B12="出让",IF(I13="","",ROUNDDOWN(MIN((I13-$D$3)/365,I14),2)),I14)</f>
        <v/>
      </c>
      <c r="J15" s="2665"/>
      <c r="K15" s="2842"/>
      <c r="L15" s="2677"/>
      <c r="M15" s="2677"/>
      <c r="N15" s="2733"/>
      <c r="O15" s="2677"/>
      <c r="P15" s="2733"/>
      <c r="Q15" s="2665"/>
      <c r="R15" s="2665"/>
    </row>
    <row r="16" spans="1:28">
      <c r="A16" s="2624" t="s">
        <v>2936</v>
      </c>
      <c r="B16" s="3564"/>
      <c r="C16" s="3565"/>
      <c r="D16" s="3566"/>
      <c r="E16" s="2639" t="s">
        <v>2937</v>
      </c>
      <c r="F16" s="3567"/>
      <c r="G16" s="3568"/>
      <c r="H16" s="3568"/>
      <c r="I16" s="3569"/>
      <c r="J16" s="2665"/>
      <c r="K16" s="2842"/>
      <c r="L16" s="2677"/>
      <c r="M16" s="2677"/>
      <c r="N16" s="2733"/>
      <c r="O16" s="2677"/>
      <c r="P16" s="2733"/>
      <c r="Q16" s="2665"/>
      <c r="R16" s="2665"/>
    </row>
    <row r="17" spans="1:28">
      <c r="A17" s="319" t="s">
        <v>2938</v>
      </c>
      <c r="B17" s="308" t="s">
        <v>2939</v>
      </c>
      <c r="C17" s="11">
        <f>'数据-汇总表'!E3</f>
        <v>47689.05</v>
      </c>
      <c r="D17" s="2545" t="s">
        <v>2940</v>
      </c>
      <c r="E17" s="3570" t="s">
        <v>2941</v>
      </c>
      <c r="F17" s="3571"/>
      <c r="G17" s="3571"/>
      <c r="H17" s="3571"/>
      <c r="I17" s="3572"/>
      <c r="J17" s="2665"/>
      <c r="K17" s="2843"/>
      <c r="L17" s="2677"/>
      <c r="M17" s="2677"/>
      <c r="N17" s="2733"/>
      <c r="O17" s="2677"/>
      <c r="P17" s="2733"/>
      <c r="Q17" s="2665"/>
      <c r="R17" s="2665"/>
      <c r="S17" s="2665"/>
      <c r="T17" s="2665"/>
      <c r="U17" s="2665"/>
      <c r="V17" s="2665"/>
    </row>
    <row r="18" spans="1:28" ht="24.75" thickBot="1">
      <c r="A18" s="2640" t="s">
        <v>2942</v>
      </c>
      <c r="B18" s="1250" t="s">
        <v>2943</v>
      </c>
      <c r="C18" s="2641">
        <f>'数据-汇总表'!D3</f>
        <v>5933.24</v>
      </c>
      <c r="D18" s="1252" t="s">
        <v>2944</v>
      </c>
      <c r="E18" s="3573" t="s">
        <v>2945</v>
      </c>
      <c r="F18" s="3574"/>
      <c r="G18" s="3574"/>
      <c r="H18" s="3574"/>
      <c r="I18" s="3575"/>
      <c r="J18" s="2665"/>
      <c r="K18" s="2843"/>
      <c r="L18" s="2677"/>
      <c r="M18" s="2677"/>
      <c r="N18" s="2733"/>
      <c r="O18" s="2677"/>
      <c r="P18" s="2733"/>
      <c r="Q18" s="2665"/>
      <c r="R18" s="2665"/>
      <c r="S18" s="2665"/>
      <c r="T18" s="2665"/>
      <c r="U18" s="2665"/>
      <c r="V18" s="2665"/>
    </row>
    <row r="19" spans="1:28" ht="37.5" thickTop="1" thickBot="1">
      <c r="A19" s="333" t="s">
        <v>1741</v>
      </c>
      <c r="B19" s="313" t="s">
        <v>2946</v>
      </c>
      <c r="C19" s="1748"/>
      <c r="D19" s="1749" t="s">
        <v>2947</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2948</v>
      </c>
      <c r="B20" s="3560" t="s">
        <v>2949</v>
      </c>
      <c r="C20" s="3561"/>
      <c r="D20" s="3562" t="s">
        <v>2950</v>
      </c>
      <c r="E20" s="3563"/>
      <c r="F20" s="2872" t="s">
        <v>1742</v>
      </c>
      <c r="G20" s="2889"/>
      <c r="H20" s="2889"/>
      <c r="I20" s="2889"/>
      <c r="J20" s="2665"/>
      <c r="K20" s="3559"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2952</v>
      </c>
      <c r="C21" s="2859" t="s">
        <v>1743</v>
      </c>
      <c r="D21" s="1753" t="s">
        <v>2953</v>
      </c>
      <c r="E21" s="2860" t="s">
        <v>1743</v>
      </c>
      <c r="F21" s="2873"/>
      <c r="G21" s="2889"/>
      <c r="H21" s="2889"/>
      <c r="I21" s="2889"/>
      <c r="J21" s="2665"/>
      <c r="K21" s="355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2954</v>
      </c>
      <c r="C22" s="2859" t="s">
        <v>1744</v>
      </c>
      <c r="D22" s="2888"/>
      <c r="E22" s="2888"/>
      <c r="F22" s="2888"/>
      <c r="G22" s="2889"/>
      <c r="H22" s="2889"/>
      <c r="I22" s="2889"/>
      <c r="J22" s="2665"/>
      <c r="K22" s="355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2955</v>
      </c>
      <c r="B23" s="2726" t="s">
        <v>2956</v>
      </c>
      <c r="C23" s="2863"/>
      <c r="D23" s="2864" t="s">
        <v>2956</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547" t="s">
        <v>2957</v>
      </c>
      <c r="B27" s="326" t="s">
        <v>2958</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547"/>
      <c r="B28" s="308" t="s">
        <v>2959</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547"/>
      <c r="B29" s="308" t="s">
        <v>2960</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548"/>
      <c r="B30" s="308" t="s">
        <v>2961</v>
      </c>
      <c r="C30" s="3549"/>
      <c r="D30" s="3550"/>
      <c r="E30" s="2889"/>
      <c r="F30" s="2889"/>
      <c r="G30" s="2889"/>
      <c r="H30" s="2889"/>
      <c r="I30" s="2889"/>
      <c r="J30" s="2665"/>
      <c r="K30" s="2840"/>
      <c r="L30" s="2837"/>
      <c r="M30" s="2837"/>
      <c r="N30" s="2665"/>
      <c r="O30" s="2676"/>
      <c r="P30" s="2665"/>
      <c r="Q30" s="2665"/>
      <c r="R30" s="2665"/>
      <c r="S30" s="2665"/>
      <c r="T30" s="2665"/>
      <c r="U30" s="2665"/>
      <c r="V30" s="2665"/>
    </row>
    <row r="31" spans="1:28">
      <c r="A31" s="3551" t="s">
        <v>2962</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552"/>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552"/>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2963</v>
      </c>
      <c r="B34" s="2214"/>
      <c r="C34" s="2214"/>
      <c r="D34" s="2214"/>
      <c r="E34" s="2214"/>
      <c r="F34" s="2214"/>
      <c r="G34" s="2214"/>
      <c r="H34" s="2214"/>
      <c r="I34" s="2889"/>
      <c r="J34" s="2665"/>
      <c r="K34" s="2653">
        <f>COUNTIF(B34:H34,"——")</f>
        <v>0</v>
      </c>
      <c r="L34" s="329" t="s">
        <v>2964</v>
      </c>
      <c r="M34" s="329" t="s">
        <v>2965</v>
      </c>
      <c r="N34" s="329" t="s">
        <v>2966</v>
      </c>
      <c r="O34" s="329" t="s">
        <v>2967</v>
      </c>
      <c r="P34" s="329" t="s">
        <v>2968</v>
      </c>
      <c r="Q34" s="329" t="s">
        <v>2969</v>
      </c>
      <c r="R34" s="329" t="s">
        <v>2970</v>
      </c>
      <c r="S34" s="3546" t="s">
        <v>2971</v>
      </c>
      <c r="T34" s="2654" t="str">
        <f>NUMBERSTRING(7-K34,1)&amp;"通"</f>
        <v>七通</v>
      </c>
      <c r="U34" s="2665"/>
      <c r="V34" s="2665"/>
    </row>
    <row r="35" spans="1:30">
      <c r="A35" s="2655"/>
      <c r="B35" s="3553" t="s">
        <v>2972</v>
      </c>
      <c r="C35" s="3553"/>
      <c r="D35" s="3553"/>
      <c r="E35" s="3553"/>
      <c r="F35" s="673">
        <f>C10</f>
        <v>0</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46"/>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5"/>
      <c r="G36" s="2889"/>
      <c r="H36" s="2889"/>
      <c r="I36" s="2889"/>
      <c r="J36" s="2665"/>
      <c r="K36" s="2840"/>
      <c r="L36" s="2837"/>
      <c r="M36" s="2837"/>
      <c r="N36" s="2665"/>
      <c r="O36" s="2676"/>
      <c r="P36" s="2665"/>
      <c r="Q36" s="2665"/>
      <c r="R36" s="2665"/>
      <c r="S36" s="2665"/>
      <c r="T36" s="2665"/>
      <c r="U36" s="2665"/>
      <c r="V36" s="2665"/>
    </row>
    <row r="37" spans="1:30">
      <c r="A37" s="2855" t="s">
        <v>2973</v>
      </c>
      <c r="B37" s="2657" t="s">
        <v>212</v>
      </c>
      <c r="C37" s="2657" t="s">
        <v>212</v>
      </c>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2974</v>
      </c>
      <c r="B38" s="2658" t="s">
        <v>201</v>
      </c>
      <c r="C38" s="2658" t="s">
        <v>201</v>
      </c>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2976</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1" t="s">
        <v>2986</v>
      </c>
      <c r="K42" s="2852" t="s">
        <v>2987</v>
      </c>
      <c r="L42" s="2852" t="s">
        <v>2988</v>
      </c>
      <c r="M42" s="2852" t="s">
        <v>2989</v>
      </c>
      <c r="N42" s="2845" t="s">
        <v>2990</v>
      </c>
      <c r="O42" s="2845" t="s">
        <v>2991</v>
      </c>
      <c r="P42" s="2845" t="s">
        <v>2992</v>
      </c>
      <c r="Q42" s="2846" t="s">
        <v>2993</v>
      </c>
      <c r="R42" s="2846"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5933.24</v>
      </c>
      <c r="B3" s="14">
        <f>IF(C3="否",G5-AT5,G5)</f>
        <v>47689.05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47689.05</v>
      </c>
      <c r="H5" s="16">
        <f t="shared" ref="H5:AT5" si="0">SUM(H13:H656)</f>
        <v>47689.05</v>
      </c>
      <c r="I5" s="16">
        <f t="shared" si="0"/>
        <v>19687.320000000003</v>
      </c>
      <c r="J5" s="16">
        <f t="shared" si="0"/>
        <v>0</v>
      </c>
      <c r="K5" s="16">
        <f t="shared" si="0"/>
        <v>5444.8200000000006</v>
      </c>
      <c r="L5" s="16">
        <f t="shared" si="0"/>
        <v>0</v>
      </c>
      <c r="M5" s="16">
        <f t="shared" si="0"/>
        <v>12625.789999999999</v>
      </c>
      <c r="N5" s="16">
        <f t="shared" si="0"/>
        <v>0</v>
      </c>
      <c r="O5" s="16">
        <f t="shared" si="0"/>
        <v>9931.119999999999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47689.05</v>
      </c>
      <c r="BA5" s="18">
        <f t="shared" si="1"/>
        <v>47689.05</v>
      </c>
      <c r="BB5" s="18">
        <f t="shared" si="1"/>
        <v>19687.320000000003</v>
      </c>
      <c r="BC5" s="18">
        <f t="shared" si="1"/>
        <v>5444.8200000000006</v>
      </c>
      <c r="BD5" s="18">
        <f t="shared" si="1"/>
        <v>12625.789999999999</v>
      </c>
      <c r="BE5" s="18">
        <f t="shared" si="1"/>
        <v>9931.119999999999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5933.24</v>
      </c>
      <c r="F6" s="16" t="s">
        <v>1</v>
      </c>
      <c r="G6" s="16" t="s">
        <v>2</v>
      </c>
      <c r="H6" s="20">
        <f>SUMIF(I$12:AB$12,"总值",I6:AB6)</f>
        <v>5933.24</v>
      </c>
      <c r="I6" s="16">
        <f t="shared" ref="I6:AB6" si="2">ROUND($A$3*I5/$B$3,2)</f>
        <v>2449.4</v>
      </c>
      <c r="J6" s="16">
        <f t="shared" si="2"/>
        <v>0</v>
      </c>
      <c r="K6" s="16">
        <f t="shared" si="2"/>
        <v>677.42</v>
      </c>
      <c r="L6" s="16">
        <f t="shared" si="2"/>
        <v>0</v>
      </c>
      <c r="M6" s="16">
        <f t="shared" si="2"/>
        <v>1570.84</v>
      </c>
      <c r="N6" s="16">
        <f t="shared" si="2"/>
        <v>0</v>
      </c>
      <c r="O6" s="16">
        <f t="shared" si="2"/>
        <v>1235.58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5933.24</v>
      </c>
      <c r="AZ6" s="16" t="s">
        <v>3</v>
      </c>
      <c r="BA6" s="16">
        <f>ROUND($AY$6*BA5/$AZ$5,2)</f>
        <v>5933.24</v>
      </c>
      <c r="BB6" s="16">
        <f>ROUND($AY$6*BB5/$AZ$5,2)</f>
        <v>2449.4</v>
      </c>
      <c r="BC6" s="16">
        <f t="shared" ref="BC6:BH6" si="4">ROUND($AY$6*BC5/$AZ$5,2)</f>
        <v>677.42</v>
      </c>
      <c r="BD6" s="16">
        <f t="shared" si="4"/>
        <v>1570.84</v>
      </c>
      <c r="BE6" s="16">
        <f t="shared" si="4"/>
        <v>1235.58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3062</v>
      </c>
      <c r="J9" s="918"/>
      <c r="K9" s="1788" t="s">
        <v>3063</v>
      </c>
      <c r="L9" s="918"/>
      <c r="M9" s="1788" t="s">
        <v>3062</v>
      </c>
      <c r="N9" s="918"/>
      <c r="O9" s="1788" t="s">
        <v>3063</v>
      </c>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3065</v>
      </c>
      <c r="L10" s="918"/>
      <c r="M10" s="1794" t="s">
        <v>1343</v>
      </c>
      <c r="N10" s="918"/>
      <c r="O10" s="1794" t="s">
        <v>27</v>
      </c>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地上</v>
      </c>
      <c r="BE10" s="29" t="str">
        <f>O9</f>
        <v>地下</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3064</v>
      </c>
      <c r="J11" s="1800"/>
      <c r="K11" s="1799" t="s">
        <v>3065</v>
      </c>
      <c r="L11" s="1800"/>
      <c r="M11" s="1799" t="s">
        <v>3066</v>
      </c>
      <c r="N11" s="1800"/>
      <c r="O11" s="1799" t="s">
        <v>3064</v>
      </c>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t="str">
        <f>M10</f>
        <v>商业</v>
      </c>
      <c r="BE11" s="1784" t="str">
        <f>O10</f>
        <v>办公</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车库</v>
      </c>
      <c r="BD12" s="1809" t="str">
        <f>M11</f>
        <v>底商</v>
      </c>
      <c r="BE12" s="1784" t="str">
        <f>O11</f>
        <v>办公楼</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2664" t="s">
        <v>3067</v>
      </c>
      <c r="D13" s="1810" t="s">
        <v>3061</v>
      </c>
      <c r="E13" s="16">
        <f>IF($C$3="是",ROUND($A$3*G13/$B$3,2),ROUND($A$3*(G13-AT13)/$B$3,2))</f>
        <v>378.62</v>
      </c>
      <c r="F13" s="32"/>
      <c r="G13" s="33">
        <f>H13+AC13+AT13</f>
        <v>3043.19</v>
      </c>
      <c r="H13" s="20">
        <f>SUMIF(I$12:AB$12,"总值",I13:AB13)</f>
        <v>3043.19</v>
      </c>
      <c r="I13" s="1811"/>
      <c r="J13" s="1811"/>
      <c r="K13" s="1811"/>
      <c r="L13" s="1811"/>
      <c r="M13" s="1811">
        <v>3043.19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v>
      </c>
      <c r="AY13" s="1533">
        <f>ROUND($AY$6*AZ13/$AZ$5,2)</f>
        <v>378.62</v>
      </c>
      <c r="AZ13" s="16">
        <f>BA13+BL13</f>
        <v>3043.19</v>
      </c>
      <c r="BA13" s="16">
        <f>SUM(BB13:BK13)</f>
        <v>3043.19</v>
      </c>
      <c r="BB13" s="16">
        <f>IF($D13="是",I13-J13,0)</f>
        <v>0</v>
      </c>
      <c r="BC13" s="16">
        <f>IF($D13="是",K13-L13,0)</f>
        <v>0</v>
      </c>
      <c r="BD13" s="16">
        <f>IF($D13="是",M13-N13,0)</f>
        <v>3043.19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2664" t="s">
        <v>3068</v>
      </c>
      <c r="D14" s="1810" t="s">
        <v>3061</v>
      </c>
      <c r="E14" s="16">
        <f>IF($C$3="是",ROUND($A$3*G14/$B$3,2),ROUND($A$3*(G14-AT14)/$B$3,2))</f>
        <v>38.04</v>
      </c>
      <c r="F14" s="32"/>
      <c r="G14" s="33">
        <f>H14+AC14+AT14</f>
        <v>305.77999999999997</v>
      </c>
      <c r="H14" s="20">
        <f>SUMIF(I$12:AB$12,"总值",I14:AB14)</f>
        <v>305.77999999999997</v>
      </c>
      <c r="I14" s="1811"/>
      <c r="J14" s="1811"/>
      <c r="K14" s="1811">
        <v>305.77999999999997</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-1</v>
      </c>
      <c r="AY14" s="1533">
        <f>ROUND($AY$6*AZ14/$AZ$5,2)</f>
        <v>38.04</v>
      </c>
      <c r="AZ14" s="16">
        <f>BA14+BL14</f>
        <v>305.77999999999997</v>
      </c>
      <c r="BA14" s="16">
        <f>SUM(BB14:BK14)</f>
        <v>305.77999999999997</v>
      </c>
      <c r="BB14" s="16">
        <f>IF($D14="是",I14-J14,0)</f>
        <v>0</v>
      </c>
      <c r="BC14" s="16">
        <f>IF($D14="是",K14-L14,0)</f>
        <v>305.77999999999997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2664" t="s">
        <v>3069</v>
      </c>
      <c r="D15" s="1810" t="s">
        <v>3061</v>
      </c>
      <c r="E15" s="16">
        <f>IF($C$3="是",ROUND($A$3*G15/$B$3,2),ROUND($A$3*(G15-AT15)/$B$3,2))</f>
        <v>261.49</v>
      </c>
      <c r="F15" s="32"/>
      <c r="G15" s="33">
        <f>H15+AC15+AT15</f>
        <v>2101.7399999999998</v>
      </c>
      <c r="H15" s="20">
        <f>SUMIF(I$12:AB$12,"总值",I15:AB15)</f>
        <v>2101.7399999999998</v>
      </c>
      <c r="I15" s="1811"/>
      <c r="J15" s="1811"/>
      <c r="K15" s="1811"/>
      <c r="L15" s="1811"/>
      <c r="M15" s="1811">
        <v>2101.7399999999998</v>
      </c>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v>
      </c>
      <c r="AY15" s="1533">
        <f>ROUND($AY$6*AZ15/$AZ$5,2)</f>
        <v>261.49</v>
      </c>
      <c r="AZ15" s="16">
        <f>BA15+BL15</f>
        <v>2101.7399999999998</v>
      </c>
      <c r="BA15" s="16">
        <f>SUM(BB15:BK15)</f>
        <v>2101.7399999999998</v>
      </c>
      <c r="BB15" s="16">
        <f>IF($D15="是",I15-J15,0)</f>
        <v>0</v>
      </c>
      <c r="BC15" s="16">
        <f>IF($D15="是",K15-L15,0)</f>
        <v>0</v>
      </c>
      <c r="BD15" s="16">
        <f>IF($D15="是",M15-N15,0)</f>
        <v>2101.7399999999998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2664" t="s">
        <v>3068</v>
      </c>
      <c r="D16" s="1810" t="s">
        <v>3061</v>
      </c>
      <c r="E16" s="16">
        <f>IF($C$3="是",ROUND($A$3*G16/$B$3,2),ROUND($A$3*(G16-AT16)/$B$3,2))</f>
        <v>23.11</v>
      </c>
      <c r="F16" s="32"/>
      <c r="G16" s="33">
        <f>H16+AC16+AT16</f>
        <v>185.77</v>
      </c>
      <c r="H16" s="20">
        <f>SUMIF(I$12:AB$12,"总值",I16:AB16)</f>
        <v>185.77</v>
      </c>
      <c r="I16" s="1811"/>
      <c r="J16" s="1811"/>
      <c r="K16" s="1811">
        <v>185.77</v>
      </c>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-1</v>
      </c>
      <c r="AY16" s="1533">
        <f>ROUND($AY$6*AZ16/$AZ$5,2)</f>
        <v>23.11</v>
      </c>
      <c r="AZ16" s="16">
        <f>BA16+BL16</f>
        <v>185.77</v>
      </c>
      <c r="BA16" s="16">
        <f>SUM(BB16:BK16)</f>
        <v>185.77</v>
      </c>
      <c r="BB16" s="16">
        <f>IF($D16="是",I16-J16,0)</f>
        <v>0</v>
      </c>
      <c r="BC16" s="16">
        <f>IF($D16="是",K16-L16,0)</f>
        <v>185.77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2664" t="s">
        <v>3070</v>
      </c>
      <c r="D17" s="1810" t="s">
        <v>3061</v>
      </c>
      <c r="E17" s="16">
        <f>IF($C$3="是",ROUND($A$3*G17/$B$3,2),ROUND($A$3*(G17-AT17)/$B$3,2))</f>
        <v>616.26</v>
      </c>
      <c r="F17" s="32"/>
      <c r="G17" s="33">
        <f>H17+AC17+AT17</f>
        <v>4953.2700000000004</v>
      </c>
      <c r="H17" s="20">
        <f>SUMIF(I$12:AB$12,"总值",I17:AB17)</f>
        <v>4953.2700000000004</v>
      </c>
      <c r="I17" s="1811"/>
      <c r="J17" s="1811"/>
      <c r="K17" s="1811">
        <v>4953.2700000000004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v>
      </c>
      <c r="AY17" s="1533">
        <f>ROUND($AY$6*AZ17/$AZ$5,2)</f>
        <v>616.26</v>
      </c>
      <c r="AZ17" s="16">
        <f>BA17+BL17</f>
        <v>4953.2700000000004</v>
      </c>
      <c r="BA17" s="16">
        <f>SUM(BB17:BK17)</f>
        <v>4953.2700000000004</v>
      </c>
      <c r="BB17" s="16">
        <f>IF($D17="是",I17-J17,0)</f>
        <v>0</v>
      </c>
      <c r="BC17" s="16">
        <f>IF($D17="是",K17-L17,0)</f>
        <v>4953.2700000000004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70" t="s">
        <v>3071</v>
      </c>
      <c r="D18" s="1810" t="s">
        <v>3061</v>
      </c>
      <c r="E18" s="35">
        <f t="shared" ref="E18:E112" si="7">IF($C$3="是",ROUND($A$3*G18/$B$3,2),ROUND($A$3*(G18-AT18)/$B$3,2))</f>
        <v>916.91</v>
      </c>
      <c r="F18" s="36"/>
      <c r="G18" s="37">
        <f t="shared" ref="G18:G109" si="8">H18+AC18+AT18</f>
        <v>7369.8</v>
      </c>
      <c r="H18" s="38">
        <f t="shared" ref="H18:H109" si="9">SUMIF(I$12:AB$12,"总值",I18:AB18)</f>
        <v>7369.8</v>
      </c>
      <c r="I18" s="39"/>
      <c r="J18" s="39"/>
      <c r="K18" s="39"/>
      <c r="L18" s="39"/>
      <c r="M18" s="39">
        <v>7369.8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3-4</v>
      </c>
      <c r="AY18" s="42">
        <f t="shared" ref="AY18:AY109" si="14">ROUND($AY$6*AZ18/$AZ$5,2)</f>
        <v>916.91</v>
      </c>
      <c r="AZ18" s="35">
        <f t="shared" ref="AZ18:AZ109" si="15">BA18+BL18</f>
        <v>7369.8</v>
      </c>
      <c r="BA18" s="35">
        <f t="shared" ref="BA18:BA109" si="16">SUM(BB18:BK18)</f>
        <v>7369.8</v>
      </c>
      <c r="BB18" s="35">
        <f t="shared" ref="BB18:BB109" si="17">IF($D18="是",I18-J18,0)</f>
        <v>0</v>
      </c>
      <c r="BC18" s="35">
        <f t="shared" ref="BC18:BC109" si="18">IF($D18="是",K18-L18,0)</f>
        <v>0</v>
      </c>
      <c r="BD18" s="35">
        <f t="shared" ref="BD18:BD109" si="19">IF($D18="是",M18-N18,0)</f>
        <v>7369.8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70" t="s">
        <v>3072</v>
      </c>
      <c r="D19" s="1810" t="s">
        <v>3061</v>
      </c>
      <c r="E19" s="35">
        <f t="shared" si="7"/>
        <v>13.82</v>
      </c>
      <c r="F19" s="36"/>
      <c r="G19" s="37">
        <f t="shared" si="8"/>
        <v>111.06</v>
      </c>
      <c r="H19" s="38">
        <f t="shared" si="9"/>
        <v>111.06</v>
      </c>
      <c r="I19" s="39"/>
      <c r="J19" s="39"/>
      <c r="K19" s="39"/>
      <c r="L19" s="39"/>
      <c r="M19" s="39">
        <v>111.06</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1</v>
      </c>
      <c r="AY19" s="42">
        <f t="shared" si="14"/>
        <v>13.82</v>
      </c>
      <c r="AZ19" s="35">
        <f t="shared" si="15"/>
        <v>111.06</v>
      </c>
      <c r="BA19" s="35">
        <f t="shared" si="16"/>
        <v>111.06</v>
      </c>
      <c r="BB19" s="35">
        <f t="shared" si="17"/>
        <v>0</v>
      </c>
      <c r="BC19" s="35">
        <f t="shared" si="18"/>
        <v>0</v>
      </c>
      <c r="BD19" s="35">
        <f t="shared" si="19"/>
        <v>111.06</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070" t="s">
        <v>3073</v>
      </c>
      <c r="D20" s="1810" t="s">
        <v>3061</v>
      </c>
      <c r="E20" s="35">
        <f t="shared" si="7"/>
        <v>821.13</v>
      </c>
      <c r="F20" s="36"/>
      <c r="G20" s="37">
        <f t="shared" si="8"/>
        <v>6599.88</v>
      </c>
      <c r="H20" s="38">
        <f t="shared" si="9"/>
        <v>6599.88</v>
      </c>
      <c r="I20" s="39">
        <v>6599.88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8-9</v>
      </c>
      <c r="AY20" s="42">
        <f t="shared" si="14"/>
        <v>821.13</v>
      </c>
      <c r="AZ20" s="35">
        <f t="shared" si="15"/>
        <v>6599.88</v>
      </c>
      <c r="BA20" s="35">
        <f t="shared" si="16"/>
        <v>6599.88</v>
      </c>
      <c r="BB20" s="35">
        <f t="shared" si="17"/>
        <v>6599.88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070" t="s">
        <v>3074</v>
      </c>
      <c r="D21" s="1810" t="s">
        <v>3061</v>
      </c>
      <c r="E21" s="35">
        <f t="shared" si="7"/>
        <v>458.46</v>
      </c>
      <c r="F21" s="36"/>
      <c r="G21" s="37">
        <f t="shared" si="8"/>
        <v>3684.9</v>
      </c>
      <c r="H21" s="38">
        <f t="shared" si="9"/>
        <v>3684.9</v>
      </c>
      <c r="I21" s="39">
        <v>3684.9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6</v>
      </c>
      <c r="AY21" s="42">
        <f t="shared" si="14"/>
        <v>458.46</v>
      </c>
      <c r="AZ21" s="35">
        <f t="shared" si="15"/>
        <v>3684.9</v>
      </c>
      <c r="BA21" s="35">
        <f t="shared" si="16"/>
        <v>3684.9</v>
      </c>
      <c r="BB21" s="35">
        <f t="shared" si="17"/>
        <v>3684.9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0" t="s">
        <v>3075</v>
      </c>
      <c r="D22" s="1810" t="s">
        <v>3061</v>
      </c>
      <c r="E22" s="35">
        <f t="shared" si="7"/>
        <v>79.84</v>
      </c>
      <c r="F22" s="36"/>
      <c r="G22" s="37">
        <f t="shared" si="8"/>
        <v>641.71</v>
      </c>
      <c r="H22" s="38">
        <f t="shared" si="9"/>
        <v>641.71</v>
      </c>
      <c r="I22" s="39">
        <v>641.71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5</v>
      </c>
      <c r="AY22" s="42">
        <f t="shared" si="14"/>
        <v>79.84</v>
      </c>
      <c r="AZ22" s="35">
        <f t="shared" si="15"/>
        <v>641.71</v>
      </c>
      <c r="BA22" s="35">
        <f t="shared" si="16"/>
        <v>641.71</v>
      </c>
      <c r="BB22" s="35">
        <f t="shared" si="17"/>
        <v>641.71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0" t="s">
        <v>3076</v>
      </c>
      <c r="D23" s="1810" t="s">
        <v>3061</v>
      </c>
      <c r="E23" s="35">
        <f t="shared" si="7"/>
        <v>172.12</v>
      </c>
      <c r="F23" s="36"/>
      <c r="G23" s="37">
        <f t="shared" si="8"/>
        <v>1383.41</v>
      </c>
      <c r="H23" s="38">
        <f t="shared" si="9"/>
        <v>1383.41</v>
      </c>
      <c r="I23" s="39">
        <v>1383.41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t="str">
        <f t="shared" si="13"/>
        <v>2</v>
      </c>
      <c r="AY23" s="42">
        <f t="shared" si="14"/>
        <v>172.12</v>
      </c>
      <c r="AZ23" s="35">
        <f t="shared" si="15"/>
        <v>1383.41</v>
      </c>
      <c r="BA23" s="35">
        <f t="shared" si="16"/>
        <v>1383.41</v>
      </c>
      <c r="BB23" s="35">
        <f t="shared" si="17"/>
        <v>1383.41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70" t="s">
        <v>3077</v>
      </c>
      <c r="D24" s="1810" t="s">
        <v>3061</v>
      </c>
      <c r="E24" s="35">
        <f t="shared" si="7"/>
        <v>416.19</v>
      </c>
      <c r="F24" s="36"/>
      <c r="G24" s="37">
        <f t="shared" si="8"/>
        <v>3345.2</v>
      </c>
      <c r="H24" s="38">
        <f t="shared" si="9"/>
        <v>3345.2</v>
      </c>
      <c r="I24" s="39">
        <v>3345.2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t="str">
        <f t="shared" si="13"/>
        <v>1</v>
      </c>
      <c r="AY24" s="42">
        <f t="shared" si="14"/>
        <v>416.19</v>
      </c>
      <c r="AZ24" s="35">
        <f t="shared" si="15"/>
        <v>3345.2</v>
      </c>
      <c r="BA24" s="35">
        <f t="shared" si="16"/>
        <v>3345.2</v>
      </c>
      <c r="BB24" s="35">
        <f t="shared" si="17"/>
        <v>3345.2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070" t="s">
        <v>3078</v>
      </c>
      <c r="D25" s="1810" t="s">
        <v>3061</v>
      </c>
      <c r="E25" s="35">
        <f t="shared" si="7"/>
        <v>476.11</v>
      </c>
      <c r="F25" s="36"/>
      <c r="G25" s="37">
        <f t="shared" si="8"/>
        <v>3826.8</v>
      </c>
      <c r="H25" s="38">
        <f t="shared" si="9"/>
        <v>3826.8</v>
      </c>
      <c r="I25" s="39"/>
      <c r="J25" s="39"/>
      <c r="K25" s="39"/>
      <c r="L25" s="39"/>
      <c r="M25" s="39"/>
      <c r="N25" s="39"/>
      <c r="O25" s="39">
        <v>3826.8</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t="str">
        <f t="shared" si="13"/>
        <v>-1</v>
      </c>
      <c r="AY25" s="42">
        <f t="shared" si="14"/>
        <v>476.11</v>
      </c>
      <c r="AZ25" s="35">
        <f t="shared" si="15"/>
        <v>3826.8</v>
      </c>
      <c r="BA25" s="35">
        <f t="shared" si="16"/>
        <v>3826.8</v>
      </c>
      <c r="BB25" s="35">
        <f t="shared" si="17"/>
        <v>0</v>
      </c>
      <c r="BC25" s="35">
        <f t="shared" si="18"/>
        <v>0</v>
      </c>
      <c r="BD25" s="35">
        <f t="shared" si="19"/>
        <v>0</v>
      </c>
      <c r="BE25" s="35">
        <f t="shared" si="20"/>
        <v>3826.8</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70" t="s">
        <v>3079</v>
      </c>
      <c r="D26" s="1810" t="s">
        <v>3061</v>
      </c>
      <c r="E26" s="35">
        <f t="shared" si="7"/>
        <v>759.47</v>
      </c>
      <c r="F26" s="36"/>
      <c r="G26" s="37">
        <f t="shared" si="8"/>
        <v>6104.32</v>
      </c>
      <c r="H26" s="38">
        <f t="shared" si="9"/>
        <v>6104.32</v>
      </c>
      <c r="I26" s="39"/>
      <c r="J26" s="39"/>
      <c r="K26" s="39"/>
      <c r="L26" s="39"/>
      <c r="M26" s="39"/>
      <c r="N26" s="39"/>
      <c r="O26" s="39">
        <v>6104.32</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t="str">
        <f t="shared" si="13"/>
        <v>-2</v>
      </c>
      <c r="AY26" s="42">
        <f t="shared" si="14"/>
        <v>759.47</v>
      </c>
      <c r="AZ26" s="35">
        <f t="shared" si="15"/>
        <v>6104.32</v>
      </c>
      <c r="BA26" s="35">
        <f t="shared" si="16"/>
        <v>6104.32</v>
      </c>
      <c r="BB26" s="35">
        <f t="shared" si="17"/>
        <v>0</v>
      </c>
      <c r="BC26" s="35">
        <f t="shared" si="18"/>
        <v>0</v>
      </c>
      <c r="BD26" s="35">
        <f t="shared" si="19"/>
        <v>0</v>
      </c>
      <c r="BE26" s="35">
        <f t="shared" si="20"/>
        <v>6104.32</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070" t="s">
        <v>3080</v>
      </c>
      <c r="D27" s="1810" t="s">
        <v>3061</v>
      </c>
      <c r="E27" s="35">
        <f t="shared" si="7"/>
        <v>454.03</v>
      </c>
      <c r="F27" s="36"/>
      <c r="G27" s="37">
        <f t="shared" si="8"/>
        <v>3649.32</v>
      </c>
      <c r="H27" s="38">
        <f t="shared" si="9"/>
        <v>3649.32</v>
      </c>
      <c r="I27" s="39">
        <v>3649.32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t="str">
        <f t="shared" si="13"/>
        <v>7</v>
      </c>
      <c r="AY27" s="42">
        <f t="shared" si="14"/>
        <v>454.03</v>
      </c>
      <c r="AZ27" s="35">
        <f t="shared" si="15"/>
        <v>3649.32</v>
      </c>
      <c r="BA27" s="35">
        <f t="shared" si="16"/>
        <v>3649.32</v>
      </c>
      <c r="BB27" s="35">
        <f t="shared" si="17"/>
        <v>3649.32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v>
      </c>
      <c r="D28" s="1810" t="s">
        <v>3061</v>
      </c>
      <c r="E28" s="35">
        <f t="shared" si="7"/>
        <v>47.64</v>
      </c>
      <c r="F28" s="36"/>
      <c r="G28" s="37">
        <f t="shared" si="8"/>
        <v>382.9</v>
      </c>
      <c r="H28" s="38">
        <f t="shared" si="9"/>
        <v>382.9</v>
      </c>
      <c r="I28" s="39">
        <v>382.9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1</v>
      </c>
      <c r="AY28" s="42">
        <f t="shared" si="14"/>
        <v>47.64</v>
      </c>
      <c r="AZ28" s="35">
        <f t="shared" si="15"/>
        <v>382.9</v>
      </c>
      <c r="BA28" s="35">
        <f t="shared" si="16"/>
        <v>382.9</v>
      </c>
      <c r="BB28" s="35">
        <f t="shared" si="17"/>
        <v>382.9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6" t="s">
        <v>0</v>
      </c>
      <c r="B1" s="3576" t="s">
        <v>4</v>
      </c>
      <c r="C1" s="3576" t="s">
        <v>5</v>
      </c>
      <c r="D1" s="3577" t="s">
        <v>53</v>
      </c>
      <c r="E1" s="3577" t="s">
        <v>54</v>
      </c>
      <c r="F1" s="3577"/>
      <c r="G1" s="3577"/>
      <c r="H1" s="3577"/>
      <c r="I1" s="3577"/>
      <c r="J1" s="3577"/>
      <c r="K1" s="3577"/>
      <c r="L1" s="3577"/>
      <c r="M1" s="3577"/>
    </row>
    <row r="2" spans="1:13" ht="27" customHeight="1">
      <c r="A2" s="3576"/>
      <c r="B2" s="3576"/>
      <c r="C2" s="3576"/>
      <c r="D2" s="3577"/>
      <c r="E2" s="3577" t="s">
        <v>37</v>
      </c>
      <c r="F2" s="3577" t="s">
        <v>38</v>
      </c>
      <c r="G2" s="3577"/>
      <c r="H2" s="3577"/>
      <c r="I2" s="3577"/>
      <c r="J2" s="3577" t="s">
        <v>39</v>
      </c>
      <c r="K2" s="3577"/>
      <c r="L2" s="3577"/>
      <c r="M2" s="3577"/>
    </row>
    <row r="3" spans="1:13" ht="28.5">
      <c r="A3" s="3576"/>
      <c r="B3" s="3576"/>
      <c r="C3" s="3576"/>
      <c r="D3" s="3577"/>
      <c r="E3" s="35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7" t="s">
        <v>55</v>
      </c>
      <c r="B9" s="3577"/>
      <c r="C9" s="35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587" t="s">
        <v>1817</v>
      </c>
      <c r="B2" s="3587"/>
      <c r="C2" s="3587"/>
      <c r="D2" s="904" t="s">
        <v>1793</v>
      </c>
      <c r="E2" s="1824" t="s">
        <v>1794</v>
      </c>
      <c r="F2" s="2884"/>
      <c r="G2" s="2875"/>
      <c r="H2" s="2876"/>
      <c r="I2" s="2548" t="s">
        <v>1818</v>
      </c>
      <c r="J2" s="2884"/>
      <c r="K2" s="2884"/>
      <c r="L2" s="2884"/>
      <c r="M2" s="2884"/>
      <c r="N2" s="2886"/>
      <c r="O2" s="2884"/>
      <c r="P2" s="2884"/>
    </row>
    <row r="3" spans="1:16" ht="15.75" thickBot="1">
      <c r="A3" s="3588" t="s">
        <v>1791</v>
      </c>
      <c r="B3" s="3588"/>
      <c r="C3" s="3588"/>
      <c r="D3" s="46">
        <f>'数据-基础表'!AY6</f>
        <v>5933.24</v>
      </c>
      <c r="E3" s="46">
        <f>'数据-基础表'!AZ5</f>
        <v>47689.05</v>
      </c>
      <c r="F3" s="2884"/>
      <c r="G3" s="1307"/>
      <c r="H3" s="1157" t="s">
        <v>1792</v>
      </c>
      <c r="I3" s="964">
        <f>ROUND('数据-基础表'!B3/'数据-基础表'!A3,2)</f>
        <v>8.0399999999999991</v>
      </c>
      <c r="J3" s="2884"/>
      <c r="K3" s="2884"/>
      <c r="L3" s="2884"/>
      <c r="M3" s="2884"/>
      <c r="N3" s="2886"/>
      <c r="O3" s="2884"/>
      <c r="P3" s="2884"/>
    </row>
    <row r="4" spans="1:16" ht="15">
      <c r="A4" s="3589"/>
      <c r="B4" s="3590"/>
      <c r="C4" s="3591"/>
      <c r="D4" s="1826" t="s">
        <v>1793</v>
      </c>
      <c r="E4" s="1827" t="s">
        <v>1794</v>
      </c>
      <c r="F4" s="2884"/>
      <c r="G4" s="2877" t="s">
        <v>1819</v>
      </c>
      <c r="H4" s="1157" t="s">
        <v>1799</v>
      </c>
      <c r="I4" s="964">
        <f>ROUND(SUMIF('数据-基础表'!I9:AS9,"地上",'数据-基础表'!I5:AS5)/'数据-基础表'!A3,2)</f>
        <v>5.45</v>
      </c>
      <c r="J4" s="2884"/>
      <c r="K4" s="2884"/>
      <c r="L4" s="2884"/>
      <c r="M4" s="2884"/>
      <c r="N4" s="2886"/>
      <c r="O4" s="2884"/>
      <c r="P4" s="2884"/>
    </row>
    <row r="5" spans="1:16">
      <c r="A5" s="47" t="s">
        <v>1795</v>
      </c>
      <c r="B5" s="3592" t="s">
        <v>1796</v>
      </c>
      <c r="C5" s="3592"/>
      <c r="D5" s="48">
        <f>ROUND($D$3*E5/$E$3,2)</f>
        <v>0</v>
      </c>
      <c r="E5" s="49">
        <f>SUMIF('数据-基础表'!$11:$11,"住宅",'数据-基础表'!$5:$5)</f>
        <v>0</v>
      </c>
      <c r="F5" s="2884"/>
      <c r="G5" s="1307"/>
      <c r="H5" s="1157" t="s">
        <v>1792</v>
      </c>
      <c r="I5" s="964">
        <f>ROUND(E31/D31,2)</f>
        <v>8.0399999999999991</v>
      </c>
      <c r="J5" s="2884"/>
      <c r="K5" s="2884"/>
      <c r="L5" s="2884"/>
      <c r="M5" s="2884"/>
      <c r="N5" s="2884"/>
      <c r="O5" s="2884"/>
      <c r="P5" s="2884"/>
    </row>
    <row r="6" spans="1:16" ht="15" thickBot="1">
      <c r="A6" s="1829"/>
      <c r="B6" s="3592" t="s">
        <v>1797</v>
      </c>
      <c r="C6" s="3592"/>
      <c r="D6" s="48">
        <f>ROUND($D$3*E6/$E$3,2)</f>
        <v>5933.24</v>
      </c>
      <c r="E6" s="49">
        <f>E3-E5</f>
        <v>47689.05</v>
      </c>
      <c r="F6" s="2884"/>
      <c r="G6" s="2878" t="s">
        <v>1798</v>
      </c>
      <c r="H6" s="1308" t="s">
        <v>1799</v>
      </c>
      <c r="I6" s="2879">
        <f>ROUND(F31/D31,2)</f>
        <v>5.45</v>
      </c>
      <c r="J6" s="2884"/>
      <c r="K6" s="2884"/>
      <c r="L6" s="2884"/>
      <c r="M6" s="2884"/>
      <c r="N6" s="2884"/>
      <c r="O6" s="2884"/>
      <c r="P6" s="2884"/>
    </row>
    <row r="7" spans="1:16" ht="15.75" thickBot="1">
      <c r="A7" s="3584"/>
      <c r="B7" s="3585"/>
      <c r="C7" s="3586"/>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4020.24</v>
      </c>
      <c r="E8" s="51">
        <f>SUMIF('数据-基础表'!BB10:BK10,"地上",'数据-基础表'!BB5:BK5)</f>
        <v>32313.11</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1235.58</v>
      </c>
      <c r="E11" s="51">
        <f>SUMPRODUCT(('数据-基础表'!BB10:BK10="地下")*('数据-基础表'!BB11:BK11="办公")*('数据-基础表'!BB5:BK5))+'数据-基础表'!BP5</f>
        <v>9931.119999999999</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677.42</v>
      </c>
      <c r="E13" s="51">
        <f>SUMPRODUCT(('数据-基础表'!BB10:BK10="地下")*('数据-基础表'!BB11:BK11="车库")*('数据-基础表'!BB5:BK5))</f>
        <v>5444.8200000000006</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5933.24</v>
      </c>
      <c r="E16" s="53">
        <f>SUM(E8:E15)</f>
        <v>47689.049999999996</v>
      </c>
      <c r="F16" s="2884"/>
      <c r="G16" s="2885"/>
      <c r="H16" s="1833" t="s">
        <v>1821</v>
      </c>
      <c r="I16" s="1834"/>
      <c r="J16" s="1301"/>
      <c r="K16" s="3581" t="s">
        <v>1821</v>
      </c>
      <c r="L16" s="3582"/>
      <c r="M16" s="3582"/>
      <c r="N16" s="3582"/>
      <c r="O16" s="3582"/>
      <c r="P16" s="3583"/>
    </row>
    <row r="17" spans="1:19" ht="15">
      <c r="A17" s="1835" t="s">
        <v>1822</v>
      </c>
      <c r="B17" s="1836" t="s">
        <v>1823</v>
      </c>
      <c r="C17" s="1837" t="s">
        <v>1824</v>
      </c>
      <c r="D17" s="1838" t="s">
        <v>1812</v>
      </c>
      <c r="E17" s="1839" t="s">
        <v>1813</v>
      </c>
      <c r="F17" s="1840"/>
      <c r="G17" s="1841"/>
      <c r="H17" s="1842" t="s">
        <v>1825</v>
      </c>
      <c r="I17" s="1843" t="s">
        <v>1810</v>
      </c>
      <c r="J17" s="1301"/>
      <c r="K17" s="3578" t="s">
        <v>1826</v>
      </c>
      <c r="L17" s="3579"/>
      <c r="M17" s="3580"/>
      <c r="N17" s="3578" t="s">
        <v>1827</v>
      </c>
      <c r="O17" s="3579"/>
      <c r="P17" s="358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1" t="s">
        <v>3083</v>
      </c>
      <c r="D19" s="48">
        <f>ROUND($D$3*E19/$E$3,2)</f>
        <v>2449.4</v>
      </c>
      <c r="E19" s="56">
        <f t="shared" ref="E19:E26" si="1">SUM(F19:G19)</f>
        <v>19687.320000000003</v>
      </c>
      <c r="F19" s="3024">
        <f>'数据-基础表'!I5</f>
        <v>19687.320000000003</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2449.4</v>
      </c>
      <c r="S19" s="1158">
        <f t="shared" si="5"/>
        <v>19687.320000000003</v>
      </c>
    </row>
    <row r="20" spans="1:19">
      <c r="A20" s="1856"/>
      <c r="B20" s="50" t="s">
        <v>1839</v>
      </c>
      <c r="C20" s="1853" t="s">
        <v>3084</v>
      </c>
      <c r="D20" s="48">
        <f t="shared" ref="D20:D26" si="6">ROUND($D$3*E20/$E$3,2)</f>
        <v>13.82</v>
      </c>
      <c r="E20" s="56">
        <f t="shared" si="1"/>
        <v>111.06</v>
      </c>
      <c r="F20" s="3024">
        <f>'数据-基础表'!M19</f>
        <v>111.06</v>
      </c>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13.82</v>
      </c>
      <c r="S20" s="1158">
        <f t="shared" si="5"/>
        <v>111.06</v>
      </c>
    </row>
    <row r="21" spans="1:19">
      <c r="A21" s="1856"/>
      <c r="B21" s="50" t="s">
        <v>1839</v>
      </c>
      <c r="C21" s="1853" t="s">
        <v>3085</v>
      </c>
      <c r="D21" s="48">
        <f t="shared" si="6"/>
        <v>261.49</v>
      </c>
      <c r="E21" s="56">
        <f t="shared" si="1"/>
        <v>2101.7399999999998</v>
      </c>
      <c r="F21" s="3024">
        <f>'数据-基础表'!M15</f>
        <v>2101.7399999999998</v>
      </c>
      <c r="G21" s="3025"/>
      <c r="H21" s="679">
        <f t="shared" si="7"/>
        <v>0</v>
      </c>
      <c r="I21" s="51">
        <f t="shared" si="2"/>
        <v>0</v>
      </c>
      <c r="J21" s="1301"/>
      <c r="K21" s="1300">
        <f t="shared" si="3"/>
        <v>0</v>
      </c>
      <c r="L21" s="1157">
        <f t="shared" si="4"/>
        <v>0</v>
      </c>
      <c r="M21" s="1312">
        <f t="shared" si="8"/>
        <v>0</v>
      </c>
      <c r="N21" s="1854"/>
      <c r="O21" s="1855"/>
      <c r="P21" s="1312">
        <f t="shared" si="9"/>
        <v>0</v>
      </c>
      <c r="R21" s="1157">
        <f t="shared" si="5"/>
        <v>261.49</v>
      </c>
      <c r="S21" s="1158">
        <f t="shared" si="5"/>
        <v>2101.7399999999998</v>
      </c>
    </row>
    <row r="22" spans="1:19">
      <c r="A22" s="1856"/>
      <c r="B22" s="50" t="s">
        <v>1839</v>
      </c>
      <c r="C22" s="58" t="s">
        <v>3086</v>
      </c>
      <c r="D22" s="48">
        <f t="shared" si="6"/>
        <v>916.91</v>
      </c>
      <c r="E22" s="56">
        <f t="shared" si="1"/>
        <v>7369.8</v>
      </c>
      <c r="F22" s="3026">
        <f>'数据-基础表'!M18</f>
        <v>7369.8</v>
      </c>
      <c r="G22" s="3027"/>
      <c r="H22" s="679">
        <f t="shared" si="7"/>
        <v>0</v>
      </c>
      <c r="I22" s="51">
        <f t="shared" si="2"/>
        <v>0</v>
      </c>
      <c r="J22" s="1301"/>
      <c r="K22" s="1300">
        <f t="shared" si="3"/>
        <v>0</v>
      </c>
      <c r="L22" s="1157">
        <f t="shared" si="4"/>
        <v>0</v>
      </c>
      <c r="M22" s="1312">
        <f t="shared" si="8"/>
        <v>0</v>
      </c>
      <c r="N22" s="1854"/>
      <c r="O22" s="1855"/>
      <c r="P22" s="1312">
        <f t="shared" si="9"/>
        <v>0</v>
      </c>
      <c r="R22" s="1157">
        <f t="shared" si="5"/>
        <v>916.91</v>
      </c>
      <c r="S22" s="1158">
        <f t="shared" si="5"/>
        <v>7369.8</v>
      </c>
    </row>
    <row r="23" spans="1:19">
      <c r="A23" s="1856"/>
      <c r="B23" s="50" t="s">
        <v>1839</v>
      </c>
      <c r="C23" s="58" t="s">
        <v>3087</v>
      </c>
      <c r="D23" s="48">
        <f>ROUND($D$3*E23/$E$3,2)</f>
        <v>378.62</v>
      </c>
      <c r="E23" s="56">
        <f>SUM(F23:G23)</f>
        <v>3043.19</v>
      </c>
      <c r="F23" s="3026">
        <f>'数据-基础表'!M13</f>
        <v>3043.19</v>
      </c>
      <c r="G23" s="3027"/>
      <c r="H23" s="679">
        <f>ROUND($D$3*I23/$E$3,2)</f>
        <v>0</v>
      </c>
      <c r="I23" s="51">
        <f t="shared" si="2"/>
        <v>0</v>
      </c>
      <c r="J23" s="1301"/>
      <c r="K23" s="1300">
        <f t="shared" si="3"/>
        <v>0</v>
      </c>
      <c r="L23" s="1157">
        <f t="shared" si="4"/>
        <v>0</v>
      </c>
      <c r="M23" s="1312">
        <f t="shared" si="8"/>
        <v>0</v>
      </c>
      <c r="N23" s="1854"/>
      <c r="O23" s="1855"/>
      <c r="P23" s="1312">
        <f t="shared" si="9"/>
        <v>0</v>
      </c>
      <c r="R23" s="1157">
        <f t="shared" si="5"/>
        <v>378.62</v>
      </c>
      <c r="S23" s="1158">
        <f t="shared" si="5"/>
        <v>3043.19</v>
      </c>
    </row>
    <row r="24" spans="1:19">
      <c r="A24" s="1856"/>
      <c r="B24" s="50" t="s">
        <v>1839</v>
      </c>
      <c r="C24" s="3072" t="s">
        <v>3088</v>
      </c>
      <c r="D24" s="48">
        <f>ROUND($D$3*E24/$E$3,2)</f>
        <v>677.42</v>
      </c>
      <c r="E24" s="56">
        <f>SUM(F24:G24)</f>
        <v>5444.8200000000006</v>
      </c>
      <c r="F24" s="3026"/>
      <c r="G24" s="3027">
        <f>'数据-基础表'!K5</f>
        <v>5444.8200000000006</v>
      </c>
      <c r="H24" s="679">
        <f>ROUND($D$3*I24/$E$3,2)</f>
        <v>0</v>
      </c>
      <c r="I24" s="51">
        <f t="shared" si="2"/>
        <v>0</v>
      </c>
      <c r="J24" s="1301"/>
      <c r="K24" s="1300">
        <f t="shared" si="3"/>
        <v>0</v>
      </c>
      <c r="L24" s="1157">
        <f t="shared" si="4"/>
        <v>0</v>
      </c>
      <c r="M24" s="1312">
        <f t="shared" si="8"/>
        <v>0</v>
      </c>
      <c r="N24" s="1854"/>
      <c r="O24" s="1855"/>
      <c r="P24" s="1312">
        <f t="shared" si="9"/>
        <v>0</v>
      </c>
      <c r="R24" s="1157">
        <f t="shared" si="5"/>
        <v>677.42</v>
      </c>
      <c r="S24" s="1158">
        <f t="shared" si="5"/>
        <v>5444.8200000000006</v>
      </c>
    </row>
    <row r="25" spans="1:19">
      <c r="A25" s="1856"/>
      <c r="B25" s="50" t="s">
        <v>1839</v>
      </c>
      <c r="C25" s="3072" t="s">
        <v>3089</v>
      </c>
      <c r="D25" s="48">
        <f t="shared" si="6"/>
        <v>1235.58</v>
      </c>
      <c r="E25" s="56">
        <f t="shared" si="1"/>
        <v>9931.119999999999</v>
      </c>
      <c r="F25" s="3026"/>
      <c r="G25" s="3027">
        <f>'数据-基础表'!O5</f>
        <v>9931.119999999999</v>
      </c>
      <c r="H25" s="47">
        <f t="shared" si="7"/>
        <v>0</v>
      </c>
      <c r="I25" s="51">
        <f t="shared" si="2"/>
        <v>0</v>
      </c>
      <c r="J25" s="1301"/>
      <c r="K25" s="1300">
        <f t="shared" si="3"/>
        <v>0</v>
      </c>
      <c r="L25" s="1157">
        <f t="shared" si="4"/>
        <v>0</v>
      </c>
      <c r="M25" s="1312">
        <f t="shared" si="8"/>
        <v>0</v>
      </c>
      <c r="N25" s="1854"/>
      <c r="O25" s="1855"/>
      <c r="P25" s="1312">
        <f t="shared" si="9"/>
        <v>0</v>
      </c>
      <c r="R25" s="1157">
        <f t="shared" si="5"/>
        <v>1235.58</v>
      </c>
      <c r="S25" s="1158">
        <f t="shared" si="5"/>
        <v>9931.119999999999</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5933.24</v>
      </c>
      <c r="E27" s="1303">
        <f>IF(SUM(E19:E26)='数据-基础表'!BA5,SUM(E19:E26),IF(F27="地上面积有误","面积有误","地下面积有误"))</f>
        <v>47689.05</v>
      </c>
      <c r="F27" s="1302">
        <f>IF(SUM(F19:F26)=E8,SUM(F19:F26),"地上面积有误")</f>
        <v>32313.11</v>
      </c>
      <c r="G27" s="1304">
        <f>SUM(G19:G26)</f>
        <v>15375.939999999999</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5933.24</v>
      </c>
      <c r="S27" s="1157">
        <f>IF(SUM(S19:S26)=$E$3,SUM(S19:S26),SUM(S19:S26)&amp;"误差"&amp;ROUND(SUM(S19:S26)-E3,2))</f>
        <v>47689.05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5933.24</v>
      </c>
      <c r="E31" s="685">
        <f>E27+E30</f>
        <v>47689.05</v>
      </c>
      <c r="F31" s="686">
        <f>F27+F30</f>
        <v>32313.11</v>
      </c>
      <c r="G31" s="687">
        <f>G27+G30</f>
        <v>15375.939999999999</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3" priority="1" stopIfTrue="1" operator="containsText" text="面积有误">
      <formula>NOT(ISERROR(SEARCH("面积有误",E27)))</formula>
    </cfRule>
    <cfRule type="cellIs" dxfId="242" priority="3" stopIfTrue="1" operator="equal">
      <formula>"地下面积有误"</formula>
    </cfRule>
  </conditionalFormatting>
  <conditionalFormatting sqref="F27">
    <cfRule type="cellIs" dxfId="24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42914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3081</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地上办公</v>
      </c>
      <c r="B6" s="1899" t="str">
        <f>IF(A6=0,"","经营性")</f>
        <v>经营性</v>
      </c>
      <c r="C6" s="1900" t="s">
        <v>1343</v>
      </c>
      <c r="D6" s="967">
        <f>SUMIF(项目基本情况!D$12:I$12,C6,项目基本情况!D$14:I$14)</f>
        <v>40</v>
      </c>
      <c r="E6" s="966">
        <f>IF(B6="","",SUMIF(项目基本情况!D$12:I$12,C6,项目基本情况!D$13:I$13))</f>
        <v>52065</v>
      </c>
      <c r="F6" s="68">
        <f>SUMIF(项目基本情况!D$12:I$12,C6,项目基本情况!D$15:I$15)</f>
        <v>25.07</v>
      </c>
      <c r="G6" s="69">
        <f t="shared" ref="G6:G13" si="0">IF(ISERROR(ROUND(POWER(1+H6,D6-F6)*(POWER(1+H6,F6)-1)/(POWER(1+H6,D6)-1),3)),0,ROUND(POWER(1+H6,D6-F6)*(POWER(1+H6,F6)-1)/(POWER(1+H6,D6)-1),3))</f>
        <v>0.80700000000000005</v>
      </c>
      <c r="H6" s="741">
        <v>4.4999999999999998E-2</v>
      </c>
      <c r="I6" s="741">
        <v>0.05</v>
      </c>
      <c r="J6" s="70">
        <v>7.4999999999999997E-2</v>
      </c>
      <c r="K6" s="1161">
        <f>SUMIF('数据-汇总表'!C$19:C$33,A6,'数据-汇总表'!E$19:E$33)</f>
        <v>19687.320000000003</v>
      </c>
      <c r="L6" s="742">
        <v>4000</v>
      </c>
      <c r="M6" s="71">
        <f t="shared" ref="M6:M14" si="1">ROUND(K6*L6/10000,0)</f>
        <v>7875</v>
      </c>
      <c r="N6" s="740">
        <v>0.8</v>
      </c>
      <c r="O6" s="71" t="str">
        <f>IF($N$5="成新度","——",ROUND(M6*N6,0))</f>
        <v>——</v>
      </c>
      <c r="P6" s="72" t="str">
        <f>IF($N$5="成新度","——",M6-O6)</f>
        <v>——</v>
      </c>
      <c r="Q6" s="743">
        <v>0.2</v>
      </c>
      <c r="R6" s="73">
        <f ca="1">SUMIF('数据-汇总表'!C$19:C$33,A6,'数据-汇总表'!R$19:R$27)</f>
        <v>2449.4</v>
      </c>
      <c r="S6" s="54">
        <f>IF('数据-汇总表'!$I$17="按面积比例",SUMIF('数据-汇总表'!C$19:C$33,A6,'数据-汇总表'!K$19:K$33),SUMIF('数据-汇总表'!C$19:C$33,A6,'数据-汇总表'!N$19:N$33))</f>
        <v>0</v>
      </c>
      <c r="T6" s="1334">
        <f>ROUND($L$14*S6/10000,0)</f>
        <v>0</v>
      </c>
      <c r="U6" s="74"/>
      <c r="V6" s="75">
        <v>0.03</v>
      </c>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1层商业</v>
      </c>
      <c r="B7" s="1899" t="str">
        <f t="shared" ref="B7:B13" si="2">IF(A7=0,"","经营性")</f>
        <v>经营性</v>
      </c>
      <c r="C7" s="1900" t="s">
        <v>27</v>
      </c>
      <c r="D7" s="967">
        <f>SUMIF(项目基本情况!D$12:I$12,C7,项目基本情况!D$14:I$14)</f>
        <v>50</v>
      </c>
      <c r="E7" s="966">
        <f>IF(B7="","",SUMIF(项目基本情况!D$12:I$12,C7,项目基本情况!D$13:I$13))</f>
        <v>55718</v>
      </c>
      <c r="F7" s="68">
        <f>SUMIF(项目基本情况!D$12:I$12,C7,项目基本情况!D$15:I$15)</f>
        <v>35.07</v>
      </c>
      <c r="G7" s="69">
        <f t="shared" si="0"/>
        <v>0.88400000000000001</v>
      </c>
      <c r="H7" s="741">
        <v>4.4999999999999998E-2</v>
      </c>
      <c r="I7" s="741">
        <v>0.05</v>
      </c>
      <c r="J7" s="70">
        <v>7.4999999999999997E-2</v>
      </c>
      <c r="K7" s="1161">
        <f>SUMIF('数据-汇总表'!C$19:C$33,A7,'数据-汇总表'!E$19:E$33)</f>
        <v>111.06</v>
      </c>
      <c r="L7" s="742">
        <v>4000</v>
      </c>
      <c r="M7" s="71">
        <f t="shared" si="1"/>
        <v>44</v>
      </c>
      <c r="N7" s="740">
        <f>N6</f>
        <v>0.8</v>
      </c>
      <c r="O7" s="71" t="str">
        <f t="shared" ref="O7:O14" si="3">IF($N$5="成新度","——",ROUND(M7*N7,0))</f>
        <v>——</v>
      </c>
      <c r="P7" s="72" t="str">
        <f t="shared" ref="P7:P14" si="4">IF($N$5="成新度","——",M7-O7)</f>
        <v>——</v>
      </c>
      <c r="Q7" s="743">
        <v>0.15</v>
      </c>
      <c r="R7" s="73">
        <f ca="1">SUMIF('数据-汇总表'!C$19:C$33,A7,'数据-汇总表'!R$19:R$27)</f>
        <v>13.82</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2层商业</v>
      </c>
      <c r="B8" s="1899" t="str">
        <f t="shared" si="2"/>
        <v>经营性</v>
      </c>
      <c r="C8" s="1900" t="s">
        <v>3065</v>
      </c>
      <c r="D8" s="967">
        <f>SUMIF(项目基本情况!D$12:I$12,C8,项目基本情况!D$14:I$14)</f>
        <v>50</v>
      </c>
      <c r="E8" s="966">
        <f>IF(B8="","",SUMIF(项目基本情况!D$12:I$12,C8,项目基本情况!D$13:I$13))</f>
        <v>55718</v>
      </c>
      <c r="F8" s="68">
        <f>SUMIF(项目基本情况!D$12:I$12,C8,项目基本情况!D$15:I$15)</f>
        <v>35.07</v>
      </c>
      <c r="G8" s="69">
        <f t="shared" si="0"/>
        <v>0.88400000000000001</v>
      </c>
      <c r="H8" s="741">
        <v>4.4999999999999998E-2</v>
      </c>
      <c r="I8" s="741">
        <v>0.05</v>
      </c>
      <c r="J8" s="70">
        <v>7.4999999999999997E-2</v>
      </c>
      <c r="K8" s="1161">
        <f>SUMIF('数据-汇总表'!C$19:C$33,A8,'数据-汇总表'!E$19:E$33)</f>
        <v>2101.7399999999998</v>
      </c>
      <c r="L8" s="742">
        <v>3000</v>
      </c>
      <c r="M8" s="71">
        <f>ROUND(K8*L8/10000,0)</f>
        <v>631</v>
      </c>
      <c r="N8" s="740">
        <f>N6</f>
        <v>0.8</v>
      </c>
      <c r="O8" s="71" t="str">
        <f t="shared" si="3"/>
        <v>——</v>
      </c>
      <c r="P8" s="72" t="str">
        <f t="shared" si="4"/>
        <v>——</v>
      </c>
      <c r="Q8" s="743">
        <v>0.1</v>
      </c>
      <c r="R8" s="73">
        <f ca="1">SUMIF('数据-汇总表'!C$19:C$33,A8,'数据-汇总表'!R$19:R$27)</f>
        <v>261.49</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3-4层商业</v>
      </c>
      <c r="B9" s="1899" t="str">
        <f t="shared" si="2"/>
        <v>经营性</v>
      </c>
      <c r="C9" s="1900"/>
      <c r="D9" s="967">
        <f>SUMIF(项目基本情况!D$12:I$12,C9,项目基本情况!D$14:I$14)</f>
        <v>0</v>
      </c>
      <c r="E9" s="966">
        <f>IF(B9="","",SUMIF(项目基本情况!D$12:I$12,C9,项目基本情况!D$13:I$13))</f>
        <v>0</v>
      </c>
      <c r="F9" s="68">
        <f>SUMIF(项目基本情况!D$12:I$12,C9,项目基本情况!D$15:I$15)</f>
        <v>0</v>
      </c>
      <c r="G9" s="69">
        <f t="shared" si="0"/>
        <v>0</v>
      </c>
      <c r="H9" s="70"/>
      <c r="I9" s="70"/>
      <c r="J9" s="70"/>
      <c r="K9" s="1161">
        <f>SUMIF('数据-汇总表'!C$19:C$33,A9,'数据-汇总表'!E$19:E$33)</f>
        <v>7369.8</v>
      </c>
      <c r="L9" s="742"/>
      <c r="M9" s="71">
        <f t="shared" si="1"/>
        <v>0</v>
      </c>
      <c r="N9" s="740"/>
      <c r="O9" s="71" t="str">
        <f t="shared" si="3"/>
        <v>——</v>
      </c>
      <c r="P9" s="72" t="str">
        <f t="shared" si="4"/>
        <v>——</v>
      </c>
      <c r="Q9" s="86"/>
      <c r="R9" s="73">
        <f ca="1">SUMIF('数据-汇总表'!C$19:C$33,A9,'数据-汇总表'!R$19:R$27)</f>
        <v>916.91</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5层商业</v>
      </c>
      <c r="B10" s="1899" t="str">
        <f t="shared" si="2"/>
        <v>经营性</v>
      </c>
      <c r="C10" s="1900"/>
      <c r="D10" s="967">
        <f>SUMIF(项目基本情况!D$12:I$12,C10,项目基本情况!D$14:I$14)</f>
        <v>0</v>
      </c>
      <c r="E10" s="966">
        <f>IF(B10="","",SUMIF(项目基本情况!D$12:I$12,C10,项目基本情况!D$13:I$13))</f>
        <v>0</v>
      </c>
      <c r="F10" s="68">
        <f>SUMIF(项目基本情况!D$12:I$12,C10,项目基本情况!D$15:I$15)</f>
        <v>0</v>
      </c>
      <c r="G10" s="69">
        <f t="shared" si="0"/>
        <v>0</v>
      </c>
      <c r="H10" s="70"/>
      <c r="I10" s="70"/>
      <c r="J10" s="70"/>
      <c r="K10" s="1161">
        <f>SUMIF('数据-汇总表'!C$19:C$33,A10,'数据-汇总表'!E$19:E$33)</f>
        <v>3043.19</v>
      </c>
      <c r="L10" s="742"/>
      <c r="M10" s="71">
        <f t="shared" si="1"/>
        <v>0</v>
      </c>
      <c r="N10" s="740"/>
      <c r="O10" s="71" t="str">
        <f t="shared" si="3"/>
        <v>——</v>
      </c>
      <c r="P10" s="72" t="str">
        <f t="shared" si="4"/>
        <v>——</v>
      </c>
      <c r="Q10" s="86"/>
      <c r="R10" s="73">
        <f ca="1">SUMIF('数据-汇总表'!C$19:C$33,A10,'数据-汇总表'!R$19:R$27)</f>
        <v>378.62</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t="str">
        <f>'数据-汇总表'!C24</f>
        <v>地下车库</v>
      </c>
      <c r="B11" s="1899" t="str">
        <f t="shared" si="2"/>
        <v>经营性</v>
      </c>
      <c r="C11" s="1900"/>
      <c r="D11" s="967">
        <f>SUMIF(项目基本情况!D$12:I$12,C11,项目基本情况!D$14:I$14)</f>
        <v>0</v>
      </c>
      <c r="E11" s="966">
        <f>IF(B11="","",SUMIF(项目基本情况!D$12:I$12,C11,项目基本情况!D$13:I$13))</f>
        <v>0</v>
      </c>
      <c r="F11" s="68">
        <f>SUMIF(项目基本情况!D$12:I$12,C11,项目基本情况!D$15:I$15)</f>
        <v>0</v>
      </c>
      <c r="G11" s="69">
        <f t="shared" si="0"/>
        <v>0</v>
      </c>
      <c r="H11" s="70"/>
      <c r="I11" s="70"/>
      <c r="J11" s="70"/>
      <c r="K11" s="1161">
        <f>SUMIF('数据-汇总表'!C$19:C$33,A11,'数据-汇总表'!E$19:E$33)</f>
        <v>5444.8200000000006</v>
      </c>
      <c r="L11" s="87"/>
      <c r="M11" s="71">
        <f t="shared" si="1"/>
        <v>0</v>
      </c>
      <c r="N11" s="88"/>
      <c r="O11" s="71" t="str">
        <f t="shared" si="3"/>
        <v>——</v>
      </c>
      <c r="P11" s="72" t="str">
        <f t="shared" si="4"/>
        <v>——</v>
      </c>
      <c r="Q11" s="86"/>
      <c r="R11" s="73">
        <f ca="1">SUMIF('数据-汇总表'!C$19:C$33,A11,'数据-汇总表'!R$19:R$27)</f>
        <v>677.42</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t="str">
        <f>'数据-汇总表'!C25</f>
        <v>地下办公</v>
      </c>
      <c r="B12" s="1899" t="str">
        <f t="shared" si="2"/>
        <v>经营性</v>
      </c>
      <c r="C12" s="1900"/>
      <c r="D12" s="967">
        <f>SUMIF(项目基本情况!D$12:I$12,C12,项目基本情况!D$14:I$14)</f>
        <v>0</v>
      </c>
      <c r="E12" s="966">
        <f>IF(B12="","",SUMIF(项目基本情况!D$12:I$12,C12,项目基本情况!D$13:I$13))</f>
        <v>0</v>
      </c>
      <c r="F12" s="68">
        <f>SUMIF(项目基本情况!D$12:I$12,C12,项目基本情况!D$15:I$15)</f>
        <v>0</v>
      </c>
      <c r="G12" s="69">
        <f t="shared" si="0"/>
        <v>0</v>
      </c>
      <c r="H12" s="70"/>
      <c r="I12" s="70"/>
      <c r="J12" s="70"/>
      <c r="K12" s="1161">
        <f>SUMIF('数据-汇总表'!C$19:C$33,A12,'数据-汇总表'!E$19:E$33)</f>
        <v>9931.119999999999</v>
      </c>
      <c r="L12" s="87"/>
      <c r="M12" s="71">
        <f>ROUND(K12*L12/10000,0)</f>
        <v>0</v>
      </c>
      <c r="N12" s="88"/>
      <c r="O12" s="71" t="str">
        <f t="shared" si="3"/>
        <v>——</v>
      </c>
      <c r="P12" s="72" t="str">
        <f t="shared" si="4"/>
        <v>——</v>
      </c>
      <c r="Q12" s="86"/>
      <c r="R12" s="73">
        <f ca="1">SUMIF('数据-汇总表'!C$19:C$33,A12,'数据-汇总表'!R$19:R$27)</f>
        <v>1235.58</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2"/>
        <v/>
      </c>
      <c r="C13" s="1900"/>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1"/>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0.81499999999999995</v>
      </c>
      <c r="H16" s="95">
        <f>ROUND(SUMPRODUCT(H6:H13,K6:K13)/SUMPRODUCT((H6:H13&gt;0)*(K6:K13)),3)</f>
        <v>4.4999999999999998E-2</v>
      </c>
      <c r="I16" s="96"/>
      <c r="J16" s="96"/>
      <c r="K16" s="97">
        <f>SUM(K6:K15)</f>
        <v>47689.05</v>
      </c>
      <c r="L16" s="98">
        <f>ROUND(M16*10000/SUM(K6:K14),0)</f>
        <v>1793</v>
      </c>
      <c r="M16" s="98">
        <f>SUM(M6:M14)</f>
        <v>8550</v>
      </c>
      <c r="N16" s="99">
        <f>ROUND(SUMPRODUCT(M6:M14,N6:N14)/M16,3)</f>
        <v>0.8</v>
      </c>
      <c r="O16" s="98">
        <f>SUM(O6:O14)</f>
        <v>0</v>
      </c>
      <c r="P16" s="98">
        <f>SUM(P6:P14)</f>
        <v>0</v>
      </c>
      <c r="Q16" s="100">
        <f>ROUND(SUMPRODUCT(Q6:Q13,K6:K13)/SUMPRODUCT((Q6:Q13&gt;0)*(K6:K13)),2)</f>
        <v>0.19</v>
      </c>
      <c r="R16" s="1165">
        <f ca="1">SUM(R6:R13)</f>
        <v>5933.24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3043</v>
      </c>
      <c r="D20" s="2903"/>
      <c r="E20" s="2900"/>
      <c r="F20" s="2900"/>
      <c r="G20" s="2900"/>
      <c r="H20" s="2900"/>
      <c r="I20" s="2900"/>
      <c r="J20" s="2900"/>
      <c r="K20" s="2899"/>
      <c r="L20" s="2899">
        <f>1-(2021-2004)/60</f>
        <v>0.71666666666666667</v>
      </c>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v>0.9</v>
      </c>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f>AVERAGE(L20:L21)</f>
        <v>0.80833333333333335</v>
      </c>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3082</v>
      </c>
      <c r="B40" s="1210">
        <f ca="1">IF(A40="利息：取LPR",存贷款利率!G1,存贷款利率!G1+C40)</f>
        <v>5.2499999999999998E-2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212</v>
      </c>
      <c r="C53" s="2886" t="s">
        <v>1932</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593" t="s">
        <v>3026</v>
      </c>
      <c r="B1" s="3594"/>
      <c r="C1" s="3594"/>
      <c r="D1" s="3594"/>
      <c r="E1" s="3594"/>
      <c r="F1" s="3594"/>
      <c r="G1" s="359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3021</v>
      </c>
      <c r="D2" s="2687"/>
      <c r="E2" s="2684"/>
      <c r="F2" s="2688"/>
      <c r="G2" s="2686" t="s">
        <v>3022</v>
      </c>
      <c r="H2" s="907"/>
      <c r="I2" s="907"/>
      <c r="J2" s="907"/>
      <c r="K2" s="907"/>
      <c r="L2" s="907"/>
      <c r="M2" s="907"/>
      <c r="N2" s="907"/>
      <c r="O2" s="907"/>
      <c r="P2" s="907"/>
      <c r="Q2" s="907"/>
      <c r="R2" s="907"/>
    </row>
    <row r="3" spans="1:29" ht="48">
      <c r="A3" s="2667" t="s">
        <v>3023</v>
      </c>
      <c r="B3" s="2689" t="s">
        <v>2995</v>
      </c>
      <c r="C3" s="2690" t="s">
        <v>3024</v>
      </c>
      <c r="D3" s="2691"/>
      <c r="E3" s="2668" t="s">
        <v>3023</v>
      </c>
      <c r="F3" s="2692" t="s">
        <v>2996</v>
      </c>
      <c r="G3" s="2693" t="s">
        <v>3025</v>
      </c>
      <c r="H3" s="907"/>
      <c r="I3" s="907"/>
      <c r="J3" s="907"/>
      <c r="K3" s="907"/>
      <c r="L3" s="907"/>
      <c r="M3" s="907"/>
      <c r="N3" s="907"/>
      <c r="O3" s="907"/>
      <c r="P3" s="907"/>
      <c r="Q3" s="907"/>
      <c r="R3" s="907"/>
    </row>
    <row r="4" spans="1:29" ht="72">
      <c r="A4" s="2668"/>
      <c r="B4" s="329" t="s">
        <v>2997</v>
      </c>
      <c r="C4" s="3220" t="s">
        <v>3759</v>
      </c>
      <c r="D4" s="2691"/>
      <c r="E4" s="2694"/>
      <c r="F4" s="1557" t="s">
        <v>2998</v>
      </c>
      <c r="G4" s="2695" t="s">
        <v>2999</v>
      </c>
      <c r="H4" s="907"/>
      <c r="I4" s="907"/>
      <c r="J4" s="907"/>
      <c r="K4" s="907"/>
      <c r="L4" s="907"/>
      <c r="M4" s="907"/>
      <c r="N4" s="907"/>
      <c r="O4" s="907"/>
      <c r="P4" s="907"/>
      <c r="Q4" s="907"/>
      <c r="R4" s="907"/>
    </row>
    <row r="5" spans="1:29" ht="84">
      <c r="A5" s="2668"/>
      <c r="B5" s="329" t="s">
        <v>3000</v>
      </c>
      <c r="C5" s="3220" t="s">
        <v>3760</v>
      </c>
      <c r="D5" s="2691"/>
      <c r="E5" s="2694"/>
      <c r="F5" s="329" t="s">
        <v>3001</v>
      </c>
      <c r="G5" s="2695" t="s">
        <v>3002</v>
      </c>
      <c r="H5" s="907"/>
      <c r="I5" s="907"/>
      <c r="J5" s="907"/>
      <c r="K5" s="907"/>
      <c r="L5" s="907"/>
      <c r="M5" s="907"/>
      <c r="N5" s="907"/>
      <c r="O5" s="907"/>
      <c r="P5" s="907"/>
      <c r="Q5" s="907"/>
      <c r="R5" s="907"/>
    </row>
    <row r="6" spans="1:29" ht="96">
      <c r="A6" s="2668"/>
      <c r="B6" s="329" t="s">
        <v>3003</v>
      </c>
      <c r="C6" s="3133" t="s">
        <v>4199</v>
      </c>
      <c r="D6" s="2691"/>
      <c r="E6" s="2694"/>
      <c r="F6" s="329" t="s">
        <v>3004</v>
      </c>
      <c r="G6" s="2695" t="s">
        <v>3005</v>
      </c>
      <c r="H6" s="907"/>
      <c r="I6" s="907"/>
      <c r="J6" s="907"/>
      <c r="K6" s="907"/>
      <c r="L6" s="907"/>
      <c r="M6" s="907"/>
      <c r="N6" s="907"/>
      <c r="O6" s="907"/>
      <c r="P6" s="907"/>
      <c r="Q6" s="907"/>
      <c r="R6" s="907"/>
    </row>
    <row r="7" spans="1:29" ht="120.75" thickBot="1">
      <c r="A7" s="2668"/>
      <c r="B7" s="329" t="s">
        <v>3001</v>
      </c>
      <c r="C7" s="3133" t="s">
        <v>3761</v>
      </c>
      <c r="D7" s="2696"/>
      <c r="E7" s="2697"/>
      <c r="F7" s="2698" t="s">
        <v>3006</v>
      </c>
      <c r="G7" s="2699" t="s">
        <v>3007</v>
      </c>
      <c r="H7" s="907"/>
      <c r="I7" s="907"/>
      <c r="J7" s="907"/>
      <c r="K7" s="907"/>
      <c r="L7" s="907"/>
      <c r="M7" s="907"/>
      <c r="N7" s="907"/>
      <c r="O7" s="907"/>
      <c r="P7" s="907"/>
      <c r="Q7" s="907"/>
      <c r="R7" s="907"/>
    </row>
    <row r="8" spans="1:29" ht="24.75">
      <c r="A8" s="2668"/>
      <c r="B8" s="329" t="s">
        <v>3004</v>
      </c>
      <c r="C8" s="3219" t="s">
        <v>3758</v>
      </c>
      <c r="D8" s="2696"/>
      <c r="E8" s="2696"/>
      <c r="F8" s="2700"/>
      <c r="G8" s="2700"/>
      <c r="H8" s="907"/>
      <c r="I8" s="907"/>
      <c r="J8" s="907"/>
      <c r="K8" s="907"/>
      <c r="L8" s="907"/>
      <c r="M8" s="907"/>
      <c r="N8" s="907"/>
      <c r="O8" s="907"/>
      <c r="P8" s="907"/>
      <c r="Q8" s="907"/>
      <c r="R8" s="907"/>
    </row>
    <row r="9" spans="1:29" ht="24">
      <c r="A9" s="2668"/>
      <c r="B9" s="329" t="s">
        <v>3008</v>
      </c>
      <c r="C9" s="3220" t="s">
        <v>3764</v>
      </c>
      <c r="D9" s="2691"/>
      <c r="E9" s="2696"/>
      <c r="F9" s="2700"/>
      <c r="G9" s="2700"/>
      <c r="H9" s="907"/>
      <c r="I9" s="907"/>
      <c r="J9" s="907"/>
      <c r="K9" s="907"/>
      <c r="L9" s="907"/>
      <c r="M9" s="907"/>
      <c r="N9" s="907"/>
      <c r="O9" s="907"/>
      <c r="P9" s="907"/>
      <c r="Q9" s="907"/>
      <c r="R9" s="907"/>
    </row>
    <row r="10" spans="1:29" s="2705" customFormat="1" ht="15" thickBot="1">
      <c r="A10" s="2669"/>
      <c r="B10" s="2701" t="s">
        <v>3009</v>
      </c>
      <c r="C10" s="3221" t="s">
        <v>3762</v>
      </c>
      <c r="D10" s="2691"/>
      <c r="E10" s="2691"/>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1"/>
      <c r="D12" s="2708"/>
      <c r="E12" s="2691"/>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3027</v>
      </c>
      <c r="B13" s="2708"/>
      <c r="C13" s="2708"/>
      <c r="D13" s="2706"/>
      <c r="E13" s="2708"/>
      <c r="F13" s="2708"/>
      <c r="G13" s="2708"/>
    </row>
    <row r="14" spans="1:29" ht="15" thickBot="1">
      <c r="A14" s="2718"/>
      <c r="B14" s="2718"/>
      <c r="C14" s="2719" t="s">
        <v>3010</v>
      </c>
      <c r="D14" s="2691"/>
      <c r="E14" s="2720"/>
      <c r="F14" s="2720"/>
      <c r="G14" s="2686" t="s">
        <v>3011</v>
      </c>
    </row>
    <row r="15" spans="1:29" ht="51">
      <c r="A15" s="2670" t="s">
        <v>3012</v>
      </c>
      <c r="B15" s="2721" t="s">
        <v>2995</v>
      </c>
      <c r="C15" s="2722" t="str">
        <f>C3</f>
        <v>估价对象周边居住用地比例、居住小区规模和社区发展完善程度，综合评价居住社区成熟度一般</v>
      </c>
      <c r="D15" s="2691"/>
      <c r="E15" s="2671" t="s">
        <v>3013</v>
      </c>
      <c r="F15" s="2721" t="s">
        <v>3014</v>
      </c>
      <c r="G15" s="2723" t="str">
        <f>G3</f>
        <v>估价对象位于XX开发区，园区建设成熟度XX，产业集聚程度XX</v>
      </c>
    </row>
    <row r="16" spans="1:29" ht="76.5">
      <c r="A16" s="2672"/>
      <c r="B16" s="2724" t="s">
        <v>2997</v>
      </c>
      <c r="C16" s="2725" t="str">
        <f>C4</f>
        <v>估价对象位于东四商圈，位于商业类一级地价区，周边有隆福大厦、隆福广场、物美超市，东四大街、朝内大街沿街商业氛围成熟，人流量大，商业繁华度较好。</v>
      </c>
      <c r="D16" s="2691"/>
      <c r="E16" s="2673"/>
      <c r="F16" s="2726" t="s">
        <v>2998</v>
      </c>
      <c r="G16" s="2727" t="str">
        <f>G4</f>
        <v>估价对象周边道路状况、公共交通通达情况、停车便捷程度，综合评价交通便捷度较好</v>
      </c>
    </row>
    <row r="17" spans="1:18" ht="89.25">
      <c r="A17" s="2672"/>
      <c r="B17" s="2724" t="s">
        <v>3000</v>
      </c>
      <c r="C17" s="2725" t="str">
        <f>C5</f>
        <v>估价对象位于东四商圈，位于办公类一级地价区，有国家民航总局、国务院发展研究中心机关办公楼、隆福大厦由商场主体改写字楼，周边商业写字楼项目较少，没有形成聚集的写字楼办公区，办公集聚度一般。</v>
      </c>
      <c r="D17" s="2696"/>
      <c r="E17" s="2673"/>
      <c r="F17" s="2726" t="s">
        <v>3015</v>
      </c>
      <c r="G17" s="2728"/>
    </row>
    <row r="18" spans="1:18" ht="102">
      <c r="A18" s="2672"/>
      <c r="B18" s="2726" t="s">
        <v>3003</v>
      </c>
      <c r="C18" s="2727" t="str">
        <f>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8" s="2696"/>
      <c r="E18" s="2673"/>
      <c r="F18" s="2726" t="s">
        <v>3006</v>
      </c>
      <c r="G18" s="2727" t="str">
        <f>G7</f>
        <v>该园区内是否有污染型企业，绿化情况，卫生条件，整体环境状况判断</v>
      </c>
    </row>
    <row r="19" spans="1:18" ht="25.5">
      <c r="A19" s="2672"/>
      <c r="B19" s="2726" t="s">
        <v>3016</v>
      </c>
      <c r="C19" s="2728"/>
      <c r="D19" s="2691"/>
      <c r="E19" s="2673"/>
      <c r="F19" s="329" t="s">
        <v>3001</v>
      </c>
      <c r="G19" s="2727" t="str">
        <f>G5</f>
        <v>估价对象所在区域公共配套设施齐备情况</v>
      </c>
    </row>
    <row r="20" spans="1:18" ht="25.5">
      <c r="A20" s="2672"/>
      <c r="B20" s="2726" t="s">
        <v>3017</v>
      </c>
      <c r="C20" s="2725" t="str">
        <f>C9</f>
        <v>周边有隆福寺广场、东四清真寺等，自然及人文环境较好</v>
      </c>
      <c r="D20" s="2696"/>
      <c r="E20" s="2673"/>
      <c r="F20" s="329" t="s">
        <v>3004</v>
      </c>
      <c r="G20" s="2727" t="str">
        <f>G6</f>
        <v>估价对象所在区域基础设施水平</v>
      </c>
    </row>
    <row r="21" spans="1:18" ht="127.5">
      <c r="A21" s="2672"/>
      <c r="B21" s="329" t="s">
        <v>3001</v>
      </c>
      <c r="C21" s="2727" t="str">
        <f>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1" s="2691"/>
      <c r="E21" s="2673"/>
      <c r="F21" s="2726" t="s">
        <v>3018</v>
      </c>
      <c r="G21" s="2729"/>
    </row>
    <row r="22" spans="1:18" ht="13.5" customHeight="1">
      <c r="A22" s="2672"/>
      <c r="B22" s="329" t="s">
        <v>3004</v>
      </c>
      <c r="C22" s="2727" t="str">
        <f>C8</f>
        <v>估价对象所在区域基础设施水平-七通</v>
      </c>
      <c r="D22" s="2691"/>
      <c r="E22" s="2673"/>
      <c r="F22" s="2726" t="s">
        <v>3009</v>
      </c>
      <c r="G22" s="2728"/>
    </row>
    <row r="23" spans="1:18" s="907" customFormat="1" ht="15" thickBot="1">
      <c r="A23" s="2672"/>
      <c r="B23" s="2726" t="s">
        <v>3018</v>
      </c>
      <c r="C23" s="2729"/>
      <c r="D23" s="1927"/>
      <c r="E23" s="2674"/>
      <c r="F23" s="2730" t="s">
        <v>3019</v>
      </c>
      <c r="G23" s="2731"/>
      <c r="H23" s="2715"/>
      <c r="I23" s="2716"/>
      <c r="J23" s="2715"/>
      <c r="K23" s="2715"/>
      <c r="L23" s="2716"/>
      <c r="M23" s="2715"/>
      <c r="N23" s="2715"/>
      <c r="O23" s="2716"/>
      <c r="P23" s="2715"/>
      <c r="Q23" s="2715"/>
      <c r="R23" s="2717"/>
    </row>
    <row r="24" spans="1:18" s="907" customFormat="1" ht="15" thickBot="1">
      <c r="A24" s="2675"/>
      <c r="B24" s="2730" t="s">
        <v>3020</v>
      </c>
      <c r="C24" s="2732" t="str">
        <f>C10</f>
        <v>城市主干道-朝阳门内大街</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47689.05</v>
      </c>
      <c r="C1" s="2913"/>
      <c r="D1" s="2913"/>
      <c r="E1" s="2913"/>
      <c r="F1" s="2913"/>
      <c r="G1" s="2914"/>
      <c r="H1" s="2915"/>
      <c r="I1" s="2915"/>
      <c r="J1" s="2915"/>
      <c r="K1" s="2915"/>
    </row>
    <row r="2" spans="1:11" ht="16.5">
      <c r="A2" s="2736" t="s">
        <v>1319</v>
      </c>
      <c r="B2" s="2736">
        <f>SUM(C14:C23)</f>
        <v>5933.24</v>
      </c>
      <c r="C2" s="2913"/>
      <c r="D2" s="2913"/>
      <c r="E2" s="2913"/>
      <c r="F2" s="2913"/>
      <c r="G2" s="2914"/>
      <c r="H2" s="2915"/>
      <c r="I2" s="2915"/>
      <c r="J2" s="2915"/>
      <c r="K2" s="2915"/>
    </row>
    <row r="3" spans="1:11" ht="16.5">
      <c r="A3" s="2736" t="s">
        <v>1328</v>
      </c>
      <c r="B3" s="2738">
        <f>项目基本情况!D3</f>
        <v>42914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179559</v>
      </c>
      <c r="C5" s="2736">
        <f ca="1">ROUND(B5*10000/$B$1,0)</f>
        <v>37652</v>
      </c>
      <c r="D5" s="2736">
        <f ca="1">ROUND(B5*10000/$B$2,0)</f>
        <v>302632</v>
      </c>
      <c r="E5" s="2913"/>
      <c r="F5" s="2914"/>
      <c r="G5" s="2914"/>
      <c r="H5" s="2915"/>
      <c r="I5" s="2915"/>
      <c r="J5" s="2915"/>
      <c r="K5" s="2915"/>
    </row>
    <row r="6" spans="1:11" ht="16.5">
      <c r="A6" s="2736" t="s">
        <v>1322</v>
      </c>
      <c r="B6" s="2736">
        <f ca="1">SUM(G14:G23)</f>
        <v>179559</v>
      </c>
      <c r="C6" s="2736">
        <f ca="1">ROUND(B6*10000/$B$1,0)</f>
        <v>37652</v>
      </c>
      <c r="D6" s="2736">
        <f ca="1">ROUND(B6*10000/$B$2,0)</f>
        <v>302632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47689.05</v>
      </c>
      <c r="C14" s="2742">
        <f>结果表!C118</f>
        <v>5933.24</v>
      </c>
      <c r="D14" s="2742">
        <f ca="1">结果表!H118</f>
        <v>179559</v>
      </c>
      <c r="E14" s="2742">
        <f ca="1">ROUND(D14*10000/B14,0)</f>
        <v>37652</v>
      </c>
      <c r="F14" s="2742">
        <f ca="1">ROUND(D14*10000/C14,0)</f>
        <v>302632</v>
      </c>
      <c r="G14" s="2742">
        <f ca="1">结果表!D122</f>
        <v>179559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45"/>
  <sheetViews>
    <sheetView workbookViewId="0">
      <selection activeCell="O12" sqref="O12"/>
    </sheetView>
  </sheetViews>
  <sheetFormatPr defaultRowHeight="13.5"/>
  <cols>
    <col min="1" max="1" width="6.375" style="3077" customWidth="1"/>
    <col min="2" max="2" width="19.375" style="3121" customWidth="1"/>
    <col min="3" max="3" width="7" style="3077" customWidth="1"/>
    <col min="4" max="4" width="3.25" style="3077" customWidth="1"/>
    <col min="5" max="5" width="7.375" style="3077" customWidth="1"/>
    <col min="6" max="6" width="3.5" style="3077" customWidth="1"/>
    <col min="7" max="7" width="19.375" style="3122" customWidth="1"/>
    <col min="8" max="8" width="19.5" style="3077" customWidth="1"/>
    <col min="9" max="9" width="10.625" style="3077" customWidth="1"/>
    <col min="10" max="10" width="10.5" style="3073" customWidth="1"/>
    <col min="11" max="11" width="4.875" style="3073" customWidth="1"/>
    <col min="12" max="12" width="16.375" style="3073" customWidth="1"/>
    <col min="13" max="16" width="8.125" style="3077" customWidth="1"/>
    <col min="17" max="256" width="9" style="3077"/>
    <col min="257" max="257" width="6.375" style="3077" customWidth="1"/>
    <col min="258" max="258" width="19.375" style="3077" customWidth="1"/>
    <col min="259" max="259" width="7" style="3077" customWidth="1"/>
    <col min="260" max="260" width="3.25" style="3077" customWidth="1"/>
    <col min="261" max="261" width="7.375" style="3077" customWidth="1"/>
    <col min="262" max="262" width="3.5" style="3077" customWidth="1"/>
    <col min="263" max="263" width="19.375" style="3077" customWidth="1"/>
    <col min="264" max="264" width="19.5" style="3077" customWidth="1"/>
    <col min="265" max="265" width="8.625" style="3077" customWidth="1"/>
    <col min="266" max="266" width="10.5" style="3077" customWidth="1"/>
    <col min="267" max="267" width="4.875" style="3077" customWidth="1"/>
    <col min="268" max="268" width="16.375" style="3077" customWidth="1"/>
    <col min="269" max="272" width="8.125" style="3077" customWidth="1"/>
    <col min="273" max="512" width="9" style="3077"/>
    <col min="513" max="513" width="6.375" style="3077" customWidth="1"/>
    <col min="514" max="514" width="19.375" style="3077" customWidth="1"/>
    <col min="515" max="515" width="7" style="3077" customWidth="1"/>
    <col min="516" max="516" width="3.25" style="3077" customWidth="1"/>
    <col min="517" max="517" width="7.375" style="3077" customWidth="1"/>
    <col min="518" max="518" width="3.5" style="3077" customWidth="1"/>
    <col min="519" max="519" width="19.375" style="3077" customWidth="1"/>
    <col min="520" max="520" width="19.5" style="3077" customWidth="1"/>
    <col min="521" max="521" width="8.625" style="3077" customWidth="1"/>
    <col min="522" max="522" width="10.5" style="3077" customWidth="1"/>
    <col min="523" max="523" width="4.875" style="3077" customWidth="1"/>
    <col min="524" max="524" width="16.375" style="3077" customWidth="1"/>
    <col min="525" max="528" width="8.125" style="3077" customWidth="1"/>
    <col min="529" max="768" width="9" style="3077"/>
    <col min="769" max="769" width="6.375" style="3077" customWidth="1"/>
    <col min="770" max="770" width="19.375" style="3077" customWidth="1"/>
    <col min="771" max="771" width="7" style="3077" customWidth="1"/>
    <col min="772" max="772" width="3.25" style="3077" customWidth="1"/>
    <col min="773" max="773" width="7.375" style="3077" customWidth="1"/>
    <col min="774" max="774" width="3.5" style="3077" customWidth="1"/>
    <col min="775" max="775" width="19.375" style="3077" customWidth="1"/>
    <col min="776" max="776" width="19.5" style="3077" customWidth="1"/>
    <col min="777" max="777" width="8.625" style="3077" customWidth="1"/>
    <col min="778" max="778" width="10.5" style="3077" customWidth="1"/>
    <col min="779" max="779" width="4.875" style="3077" customWidth="1"/>
    <col min="780" max="780" width="16.375" style="3077" customWidth="1"/>
    <col min="781" max="784" width="8.125" style="3077" customWidth="1"/>
    <col min="785" max="1024" width="9" style="3077"/>
    <col min="1025" max="1025" width="6.375" style="3077" customWidth="1"/>
    <col min="1026" max="1026" width="19.375" style="3077" customWidth="1"/>
    <col min="1027" max="1027" width="7" style="3077" customWidth="1"/>
    <col min="1028" max="1028" width="3.25" style="3077" customWidth="1"/>
    <col min="1029" max="1029" width="7.375" style="3077" customWidth="1"/>
    <col min="1030" max="1030" width="3.5" style="3077" customWidth="1"/>
    <col min="1031" max="1031" width="19.375" style="3077" customWidth="1"/>
    <col min="1032" max="1032" width="19.5" style="3077" customWidth="1"/>
    <col min="1033" max="1033" width="8.625" style="3077" customWidth="1"/>
    <col min="1034" max="1034" width="10.5" style="3077" customWidth="1"/>
    <col min="1035" max="1035" width="4.875" style="3077" customWidth="1"/>
    <col min="1036" max="1036" width="16.375" style="3077" customWidth="1"/>
    <col min="1037" max="1040" width="8.125" style="3077" customWidth="1"/>
    <col min="1041" max="1280" width="9" style="3077"/>
    <col min="1281" max="1281" width="6.375" style="3077" customWidth="1"/>
    <col min="1282" max="1282" width="19.375" style="3077" customWidth="1"/>
    <col min="1283" max="1283" width="7" style="3077" customWidth="1"/>
    <col min="1284" max="1284" width="3.25" style="3077" customWidth="1"/>
    <col min="1285" max="1285" width="7.375" style="3077" customWidth="1"/>
    <col min="1286" max="1286" width="3.5" style="3077" customWidth="1"/>
    <col min="1287" max="1287" width="19.375" style="3077" customWidth="1"/>
    <col min="1288" max="1288" width="19.5" style="3077" customWidth="1"/>
    <col min="1289" max="1289" width="8.625" style="3077" customWidth="1"/>
    <col min="1290" max="1290" width="10.5" style="3077" customWidth="1"/>
    <col min="1291" max="1291" width="4.875" style="3077" customWidth="1"/>
    <col min="1292" max="1292" width="16.375" style="3077" customWidth="1"/>
    <col min="1293" max="1296" width="8.125" style="3077" customWidth="1"/>
    <col min="1297" max="1536" width="9" style="3077"/>
    <col min="1537" max="1537" width="6.375" style="3077" customWidth="1"/>
    <col min="1538" max="1538" width="19.375" style="3077" customWidth="1"/>
    <col min="1539" max="1539" width="7" style="3077" customWidth="1"/>
    <col min="1540" max="1540" width="3.25" style="3077" customWidth="1"/>
    <col min="1541" max="1541" width="7.375" style="3077" customWidth="1"/>
    <col min="1542" max="1542" width="3.5" style="3077" customWidth="1"/>
    <col min="1543" max="1543" width="19.375" style="3077" customWidth="1"/>
    <col min="1544" max="1544" width="19.5" style="3077" customWidth="1"/>
    <col min="1545" max="1545" width="8.625" style="3077" customWidth="1"/>
    <col min="1546" max="1546" width="10.5" style="3077" customWidth="1"/>
    <col min="1547" max="1547" width="4.875" style="3077" customWidth="1"/>
    <col min="1548" max="1548" width="16.375" style="3077" customWidth="1"/>
    <col min="1549" max="1552" width="8.125" style="3077" customWidth="1"/>
    <col min="1553" max="1792" width="9" style="3077"/>
    <col min="1793" max="1793" width="6.375" style="3077" customWidth="1"/>
    <col min="1794" max="1794" width="19.375" style="3077" customWidth="1"/>
    <col min="1795" max="1795" width="7" style="3077" customWidth="1"/>
    <col min="1796" max="1796" width="3.25" style="3077" customWidth="1"/>
    <col min="1797" max="1797" width="7.375" style="3077" customWidth="1"/>
    <col min="1798" max="1798" width="3.5" style="3077" customWidth="1"/>
    <col min="1799" max="1799" width="19.375" style="3077" customWidth="1"/>
    <col min="1800" max="1800" width="19.5" style="3077" customWidth="1"/>
    <col min="1801" max="1801" width="8.625" style="3077" customWidth="1"/>
    <col min="1802" max="1802" width="10.5" style="3077" customWidth="1"/>
    <col min="1803" max="1803" width="4.875" style="3077" customWidth="1"/>
    <col min="1804" max="1804" width="16.375" style="3077" customWidth="1"/>
    <col min="1805" max="1808" width="8.125" style="3077" customWidth="1"/>
    <col min="1809" max="2048" width="9" style="3077"/>
    <col min="2049" max="2049" width="6.375" style="3077" customWidth="1"/>
    <col min="2050" max="2050" width="19.375" style="3077" customWidth="1"/>
    <col min="2051" max="2051" width="7" style="3077" customWidth="1"/>
    <col min="2052" max="2052" width="3.25" style="3077" customWidth="1"/>
    <col min="2053" max="2053" width="7.375" style="3077" customWidth="1"/>
    <col min="2054" max="2054" width="3.5" style="3077" customWidth="1"/>
    <col min="2055" max="2055" width="19.375" style="3077" customWidth="1"/>
    <col min="2056" max="2056" width="19.5" style="3077" customWidth="1"/>
    <col min="2057" max="2057" width="8.625" style="3077" customWidth="1"/>
    <col min="2058" max="2058" width="10.5" style="3077" customWidth="1"/>
    <col min="2059" max="2059" width="4.875" style="3077" customWidth="1"/>
    <col min="2060" max="2060" width="16.375" style="3077" customWidth="1"/>
    <col min="2061" max="2064" width="8.125" style="3077" customWidth="1"/>
    <col min="2065" max="2304" width="9" style="3077"/>
    <col min="2305" max="2305" width="6.375" style="3077" customWidth="1"/>
    <col min="2306" max="2306" width="19.375" style="3077" customWidth="1"/>
    <col min="2307" max="2307" width="7" style="3077" customWidth="1"/>
    <col min="2308" max="2308" width="3.25" style="3077" customWidth="1"/>
    <col min="2309" max="2309" width="7.375" style="3077" customWidth="1"/>
    <col min="2310" max="2310" width="3.5" style="3077" customWidth="1"/>
    <col min="2311" max="2311" width="19.375" style="3077" customWidth="1"/>
    <col min="2312" max="2312" width="19.5" style="3077" customWidth="1"/>
    <col min="2313" max="2313" width="8.625" style="3077" customWidth="1"/>
    <col min="2314" max="2314" width="10.5" style="3077" customWidth="1"/>
    <col min="2315" max="2315" width="4.875" style="3077" customWidth="1"/>
    <col min="2316" max="2316" width="16.375" style="3077" customWidth="1"/>
    <col min="2317" max="2320" width="8.125" style="3077" customWidth="1"/>
    <col min="2321" max="2560" width="9" style="3077"/>
    <col min="2561" max="2561" width="6.375" style="3077" customWidth="1"/>
    <col min="2562" max="2562" width="19.375" style="3077" customWidth="1"/>
    <col min="2563" max="2563" width="7" style="3077" customWidth="1"/>
    <col min="2564" max="2564" width="3.25" style="3077" customWidth="1"/>
    <col min="2565" max="2565" width="7.375" style="3077" customWidth="1"/>
    <col min="2566" max="2566" width="3.5" style="3077" customWidth="1"/>
    <col min="2567" max="2567" width="19.375" style="3077" customWidth="1"/>
    <col min="2568" max="2568" width="19.5" style="3077" customWidth="1"/>
    <col min="2569" max="2569" width="8.625" style="3077" customWidth="1"/>
    <col min="2570" max="2570" width="10.5" style="3077" customWidth="1"/>
    <col min="2571" max="2571" width="4.875" style="3077" customWidth="1"/>
    <col min="2572" max="2572" width="16.375" style="3077" customWidth="1"/>
    <col min="2573" max="2576" width="8.125" style="3077" customWidth="1"/>
    <col min="2577" max="2816" width="9" style="3077"/>
    <col min="2817" max="2817" width="6.375" style="3077" customWidth="1"/>
    <col min="2818" max="2818" width="19.375" style="3077" customWidth="1"/>
    <col min="2819" max="2819" width="7" style="3077" customWidth="1"/>
    <col min="2820" max="2820" width="3.25" style="3077" customWidth="1"/>
    <col min="2821" max="2821" width="7.375" style="3077" customWidth="1"/>
    <col min="2822" max="2822" width="3.5" style="3077" customWidth="1"/>
    <col min="2823" max="2823" width="19.375" style="3077" customWidth="1"/>
    <col min="2824" max="2824" width="19.5" style="3077" customWidth="1"/>
    <col min="2825" max="2825" width="8.625" style="3077" customWidth="1"/>
    <col min="2826" max="2826" width="10.5" style="3077" customWidth="1"/>
    <col min="2827" max="2827" width="4.875" style="3077" customWidth="1"/>
    <col min="2828" max="2828" width="16.375" style="3077" customWidth="1"/>
    <col min="2829" max="2832" width="8.125" style="3077" customWidth="1"/>
    <col min="2833" max="3072" width="9" style="3077"/>
    <col min="3073" max="3073" width="6.375" style="3077" customWidth="1"/>
    <col min="3074" max="3074" width="19.375" style="3077" customWidth="1"/>
    <col min="3075" max="3075" width="7" style="3077" customWidth="1"/>
    <col min="3076" max="3076" width="3.25" style="3077" customWidth="1"/>
    <col min="3077" max="3077" width="7.375" style="3077" customWidth="1"/>
    <col min="3078" max="3078" width="3.5" style="3077" customWidth="1"/>
    <col min="3079" max="3079" width="19.375" style="3077" customWidth="1"/>
    <col min="3080" max="3080" width="19.5" style="3077" customWidth="1"/>
    <col min="3081" max="3081" width="8.625" style="3077" customWidth="1"/>
    <col min="3082" max="3082" width="10.5" style="3077" customWidth="1"/>
    <col min="3083" max="3083" width="4.875" style="3077" customWidth="1"/>
    <col min="3084" max="3084" width="16.375" style="3077" customWidth="1"/>
    <col min="3085" max="3088" width="8.125" style="3077" customWidth="1"/>
    <col min="3089" max="3328" width="9" style="3077"/>
    <col min="3329" max="3329" width="6.375" style="3077" customWidth="1"/>
    <col min="3330" max="3330" width="19.375" style="3077" customWidth="1"/>
    <col min="3331" max="3331" width="7" style="3077" customWidth="1"/>
    <col min="3332" max="3332" width="3.25" style="3077" customWidth="1"/>
    <col min="3333" max="3333" width="7.375" style="3077" customWidth="1"/>
    <col min="3334" max="3334" width="3.5" style="3077" customWidth="1"/>
    <col min="3335" max="3335" width="19.375" style="3077" customWidth="1"/>
    <col min="3336" max="3336" width="19.5" style="3077" customWidth="1"/>
    <col min="3337" max="3337" width="8.625" style="3077" customWidth="1"/>
    <col min="3338" max="3338" width="10.5" style="3077" customWidth="1"/>
    <col min="3339" max="3339" width="4.875" style="3077" customWidth="1"/>
    <col min="3340" max="3340" width="16.375" style="3077" customWidth="1"/>
    <col min="3341" max="3344" width="8.125" style="3077" customWidth="1"/>
    <col min="3345" max="3584" width="9" style="3077"/>
    <col min="3585" max="3585" width="6.375" style="3077" customWidth="1"/>
    <col min="3586" max="3586" width="19.375" style="3077" customWidth="1"/>
    <col min="3587" max="3587" width="7" style="3077" customWidth="1"/>
    <col min="3588" max="3588" width="3.25" style="3077" customWidth="1"/>
    <col min="3589" max="3589" width="7.375" style="3077" customWidth="1"/>
    <col min="3590" max="3590" width="3.5" style="3077" customWidth="1"/>
    <col min="3591" max="3591" width="19.375" style="3077" customWidth="1"/>
    <col min="3592" max="3592" width="19.5" style="3077" customWidth="1"/>
    <col min="3593" max="3593" width="8.625" style="3077" customWidth="1"/>
    <col min="3594" max="3594" width="10.5" style="3077" customWidth="1"/>
    <col min="3595" max="3595" width="4.875" style="3077" customWidth="1"/>
    <col min="3596" max="3596" width="16.375" style="3077" customWidth="1"/>
    <col min="3597" max="3600" width="8.125" style="3077" customWidth="1"/>
    <col min="3601" max="3840" width="9" style="3077"/>
    <col min="3841" max="3841" width="6.375" style="3077" customWidth="1"/>
    <col min="3842" max="3842" width="19.375" style="3077" customWidth="1"/>
    <col min="3843" max="3843" width="7" style="3077" customWidth="1"/>
    <col min="3844" max="3844" width="3.25" style="3077" customWidth="1"/>
    <col min="3845" max="3845" width="7.375" style="3077" customWidth="1"/>
    <col min="3846" max="3846" width="3.5" style="3077" customWidth="1"/>
    <col min="3847" max="3847" width="19.375" style="3077" customWidth="1"/>
    <col min="3848" max="3848" width="19.5" style="3077" customWidth="1"/>
    <col min="3849" max="3849" width="8.625" style="3077" customWidth="1"/>
    <col min="3850" max="3850" width="10.5" style="3077" customWidth="1"/>
    <col min="3851" max="3851" width="4.875" style="3077" customWidth="1"/>
    <col min="3852" max="3852" width="16.375" style="3077" customWidth="1"/>
    <col min="3853" max="3856" width="8.125" style="3077" customWidth="1"/>
    <col min="3857" max="4096" width="9" style="3077"/>
    <col min="4097" max="4097" width="6.375" style="3077" customWidth="1"/>
    <col min="4098" max="4098" width="19.375" style="3077" customWidth="1"/>
    <col min="4099" max="4099" width="7" style="3077" customWidth="1"/>
    <col min="4100" max="4100" width="3.25" style="3077" customWidth="1"/>
    <col min="4101" max="4101" width="7.375" style="3077" customWidth="1"/>
    <col min="4102" max="4102" width="3.5" style="3077" customWidth="1"/>
    <col min="4103" max="4103" width="19.375" style="3077" customWidth="1"/>
    <col min="4104" max="4104" width="19.5" style="3077" customWidth="1"/>
    <col min="4105" max="4105" width="8.625" style="3077" customWidth="1"/>
    <col min="4106" max="4106" width="10.5" style="3077" customWidth="1"/>
    <col min="4107" max="4107" width="4.875" style="3077" customWidth="1"/>
    <col min="4108" max="4108" width="16.375" style="3077" customWidth="1"/>
    <col min="4109" max="4112" width="8.125" style="3077" customWidth="1"/>
    <col min="4113" max="4352" width="9" style="3077"/>
    <col min="4353" max="4353" width="6.375" style="3077" customWidth="1"/>
    <col min="4354" max="4354" width="19.375" style="3077" customWidth="1"/>
    <col min="4355" max="4355" width="7" style="3077" customWidth="1"/>
    <col min="4356" max="4356" width="3.25" style="3077" customWidth="1"/>
    <col min="4357" max="4357" width="7.375" style="3077" customWidth="1"/>
    <col min="4358" max="4358" width="3.5" style="3077" customWidth="1"/>
    <col min="4359" max="4359" width="19.375" style="3077" customWidth="1"/>
    <col min="4360" max="4360" width="19.5" style="3077" customWidth="1"/>
    <col min="4361" max="4361" width="8.625" style="3077" customWidth="1"/>
    <col min="4362" max="4362" width="10.5" style="3077" customWidth="1"/>
    <col min="4363" max="4363" width="4.875" style="3077" customWidth="1"/>
    <col min="4364" max="4364" width="16.375" style="3077" customWidth="1"/>
    <col min="4365" max="4368" width="8.125" style="3077" customWidth="1"/>
    <col min="4369" max="4608" width="9" style="3077"/>
    <col min="4609" max="4609" width="6.375" style="3077" customWidth="1"/>
    <col min="4610" max="4610" width="19.375" style="3077" customWidth="1"/>
    <col min="4611" max="4611" width="7" style="3077" customWidth="1"/>
    <col min="4612" max="4612" width="3.25" style="3077" customWidth="1"/>
    <col min="4613" max="4613" width="7.375" style="3077" customWidth="1"/>
    <col min="4614" max="4614" width="3.5" style="3077" customWidth="1"/>
    <col min="4615" max="4615" width="19.375" style="3077" customWidth="1"/>
    <col min="4616" max="4616" width="19.5" style="3077" customWidth="1"/>
    <col min="4617" max="4617" width="8.625" style="3077" customWidth="1"/>
    <col min="4618" max="4618" width="10.5" style="3077" customWidth="1"/>
    <col min="4619" max="4619" width="4.875" style="3077" customWidth="1"/>
    <col min="4620" max="4620" width="16.375" style="3077" customWidth="1"/>
    <col min="4621" max="4624" width="8.125" style="3077" customWidth="1"/>
    <col min="4625" max="4864" width="9" style="3077"/>
    <col min="4865" max="4865" width="6.375" style="3077" customWidth="1"/>
    <col min="4866" max="4866" width="19.375" style="3077" customWidth="1"/>
    <col min="4867" max="4867" width="7" style="3077" customWidth="1"/>
    <col min="4868" max="4868" width="3.25" style="3077" customWidth="1"/>
    <col min="4869" max="4869" width="7.375" style="3077" customWidth="1"/>
    <col min="4870" max="4870" width="3.5" style="3077" customWidth="1"/>
    <col min="4871" max="4871" width="19.375" style="3077" customWidth="1"/>
    <col min="4872" max="4872" width="19.5" style="3077" customWidth="1"/>
    <col min="4873" max="4873" width="8.625" style="3077" customWidth="1"/>
    <col min="4874" max="4874" width="10.5" style="3077" customWidth="1"/>
    <col min="4875" max="4875" width="4.875" style="3077" customWidth="1"/>
    <col min="4876" max="4876" width="16.375" style="3077" customWidth="1"/>
    <col min="4877" max="4880" width="8.125" style="3077" customWidth="1"/>
    <col min="4881" max="5120" width="9" style="3077"/>
    <col min="5121" max="5121" width="6.375" style="3077" customWidth="1"/>
    <col min="5122" max="5122" width="19.375" style="3077" customWidth="1"/>
    <col min="5123" max="5123" width="7" style="3077" customWidth="1"/>
    <col min="5124" max="5124" width="3.25" style="3077" customWidth="1"/>
    <col min="5125" max="5125" width="7.375" style="3077" customWidth="1"/>
    <col min="5126" max="5126" width="3.5" style="3077" customWidth="1"/>
    <col min="5127" max="5127" width="19.375" style="3077" customWidth="1"/>
    <col min="5128" max="5128" width="19.5" style="3077" customWidth="1"/>
    <col min="5129" max="5129" width="8.625" style="3077" customWidth="1"/>
    <col min="5130" max="5130" width="10.5" style="3077" customWidth="1"/>
    <col min="5131" max="5131" width="4.875" style="3077" customWidth="1"/>
    <col min="5132" max="5132" width="16.375" style="3077" customWidth="1"/>
    <col min="5133" max="5136" width="8.125" style="3077" customWidth="1"/>
    <col min="5137" max="5376" width="9" style="3077"/>
    <col min="5377" max="5377" width="6.375" style="3077" customWidth="1"/>
    <col min="5378" max="5378" width="19.375" style="3077" customWidth="1"/>
    <col min="5379" max="5379" width="7" style="3077" customWidth="1"/>
    <col min="5380" max="5380" width="3.25" style="3077" customWidth="1"/>
    <col min="5381" max="5381" width="7.375" style="3077" customWidth="1"/>
    <col min="5382" max="5382" width="3.5" style="3077" customWidth="1"/>
    <col min="5383" max="5383" width="19.375" style="3077" customWidth="1"/>
    <col min="5384" max="5384" width="19.5" style="3077" customWidth="1"/>
    <col min="5385" max="5385" width="8.625" style="3077" customWidth="1"/>
    <col min="5386" max="5386" width="10.5" style="3077" customWidth="1"/>
    <col min="5387" max="5387" width="4.875" style="3077" customWidth="1"/>
    <col min="5388" max="5388" width="16.375" style="3077" customWidth="1"/>
    <col min="5389" max="5392" width="8.125" style="3077" customWidth="1"/>
    <col min="5393" max="5632" width="9" style="3077"/>
    <col min="5633" max="5633" width="6.375" style="3077" customWidth="1"/>
    <col min="5634" max="5634" width="19.375" style="3077" customWidth="1"/>
    <col min="5635" max="5635" width="7" style="3077" customWidth="1"/>
    <col min="5636" max="5636" width="3.25" style="3077" customWidth="1"/>
    <col min="5637" max="5637" width="7.375" style="3077" customWidth="1"/>
    <col min="5638" max="5638" width="3.5" style="3077" customWidth="1"/>
    <col min="5639" max="5639" width="19.375" style="3077" customWidth="1"/>
    <col min="5640" max="5640" width="19.5" style="3077" customWidth="1"/>
    <col min="5641" max="5641" width="8.625" style="3077" customWidth="1"/>
    <col min="5642" max="5642" width="10.5" style="3077" customWidth="1"/>
    <col min="5643" max="5643" width="4.875" style="3077" customWidth="1"/>
    <col min="5644" max="5644" width="16.375" style="3077" customWidth="1"/>
    <col min="5645" max="5648" width="8.125" style="3077" customWidth="1"/>
    <col min="5649" max="5888" width="9" style="3077"/>
    <col min="5889" max="5889" width="6.375" style="3077" customWidth="1"/>
    <col min="5890" max="5890" width="19.375" style="3077" customWidth="1"/>
    <col min="5891" max="5891" width="7" style="3077" customWidth="1"/>
    <col min="5892" max="5892" width="3.25" style="3077" customWidth="1"/>
    <col min="5893" max="5893" width="7.375" style="3077" customWidth="1"/>
    <col min="5894" max="5894" width="3.5" style="3077" customWidth="1"/>
    <col min="5895" max="5895" width="19.375" style="3077" customWidth="1"/>
    <col min="5896" max="5896" width="19.5" style="3077" customWidth="1"/>
    <col min="5897" max="5897" width="8.625" style="3077" customWidth="1"/>
    <col min="5898" max="5898" width="10.5" style="3077" customWidth="1"/>
    <col min="5899" max="5899" width="4.875" style="3077" customWidth="1"/>
    <col min="5900" max="5900" width="16.375" style="3077" customWidth="1"/>
    <col min="5901" max="5904" width="8.125" style="3077" customWidth="1"/>
    <col min="5905" max="6144" width="9" style="3077"/>
    <col min="6145" max="6145" width="6.375" style="3077" customWidth="1"/>
    <col min="6146" max="6146" width="19.375" style="3077" customWidth="1"/>
    <col min="6147" max="6147" width="7" style="3077" customWidth="1"/>
    <col min="6148" max="6148" width="3.25" style="3077" customWidth="1"/>
    <col min="6149" max="6149" width="7.375" style="3077" customWidth="1"/>
    <col min="6150" max="6150" width="3.5" style="3077" customWidth="1"/>
    <col min="6151" max="6151" width="19.375" style="3077" customWidth="1"/>
    <col min="6152" max="6152" width="19.5" style="3077" customWidth="1"/>
    <col min="6153" max="6153" width="8.625" style="3077" customWidth="1"/>
    <col min="6154" max="6154" width="10.5" style="3077" customWidth="1"/>
    <col min="6155" max="6155" width="4.875" style="3077" customWidth="1"/>
    <col min="6156" max="6156" width="16.375" style="3077" customWidth="1"/>
    <col min="6157" max="6160" width="8.125" style="3077" customWidth="1"/>
    <col min="6161" max="6400" width="9" style="3077"/>
    <col min="6401" max="6401" width="6.375" style="3077" customWidth="1"/>
    <col min="6402" max="6402" width="19.375" style="3077" customWidth="1"/>
    <col min="6403" max="6403" width="7" style="3077" customWidth="1"/>
    <col min="6404" max="6404" width="3.25" style="3077" customWidth="1"/>
    <col min="6405" max="6405" width="7.375" style="3077" customWidth="1"/>
    <col min="6406" max="6406" width="3.5" style="3077" customWidth="1"/>
    <col min="6407" max="6407" width="19.375" style="3077" customWidth="1"/>
    <col min="6408" max="6408" width="19.5" style="3077" customWidth="1"/>
    <col min="6409" max="6409" width="8.625" style="3077" customWidth="1"/>
    <col min="6410" max="6410" width="10.5" style="3077" customWidth="1"/>
    <col min="6411" max="6411" width="4.875" style="3077" customWidth="1"/>
    <col min="6412" max="6412" width="16.375" style="3077" customWidth="1"/>
    <col min="6413" max="6416" width="8.125" style="3077" customWidth="1"/>
    <col min="6417" max="6656" width="9" style="3077"/>
    <col min="6657" max="6657" width="6.375" style="3077" customWidth="1"/>
    <col min="6658" max="6658" width="19.375" style="3077" customWidth="1"/>
    <col min="6659" max="6659" width="7" style="3077" customWidth="1"/>
    <col min="6660" max="6660" width="3.25" style="3077" customWidth="1"/>
    <col min="6661" max="6661" width="7.375" style="3077" customWidth="1"/>
    <col min="6662" max="6662" width="3.5" style="3077" customWidth="1"/>
    <col min="6663" max="6663" width="19.375" style="3077" customWidth="1"/>
    <col min="6664" max="6664" width="19.5" style="3077" customWidth="1"/>
    <col min="6665" max="6665" width="8.625" style="3077" customWidth="1"/>
    <col min="6666" max="6666" width="10.5" style="3077" customWidth="1"/>
    <col min="6667" max="6667" width="4.875" style="3077" customWidth="1"/>
    <col min="6668" max="6668" width="16.375" style="3077" customWidth="1"/>
    <col min="6669" max="6672" width="8.125" style="3077" customWidth="1"/>
    <col min="6673" max="6912" width="9" style="3077"/>
    <col min="6913" max="6913" width="6.375" style="3077" customWidth="1"/>
    <col min="6914" max="6914" width="19.375" style="3077" customWidth="1"/>
    <col min="6915" max="6915" width="7" style="3077" customWidth="1"/>
    <col min="6916" max="6916" width="3.25" style="3077" customWidth="1"/>
    <col min="6917" max="6917" width="7.375" style="3077" customWidth="1"/>
    <col min="6918" max="6918" width="3.5" style="3077" customWidth="1"/>
    <col min="6919" max="6919" width="19.375" style="3077" customWidth="1"/>
    <col min="6920" max="6920" width="19.5" style="3077" customWidth="1"/>
    <col min="6921" max="6921" width="8.625" style="3077" customWidth="1"/>
    <col min="6922" max="6922" width="10.5" style="3077" customWidth="1"/>
    <col min="6923" max="6923" width="4.875" style="3077" customWidth="1"/>
    <col min="6924" max="6924" width="16.375" style="3077" customWidth="1"/>
    <col min="6925" max="6928" width="8.125" style="3077" customWidth="1"/>
    <col min="6929" max="7168" width="9" style="3077"/>
    <col min="7169" max="7169" width="6.375" style="3077" customWidth="1"/>
    <col min="7170" max="7170" width="19.375" style="3077" customWidth="1"/>
    <col min="7171" max="7171" width="7" style="3077" customWidth="1"/>
    <col min="7172" max="7172" width="3.25" style="3077" customWidth="1"/>
    <col min="7173" max="7173" width="7.375" style="3077" customWidth="1"/>
    <col min="7174" max="7174" width="3.5" style="3077" customWidth="1"/>
    <col min="7175" max="7175" width="19.375" style="3077" customWidth="1"/>
    <col min="7176" max="7176" width="19.5" style="3077" customWidth="1"/>
    <col min="7177" max="7177" width="8.625" style="3077" customWidth="1"/>
    <col min="7178" max="7178" width="10.5" style="3077" customWidth="1"/>
    <col min="7179" max="7179" width="4.875" style="3077" customWidth="1"/>
    <col min="7180" max="7180" width="16.375" style="3077" customWidth="1"/>
    <col min="7181" max="7184" width="8.125" style="3077" customWidth="1"/>
    <col min="7185" max="7424" width="9" style="3077"/>
    <col min="7425" max="7425" width="6.375" style="3077" customWidth="1"/>
    <col min="7426" max="7426" width="19.375" style="3077" customWidth="1"/>
    <col min="7427" max="7427" width="7" style="3077" customWidth="1"/>
    <col min="7428" max="7428" width="3.25" style="3077" customWidth="1"/>
    <col min="7429" max="7429" width="7.375" style="3077" customWidth="1"/>
    <col min="7430" max="7430" width="3.5" style="3077" customWidth="1"/>
    <col min="7431" max="7431" width="19.375" style="3077" customWidth="1"/>
    <col min="7432" max="7432" width="19.5" style="3077" customWidth="1"/>
    <col min="7433" max="7433" width="8.625" style="3077" customWidth="1"/>
    <col min="7434" max="7434" width="10.5" style="3077" customWidth="1"/>
    <col min="7435" max="7435" width="4.875" style="3077" customWidth="1"/>
    <col min="7436" max="7436" width="16.375" style="3077" customWidth="1"/>
    <col min="7437" max="7440" width="8.125" style="3077" customWidth="1"/>
    <col min="7441" max="7680" width="9" style="3077"/>
    <col min="7681" max="7681" width="6.375" style="3077" customWidth="1"/>
    <col min="7682" max="7682" width="19.375" style="3077" customWidth="1"/>
    <col min="7683" max="7683" width="7" style="3077" customWidth="1"/>
    <col min="7684" max="7684" width="3.25" style="3077" customWidth="1"/>
    <col min="7685" max="7685" width="7.375" style="3077" customWidth="1"/>
    <col min="7686" max="7686" width="3.5" style="3077" customWidth="1"/>
    <col min="7687" max="7687" width="19.375" style="3077" customWidth="1"/>
    <col min="7688" max="7688" width="19.5" style="3077" customWidth="1"/>
    <col min="7689" max="7689" width="8.625" style="3077" customWidth="1"/>
    <col min="7690" max="7690" width="10.5" style="3077" customWidth="1"/>
    <col min="7691" max="7691" width="4.875" style="3077" customWidth="1"/>
    <col min="7692" max="7692" width="16.375" style="3077" customWidth="1"/>
    <col min="7693" max="7696" width="8.125" style="3077" customWidth="1"/>
    <col min="7697" max="7936" width="9" style="3077"/>
    <col min="7937" max="7937" width="6.375" style="3077" customWidth="1"/>
    <col min="7938" max="7938" width="19.375" style="3077" customWidth="1"/>
    <col min="7939" max="7939" width="7" style="3077" customWidth="1"/>
    <col min="7940" max="7940" width="3.25" style="3077" customWidth="1"/>
    <col min="7941" max="7941" width="7.375" style="3077" customWidth="1"/>
    <col min="7942" max="7942" width="3.5" style="3077" customWidth="1"/>
    <col min="7943" max="7943" width="19.375" style="3077" customWidth="1"/>
    <col min="7944" max="7944" width="19.5" style="3077" customWidth="1"/>
    <col min="7945" max="7945" width="8.625" style="3077" customWidth="1"/>
    <col min="7946" max="7946" width="10.5" style="3077" customWidth="1"/>
    <col min="7947" max="7947" width="4.875" style="3077" customWidth="1"/>
    <col min="7948" max="7948" width="16.375" style="3077" customWidth="1"/>
    <col min="7949" max="7952" width="8.125" style="3077" customWidth="1"/>
    <col min="7953" max="8192" width="9" style="3077"/>
    <col min="8193" max="8193" width="6.375" style="3077" customWidth="1"/>
    <col min="8194" max="8194" width="19.375" style="3077" customWidth="1"/>
    <col min="8195" max="8195" width="7" style="3077" customWidth="1"/>
    <col min="8196" max="8196" width="3.25" style="3077" customWidth="1"/>
    <col min="8197" max="8197" width="7.375" style="3077" customWidth="1"/>
    <col min="8198" max="8198" width="3.5" style="3077" customWidth="1"/>
    <col min="8199" max="8199" width="19.375" style="3077" customWidth="1"/>
    <col min="8200" max="8200" width="19.5" style="3077" customWidth="1"/>
    <col min="8201" max="8201" width="8.625" style="3077" customWidth="1"/>
    <col min="8202" max="8202" width="10.5" style="3077" customWidth="1"/>
    <col min="8203" max="8203" width="4.875" style="3077" customWidth="1"/>
    <col min="8204" max="8204" width="16.375" style="3077" customWidth="1"/>
    <col min="8205" max="8208" width="8.125" style="3077" customWidth="1"/>
    <col min="8209" max="8448" width="9" style="3077"/>
    <col min="8449" max="8449" width="6.375" style="3077" customWidth="1"/>
    <col min="8450" max="8450" width="19.375" style="3077" customWidth="1"/>
    <col min="8451" max="8451" width="7" style="3077" customWidth="1"/>
    <col min="8452" max="8452" width="3.25" style="3077" customWidth="1"/>
    <col min="8453" max="8453" width="7.375" style="3077" customWidth="1"/>
    <col min="8454" max="8454" width="3.5" style="3077" customWidth="1"/>
    <col min="8455" max="8455" width="19.375" style="3077" customWidth="1"/>
    <col min="8456" max="8456" width="19.5" style="3077" customWidth="1"/>
    <col min="8457" max="8457" width="8.625" style="3077" customWidth="1"/>
    <col min="8458" max="8458" width="10.5" style="3077" customWidth="1"/>
    <col min="8459" max="8459" width="4.875" style="3077" customWidth="1"/>
    <col min="8460" max="8460" width="16.375" style="3077" customWidth="1"/>
    <col min="8461" max="8464" width="8.125" style="3077" customWidth="1"/>
    <col min="8465" max="8704" width="9" style="3077"/>
    <col min="8705" max="8705" width="6.375" style="3077" customWidth="1"/>
    <col min="8706" max="8706" width="19.375" style="3077" customWidth="1"/>
    <col min="8707" max="8707" width="7" style="3077" customWidth="1"/>
    <col min="8708" max="8708" width="3.25" style="3077" customWidth="1"/>
    <col min="8709" max="8709" width="7.375" style="3077" customWidth="1"/>
    <col min="8710" max="8710" width="3.5" style="3077" customWidth="1"/>
    <col min="8711" max="8711" width="19.375" style="3077" customWidth="1"/>
    <col min="8712" max="8712" width="19.5" style="3077" customWidth="1"/>
    <col min="8713" max="8713" width="8.625" style="3077" customWidth="1"/>
    <col min="8714" max="8714" width="10.5" style="3077" customWidth="1"/>
    <col min="8715" max="8715" width="4.875" style="3077" customWidth="1"/>
    <col min="8716" max="8716" width="16.375" style="3077" customWidth="1"/>
    <col min="8717" max="8720" width="8.125" style="3077" customWidth="1"/>
    <col min="8721" max="8960" width="9" style="3077"/>
    <col min="8961" max="8961" width="6.375" style="3077" customWidth="1"/>
    <col min="8962" max="8962" width="19.375" style="3077" customWidth="1"/>
    <col min="8963" max="8963" width="7" style="3077" customWidth="1"/>
    <col min="8964" max="8964" width="3.25" style="3077" customWidth="1"/>
    <col min="8965" max="8965" width="7.375" style="3077" customWidth="1"/>
    <col min="8966" max="8966" width="3.5" style="3077" customWidth="1"/>
    <col min="8967" max="8967" width="19.375" style="3077" customWidth="1"/>
    <col min="8968" max="8968" width="19.5" style="3077" customWidth="1"/>
    <col min="8969" max="8969" width="8.625" style="3077" customWidth="1"/>
    <col min="8970" max="8970" width="10.5" style="3077" customWidth="1"/>
    <col min="8971" max="8971" width="4.875" style="3077" customWidth="1"/>
    <col min="8972" max="8972" width="16.375" style="3077" customWidth="1"/>
    <col min="8973" max="8976" width="8.125" style="3077" customWidth="1"/>
    <col min="8977" max="9216" width="9" style="3077"/>
    <col min="9217" max="9217" width="6.375" style="3077" customWidth="1"/>
    <col min="9218" max="9218" width="19.375" style="3077" customWidth="1"/>
    <col min="9219" max="9219" width="7" style="3077" customWidth="1"/>
    <col min="9220" max="9220" width="3.25" style="3077" customWidth="1"/>
    <col min="9221" max="9221" width="7.375" style="3077" customWidth="1"/>
    <col min="9222" max="9222" width="3.5" style="3077" customWidth="1"/>
    <col min="9223" max="9223" width="19.375" style="3077" customWidth="1"/>
    <col min="9224" max="9224" width="19.5" style="3077" customWidth="1"/>
    <col min="9225" max="9225" width="8.625" style="3077" customWidth="1"/>
    <col min="9226" max="9226" width="10.5" style="3077" customWidth="1"/>
    <col min="9227" max="9227" width="4.875" style="3077" customWidth="1"/>
    <col min="9228" max="9228" width="16.375" style="3077" customWidth="1"/>
    <col min="9229" max="9232" width="8.125" style="3077" customWidth="1"/>
    <col min="9233" max="9472" width="9" style="3077"/>
    <col min="9473" max="9473" width="6.375" style="3077" customWidth="1"/>
    <col min="9474" max="9474" width="19.375" style="3077" customWidth="1"/>
    <col min="9475" max="9475" width="7" style="3077" customWidth="1"/>
    <col min="9476" max="9476" width="3.25" style="3077" customWidth="1"/>
    <col min="9477" max="9477" width="7.375" style="3077" customWidth="1"/>
    <col min="9478" max="9478" width="3.5" style="3077" customWidth="1"/>
    <col min="9479" max="9479" width="19.375" style="3077" customWidth="1"/>
    <col min="9480" max="9480" width="19.5" style="3077" customWidth="1"/>
    <col min="9481" max="9481" width="8.625" style="3077" customWidth="1"/>
    <col min="9482" max="9482" width="10.5" style="3077" customWidth="1"/>
    <col min="9483" max="9483" width="4.875" style="3077" customWidth="1"/>
    <col min="9484" max="9484" width="16.375" style="3077" customWidth="1"/>
    <col min="9485" max="9488" width="8.125" style="3077" customWidth="1"/>
    <col min="9489" max="9728" width="9" style="3077"/>
    <col min="9729" max="9729" width="6.375" style="3077" customWidth="1"/>
    <col min="9730" max="9730" width="19.375" style="3077" customWidth="1"/>
    <col min="9731" max="9731" width="7" style="3077" customWidth="1"/>
    <col min="9732" max="9732" width="3.25" style="3077" customWidth="1"/>
    <col min="9733" max="9733" width="7.375" style="3077" customWidth="1"/>
    <col min="9734" max="9734" width="3.5" style="3077" customWidth="1"/>
    <col min="9735" max="9735" width="19.375" style="3077" customWidth="1"/>
    <col min="9736" max="9736" width="19.5" style="3077" customWidth="1"/>
    <col min="9737" max="9737" width="8.625" style="3077" customWidth="1"/>
    <col min="9738" max="9738" width="10.5" style="3077" customWidth="1"/>
    <col min="9739" max="9739" width="4.875" style="3077" customWidth="1"/>
    <col min="9740" max="9740" width="16.375" style="3077" customWidth="1"/>
    <col min="9741" max="9744" width="8.125" style="3077" customWidth="1"/>
    <col min="9745" max="9984" width="9" style="3077"/>
    <col min="9985" max="9985" width="6.375" style="3077" customWidth="1"/>
    <col min="9986" max="9986" width="19.375" style="3077" customWidth="1"/>
    <col min="9987" max="9987" width="7" style="3077" customWidth="1"/>
    <col min="9988" max="9988" width="3.25" style="3077" customWidth="1"/>
    <col min="9989" max="9989" width="7.375" style="3077" customWidth="1"/>
    <col min="9990" max="9990" width="3.5" style="3077" customWidth="1"/>
    <col min="9991" max="9991" width="19.375" style="3077" customWidth="1"/>
    <col min="9992" max="9992" width="19.5" style="3077" customWidth="1"/>
    <col min="9993" max="9993" width="8.625" style="3077" customWidth="1"/>
    <col min="9994" max="9994" width="10.5" style="3077" customWidth="1"/>
    <col min="9995" max="9995" width="4.875" style="3077" customWidth="1"/>
    <col min="9996" max="9996" width="16.375" style="3077" customWidth="1"/>
    <col min="9997" max="10000" width="8.125" style="3077" customWidth="1"/>
    <col min="10001" max="10240" width="9" style="3077"/>
    <col min="10241" max="10241" width="6.375" style="3077" customWidth="1"/>
    <col min="10242" max="10242" width="19.375" style="3077" customWidth="1"/>
    <col min="10243" max="10243" width="7" style="3077" customWidth="1"/>
    <col min="10244" max="10244" width="3.25" style="3077" customWidth="1"/>
    <col min="10245" max="10245" width="7.375" style="3077" customWidth="1"/>
    <col min="10246" max="10246" width="3.5" style="3077" customWidth="1"/>
    <col min="10247" max="10247" width="19.375" style="3077" customWidth="1"/>
    <col min="10248" max="10248" width="19.5" style="3077" customWidth="1"/>
    <col min="10249" max="10249" width="8.625" style="3077" customWidth="1"/>
    <col min="10250" max="10250" width="10.5" style="3077" customWidth="1"/>
    <col min="10251" max="10251" width="4.875" style="3077" customWidth="1"/>
    <col min="10252" max="10252" width="16.375" style="3077" customWidth="1"/>
    <col min="10253" max="10256" width="8.125" style="3077" customWidth="1"/>
    <col min="10257" max="10496" width="9" style="3077"/>
    <col min="10497" max="10497" width="6.375" style="3077" customWidth="1"/>
    <col min="10498" max="10498" width="19.375" style="3077" customWidth="1"/>
    <col min="10499" max="10499" width="7" style="3077" customWidth="1"/>
    <col min="10500" max="10500" width="3.25" style="3077" customWidth="1"/>
    <col min="10501" max="10501" width="7.375" style="3077" customWidth="1"/>
    <col min="10502" max="10502" width="3.5" style="3077" customWidth="1"/>
    <col min="10503" max="10503" width="19.375" style="3077" customWidth="1"/>
    <col min="10504" max="10504" width="19.5" style="3077" customWidth="1"/>
    <col min="10505" max="10505" width="8.625" style="3077" customWidth="1"/>
    <col min="10506" max="10506" width="10.5" style="3077" customWidth="1"/>
    <col min="10507" max="10507" width="4.875" style="3077" customWidth="1"/>
    <col min="10508" max="10508" width="16.375" style="3077" customWidth="1"/>
    <col min="10509" max="10512" width="8.125" style="3077" customWidth="1"/>
    <col min="10513" max="10752" width="9" style="3077"/>
    <col min="10753" max="10753" width="6.375" style="3077" customWidth="1"/>
    <col min="10754" max="10754" width="19.375" style="3077" customWidth="1"/>
    <col min="10755" max="10755" width="7" style="3077" customWidth="1"/>
    <col min="10756" max="10756" width="3.25" style="3077" customWidth="1"/>
    <col min="10757" max="10757" width="7.375" style="3077" customWidth="1"/>
    <col min="10758" max="10758" width="3.5" style="3077" customWidth="1"/>
    <col min="10759" max="10759" width="19.375" style="3077" customWidth="1"/>
    <col min="10760" max="10760" width="19.5" style="3077" customWidth="1"/>
    <col min="10761" max="10761" width="8.625" style="3077" customWidth="1"/>
    <col min="10762" max="10762" width="10.5" style="3077" customWidth="1"/>
    <col min="10763" max="10763" width="4.875" style="3077" customWidth="1"/>
    <col min="10764" max="10764" width="16.375" style="3077" customWidth="1"/>
    <col min="10765" max="10768" width="8.125" style="3077" customWidth="1"/>
    <col min="10769" max="11008" width="9" style="3077"/>
    <col min="11009" max="11009" width="6.375" style="3077" customWidth="1"/>
    <col min="11010" max="11010" width="19.375" style="3077" customWidth="1"/>
    <col min="11011" max="11011" width="7" style="3077" customWidth="1"/>
    <col min="11012" max="11012" width="3.25" style="3077" customWidth="1"/>
    <col min="11013" max="11013" width="7.375" style="3077" customWidth="1"/>
    <col min="11014" max="11014" width="3.5" style="3077" customWidth="1"/>
    <col min="11015" max="11015" width="19.375" style="3077" customWidth="1"/>
    <col min="11016" max="11016" width="19.5" style="3077" customWidth="1"/>
    <col min="11017" max="11017" width="8.625" style="3077" customWidth="1"/>
    <col min="11018" max="11018" width="10.5" style="3077" customWidth="1"/>
    <col min="11019" max="11019" width="4.875" style="3077" customWidth="1"/>
    <col min="11020" max="11020" width="16.375" style="3077" customWidth="1"/>
    <col min="11021" max="11024" width="8.125" style="3077" customWidth="1"/>
    <col min="11025" max="11264" width="9" style="3077"/>
    <col min="11265" max="11265" width="6.375" style="3077" customWidth="1"/>
    <col min="11266" max="11266" width="19.375" style="3077" customWidth="1"/>
    <col min="11267" max="11267" width="7" style="3077" customWidth="1"/>
    <col min="11268" max="11268" width="3.25" style="3077" customWidth="1"/>
    <col min="11269" max="11269" width="7.375" style="3077" customWidth="1"/>
    <col min="11270" max="11270" width="3.5" style="3077" customWidth="1"/>
    <col min="11271" max="11271" width="19.375" style="3077" customWidth="1"/>
    <col min="11272" max="11272" width="19.5" style="3077" customWidth="1"/>
    <col min="11273" max="11273" width="8.625" style="3077" customWidth="1"/>
    <col min="11274" max="11274" width="10.5" style="3077" customWidth="1"/>
    <col min="11275" max="11275" width="4.875" style="3077" customWidth="1"/>
    <col min="11276" max="11276" width="16.375" style="3077" customWidth="1"/>
    <col min="11277" max="11280" width="8.125" style="3077" customWidth="1"/>
    <col min="11281" max="11520" width="9" style="3077"/>
    <col min="11521" max="11521" width="6.375" style="3077" customWidth="1"/>
    <col min="11522" max="11522" width="19.375" style="3077" customWidth="1"/>
    <col min="11523" max="11523" width="7" style="3077" customWidth="1"/>
    <col min="11524" max="11524" width="3.25" style="3077" customWidth="1"/>
    <col min="11525" max="11525" width="7.375" style="3077" customWidth="1"/>
    <col min="11526" max="11526" width="3.5" style="3077" customWidth="1"/>
    <col min="11527" max="11527" width="19.375" style="3077" customWidth="1"/>
    <col min="11528" max="11528" width="19.5" style="3077" customWidth="1"/>
    <col min="11529" max="11529" width="8.625" style="3077" customWidth="1"/>
    <col min="11530" max="11530" width="10.5" style="3077" customWidth="1"/>
    <col min="11531" max="11531" width="4.875" style="3077" customWidth="1"/>
    <col min="11532" max="11532" width="16.375" style="3077" customWidth="1"/>
    <col min="11533" max="11536" width="8.125" style="3077" customWidth="1"/>
    <col min="11537" max="11776" width="9" style="3077"/>
    <col min="11777" max="11777" width="6.375" style="3077" customWidth="1"/>
    <col min="11778" max="11778" width="19.375" style="3077" customWidth="1"/>
    <col min="11779" max="11779" width="7" style="3077" customWidth="1"/>
    <col min="11780" max="11780" width="3.25" style="3077" customWidth="1"/>
    <col min="11781" max="11781" width="7.375" style="3077" customWidth="1"/>
    <col min="11782" max="11782" width="3.5" style="3077" customWidth="1"/>
    <col min="11783" max="11783" width="19.375" style="3077" customWidth="1"/>
    <col min="11784" max="11784" width="19.5" style="3077" customWidth="1"/>
    <col min="11785" max="11785" width="8.625" style="3077" customWidth="1"/>
    <col min="11786" max="11786" width="10.5" style="3077" customWidth="1"/>
    <col min="11787" max="11787" width="4.875" style="3077" customWidth="1"/>
    <col min="11788" max="11788" width="16.375" style="3077" customWidth="1"/>
    <col min="11789" max="11792" width="8.125" style="3077" customWidth="1"/>
    <col min="11793" max="12032" width="9" style="3077"/>
    <col min="12033" max="12033" width="6.375" style="3077" customWidth="1"/>
    <col min="12034" max="12034" width="19.375" style="3077" customWidth="1"/>
    <col min="12035" max="12035" width="7" style="3077" customWidth="1"/>
    <col min="12036" max="12036" width="3.25" style="3077" customWidth="1"/>
    <col min="12037" max="12037" width="7.375" style="3077" customWidth="1"/>
    <col min="12038" max="12038" width="3.5" style="3077" customWidth="1"/>
    <col min="12039" max="12039" width="19.375" style="3077" customWidth="1"/>
    <col min="12040" max="12040" width="19.5" style="3077" customWidth="1"/>
    <col min="12041" max="12041" width="8.625" style="3077" customWidth="1"/>
    <col min="12042" max="12042" width="10.5" style="3077" customWidth="1"/>
    <col min="12043" max="12043" width="4.875" style="3077" customWidth="1"/>
    <col min="12044" max="12044" width="16.375" style="3077" customWidth="1"/>
    <col min="12045" max="12048" width="8.125" style="3077" customWidth="1"/>
    <col min="12049" max="12288" width="9" style="3077"/>
    <col min="12289" max="12289" width="6.375" style="3077" customWidth="1"/>
    <col min="12290" max="12290" width="19.375" style="3077" customWidth="1"/>
    <col min="12291" max="12291" width="7" style="3077" customWidth="1"/>
    <col min="12292" max="12292" width="3.25" style="3077" customWidth="1"/>
    <col min="12293" max="12293" width="7.375" style="3077" customWidth="1"/>
    <col min="12294" max="12294" width="3.5" style="3077" customWidth="1"/>
    <col min="12295" max="12295" width="19.375" style="3077" customWidth="1"/>
    <col min="12296" max="12296" width="19.5" style="3077" customWidth="1"/>
    <col min="12297" max="12297" width="8.625" style="3077" customWidth="1"/>
    <col min="12298" max="12298" width="10.5" style="3077" customWidth="1"/>
    <col min="12299" max="12299" width="4.875" style="3077" customWidth="1"/>
    <col min="12300" max="12300" width="16.375" style="3077" customWidth="1"/>
    <col min="12301" max="12304" width="8.125" style="3077" customWidth="1"/>
    <col min="12305" max="12544" width="9" style="3077"/>
    <col min="12545" max="12545" width="6.375" style="3077" customWidth="1"/>
    <col min="12546" max="12546" width="19.375" style="3077" customWidth="1"/>
    <col min="12547" max="12547" width="7" style="3077" customWidth="1"/>
    <col min="12548" max="12548" width="3.25" style="3077" customWidth="1"/>
    <col min="12549" max="12549" width="7.375" style="3077" customWidth="1"/>
    <col min="12550" max="12550" width="3.5" style="3077" customWidth="1"/>
    <col min="12551" max="12551" width="19.375" style="3077" customWidth="1"/>
    <col min="12552" max="12552" width="19.5" style="3077" customWidth="1"/>
    <col min="12553" max="12553" width="8.625" style="3077" customWidth="1"/>
    <col min="12554" max="12554" width="10.5" style="3077" customWidth="1"/>
    <col min="12555" max="12555" width="4.875" style="3077" customWidth="1"/>
    <col min="12556" max="12556" width="16.375" style="3077" customWidth="1"/>
    <col min="12557" max="12560" width="8.125" style="3077" customWidth="1"/>
    <col min="12561" max="12800" width="9" style="3077"/>
    <col min="12801" max="12801" width="6.375" style="3077" customWidth="1"/>
    <col min="12802" max="12802" width="19.375" style="3077" customWidth="1"/>
    <col min="12803" max="12803" width="7" style="3077" customWidth="1"/>
    <col min="12804" max="12804" width="3.25" style="3077" customWidth="1"/>
    <col min="12805" max="12805" width="7.375" style="3077" customWidth="1"/>
    <col min="12806" max="12806" width="3.5" style="3077" customWidth="1"/>
    <col min="12807" max="12807" width="19.375" style="3077" customWidth="1"/>
    <col min="12808" max="12808" width="19.5" style="3077" customWidth="1"/>
    <col min="12809" max="12809" width="8.625" style="3077" customWidth="1"/>
    <col min="12810" max="12810" width="10.5" style="3077" customWidth="1"/>
    <col min="12811" max="12811" width="4.875" style="3077" customWidth="1"/>
    <col min="12812" max="12812" width="16.375" style="3077" customWidth="1"/>
    <col min="12813" max="12816" width="8.125" style="3077" customWidth="1"/>
    <col min="12817" max="13056" width="9" style="3077"/>
    <col min="13057" max="13057" width="6.375" style="3077" customWidth="1"/>
    <col min="13058" max="13058" width="19.375" style="3077" customWidth="1"/>
    <col min="13059" max="13059" width="7" style="3077" customWidth="1"/>
    <col min="13060" max="13060" width="3.25" style="3077" customWidth="1"/>
    <col min="13061" max="13061" width="7.375" style="3077" customWidth="1"/>
    <col min="13062" max="13062" width="3.5" style="3077" customWidth="1"/>
    <col min="13063" max="13063" width="19.375" style="3077" customWidth="1"/>
    <col min="13064" max="13064" width="19.5" style="3077" customWidth="1"/>
    <col min="13065" max="13065" width="8.625" style="3077" customWidth="1"/>
    <col min="13066" max="13066" width="10.5" style="3077" customWidth="1"/>
    <col min="13067" max="13067" width="4.875" style="3077" customWidth="1"/>
    <col min="13068" max="13068" width="16.375" style="3077" customWidth="1"/>
    <col min="13069" max="13072" width="8.125" style="3077" customWidth="1"/>
    <col min="13073" max="13312" width="9" style="3077"/>
    <col min="13313" max="13313" width="6.375" style="3077" customWidth="1"/>
    <col min="13314" max="13314" width="19.375" style="3077" customWidth="1"/>
    <col min="13315" max="13315" width="7" style="3077" customWidth="1"/>
    <col min="13316" max="13316" width="3.25" style="3077" customWidth="1"/>
    <col min="13317" max="13317" width="7.375" style="3077" customWidth="1"/>
    <col min="13318" max="13318" width="3.5" style="3077" customWidth="1"/>
    <col min="13319" max="13319" width="19.375" style="3077" customWidth="1"/>
    <col min="13320" max="13320" width="19.5" style="3077" customWidth="1"/>
    <col min="13321" max="13321" width="8.625" style="3077" customWidth="1"/>
    <col min="13322" max="13322" width="10.5" style="3077" customWidth="1"/>
    <col min="13323" max="13323" width="4.875" style="3077" customWidth="1"/>
    <col min="13324" max="13324" width="16.375" style="3077" customWidth="1"/>
    <col min="13325" max="13328" width="8.125" style="3077" customWidth="1"/>
    <col min="13329" max="13568" width="9" style="3077"/>
    <col min="13569" max="13569" width="6.375" style="3077" customWidth="1"/>
    <col min="13570" max="13570" width="19.375" style="3077" customWidth="1"/>
    <col min="13571" max="13571" width="7" style="3077" customWidth="1"/>
    <col min="13572" max="13572" width="3.25" style="3077" customWidth="1"/>
    <col min="13573" max="13573" width="7.375" style="3077" customWidth="1"/>
    <col min="13574" max="13574" width="3.5" style="3077" customWidth="1"/>
    <col min="13575" max="13575" width="19.375" style="3077" customWidth="1"/>
    <col min="13576" max="13576" width="19.5" style="3077" customWidth="1"/>
    <col min="13577" max="13577" width="8.625" style="3077" customWidth="1"/>
    <col min="13578" max="13578" width="10.5" style="3077" customWidth="1"/>
    <col min="13579" max="13579" width="4.875" style="3077" customWidth="1"/>
    <col min="13580" max="13580" width="16.375" style="3077" customWidth="1"/>
    <col min="13581" max="13584" width="8.125" style="3077" customWidth="1"/>
    <col min="13585" max="13824" width="9" style="3077"/>
    <col min="13825" max="13825" width="6.375" style="3077" customWidth="1"/>
    <col min="13826" max="13826" width="19.375" style="3077" customWidth="1"/>
    <col min="13827" max="13827" width="7" style="3077" customWidth="1"/>
    <col min="13828" max="13828" width="3.25" style="3077" customWidth="1"/>
    <col min="13829" max="13829" width="7.375" style="3077" customWidth="1"/>
    <col min="13830" max="13830" width="3.5" style="3077" customWidth="1"/>
    <col min="13831" max="13831" width="19.375" style="3077" customWidth="1"/>
    <col min="13832" max="13832" width="19.5" style="3077" customWidth="1"/>
    <col min="13833" max="13833" width="8.625" style="3077" customWidth="1"/>
    <col min="13834" max="13834" width="10.5" style="3077" customWidth="1"/>
    <col min="13835" max="13835" width="4.875" style="3077" customWidth="1"/>
    <col min="13836" max="13836" width="16.375" style="3077" customWidth="1"/>
    <col min="13837" max="13840" width="8.125" style="3077" customWidth="1"/>
    <col min="13841" max="14080" width="9" style="3077"/>
    <col min="14081" max="14081" width="6.375" style="3077" customWidth="1"/>
    <col min="14082" max="14082" width="19.375" style="3077" customWidth="1"/>
    <col min="14083" max="14083" width="7" style="3077" customWidth="1"/>
    <col min="14084" max="14084" width="3.25" style="3077" customWidth="1"/>
    <col min="14085" max="14085" width="7.375" style="3077" customWidth="1"/>
    <col min="14086" max="14086" width="3.5" style="3077" customWidth="1"/>
    <col min="14087" max="14087" width="19.375" style="3077" customWidth="1"/>
    <col min="14088" max="14088" width="19.5" style="3077" customWidth="1"/>
    <col min="14089" max="14089" width="8.625" style="3077" customWidth="1"/>
    <col min="14090" max="14090" width="10.5" style="3077" customWidth="1"/>
    <col min="14091" max="14091" width="4.875" style="3077" customWidth="1"/>
    <col min="14092" max="14092" width="16.375" style="3077" customWidth="1"/>
    <col min="14093" max="14096" width="8.125" style="3077" customWidth="1"/>
    <col min="14097" max="14336" width="9" style="3077"/>
    <col min="14337" max="14337" width="6.375" style="3077" customWidth="1"/>
    <col min="14338" max="14338" width="19.375" style="3077" customWidth="1"/>
    <col min="14339" max="14339" width="7" style="3077" customWidth="1"/>
    <col min="14340" max="14340" width="3.25" style="3077" customWidth="1"/>
    <col min="14341" max="14341" width="7.375" style="3077" customWidth="1"/>
    <col min="14342" max="14342" width="3.5" style="3077" customWidth="1"/>
    <col min="14343" max="14343" width="19.375" style="3077" customWidth="1"/>
    <col min="14344" max="14344" width="19.5" style="3077" customWidth="1"/>
    <col min="14345" max="14345" width="8.625" style="3077" customWidth="1"/>
    <col min="14346" max="14346" width="10.5" style="3077" customWidth="1"/>
    <col min="14347" max="14347" width="4.875" style="3077" customWidth="1"/>
    <col min="14348" max="14348" width="16.375" style="3077" customWidth="1"/>
    <col min="14349" max="14352" width="8.125" style="3077" customWidth="1"/>
    <col min="14353" max="14592" width="9" style="3077"/>
    <col min="14593" max="14593" width="6.375" style="3077" customWidth="1"/>
    <col min="14594" max="14594" width="19.375" style="3077" customWidth="1"/>
    <col min="14595" max="14595" width="7" style="3077" customWidth="1"/>
    <col min="14596" max="14596" width="3.25" style="3077" customWidth="1"/>
    <col min="14597" max="14597" width="7.375" style="3077" customWidth="1"/>
    <col min="14598" max="14598" width="3.5" style="3077" customWidth="1"/>
    <col min="14599" max="14599" width="19.375" style="3077" customWidth="1"/>
    <col min="14600" max="14600" width="19.5" style="3077" customWidth="1"/>
    <col min="14601" max="14601" width="8.625" style="3077" customWidth="1"/>
    <col min="14602" max="14602" width="10.5" style="3077" customWidth="1"/>
    <col min="14603" max="14603" width="4.875" style="3077" customWidth="1"/>
    <col min="14604" max="14604" width="16.375" style="3077" customWidth="1"/>
    <col min="14605" max="14608" width="8.125" style="3077" customWidth="1"/>
    <col min="14609" max="14848" width="9" style="3077"/>
    <col min="14849" max="14849" width="6.375" style="3077" customWidth="1"/>
    <col min="14850" max="14850" width="19.375" style="3077" customWidth="1"/>
    <col min="14851" max="14851" width="7" style="3077" customWidth="1"/>
    <col min="14852" max="14852" width="3.25" style="3077" customWidth="1"/>
    <col min="14853" max="14853" width="7.375" style="3077" customWidth="1"/>
    <col min="14854" max="14854" width="3.5" style="3077" customWidth="1"/>
    <col min="14855" max="14855" width="19.375" style="3077" customWidth="1"/>
    <col min="14856" max="14856" width="19.5" style="3077" customWidth="1"/>
    <col min="14857" max="14857" width="8.625" style="3077" customWidth="1"/>
    <col min="14858" max="14858" width="10.5" style="3077" customWidth="1"/>
    <col min="14859" max="14859" width="4.875" style="3077" customWidth="1"/>
    <col min="14860" max="14860" width="16.375" style="3077" customWidth="1"/>
    <col min="14861" max="14864" width="8.125" style="3077" customWidth="1"/>
    <col min="14865" max="15104" width="9" style="3077"/>
    <col min="15105" max="15105" width="6.375" style="3077" customWidth="1"/>
    <col min="15106" max="15106" width="19.375" style="3077" customWidth="1"/>
    <col min="15107" max="15107" width="7" style="3077" customWidth="1"/>
    <col min="15108" max="15108" width="3.25" style="3077" customWidth="1"/>
    <col min="15109" max="15109" width="7.375" style="3077" customWidth="1"/>
    <col min="15110" max="15110" width="3.5" style="3077" customWidth="1"/>
    <col min="15111" max="15111" width="19.375" style="3077" customWidth="1"/>
    <col min="15112" max="15112" width="19.5" style="3077" customWidth="1"/>
    <col min="15113" max="15113" width="8.625" style="3077" customWidth="1"/>
    <col min="15114" max="15114" width="10.5" style="3077" customWidth="1"/>
    <col min="15115" max="15115" width="4.875" style="3077" customWidth="1"/>
    <col min="15116" max="15116" width="16.375" style="3077" customWidth="1"/>
    <col min="15117" max="15120" width="8.125" style="3077" customWidth="1"/>
    <col min="15121" max="15360" width="9" style="3077"/>
    <col min="15361" max="15361" width="6.375" style="3077" customWidth="1"/>
    <col min="15362" max="15362" width="19.375" style="3077" customWidth="1"/>
    <col min="15363" max="15363" width="7" style="3077" customWidth="1"/>
    <col min="15364" max="15364" width="3.25" style="3077" customWidth="1"/>
    <col min="15365" max="15365" width="7.375" style="3077" customWidth="1"/>
    <col min="15366" max="15366" width="3.5" style="3077" customWidth="1"/>
    <col min="15367" max="15367" width="19.375" style="3077" customWidth="1"/>
    <col min="15368" max="15368" width="19.5" style="3077" customWidth="1"/>
    <col min="15369" max="15369" width="8.625" style="3077" customWidth="1"/>
    <col min="15370" max="15370" width="10.5" style="3077" customWidth="1"/>
    <col min="15371" max="15371" width="4.875" style="3077" customWidth="1"/>
    <col min="15372" max="15372" width="16.375" style="3077" customWidth="1"/>
    <col min="15373" max="15376" width="8.125" style="3077" customWidth="1"/>
    <col min="15377" max="15616" width="9" style="3077"/>
    <col min="15617" max="15617" width="6.375" style="3077" customWidth="1"/>
    <col min="15618" max="15618" width="19.375" style="3077" customWidth="1"/>
    <col min="15619" max="15619" width="7" style="3077" customWidth="1"/>
    <col min="15620" max="15620" width="3.25" style="3077" customWidth="1"/>
    <col min="15621" max="15621" width="7.375" style="3077" customWidth="1"/>
    <col min="15622" max="15622" width="3.5" style="3077" customWidth="1"/>
    <col min="15623" max="15623" width="19.375" style="3077" customWidth="1"/>
    <col min="15624" max="15624" width="19.5" style="3077" customWidth="1"/>
    <col min="15625" max="15625" width="8.625" style="3077" customWidth="1"/>
    <col min="15626" max="15626" width="10.5" style="3077" customWidth="1"/>
    <col min="15627" max="15627" width="4.875" style="3077" customWidth="1"/>
    <col min="15628" max="15628" width="16.375" style="3077" customWidth="1"/>
    <col min="15629" max="15632" width="8.125" style="3077" customWidth="1"/>
    <col min="15633" max="15872" width="9" style="3077"/>
    <col min="15873" max="15873" width="6.375" style="3077" customWidth="1"/>
    <col min="15874" max="15874" width="19.375" style="3077" customWidth="1"/>
    <col min="15875" max="15875" width="7" style="3077" customWidth="1"/>
    <col min="15876" max="15876" width="3.25" style="3077" customWidth="1"/>
    <col min="15877" max="15877" width="7.375" style="3077" customWidth="1"/>
    <col min="15878" max="15878" width="3.5" style="3077" customWidth="1"/>
    <col min="15879" max="15879" width="19.375" style="3077" customWidth="1"/>
    <col min="15880" max="15880" width="19.5" style="3077" customWidth="1"/>
    <col min="15881" max="15881" width="8.625" style="3077" customWidth="1"/>
    <col min="15882" max="15882" width="10.5" style="3077" customWidth="1"/>
    <col min="15883" max="15883" width="4.875" style="3077" customWidth="1"/>
    <col min="15884" max="15884" width="16.375" style="3077" customWidth="1"/>
    <col min="15885" max="15888" width="8.125" style="3077" customWidth="1"/>
    <col min="15889" max="16128" width="9" style="3077"/>
    <col min="16129" max="16129" width="6.375" style="3077" customWidth="1"/>
    <col min="16130" max="16130" width="19.375" style="3077" customWidth="1"/>
    <col min="16131" max="16131" width="7" style="3077" customWidth="1"/>
    <col min="16132" max="16132" width="3.25" style="3077" customWidth="1"/>
    <col min="16133" max="16133" width="7.375" style="3077" customWidth="1"/>
    <col min="16134" max="16134" width="3.5" style="3077" customWidth="1"/>
    <col min="16135" max="16135" width="19.375" style="3077" customWidth="1"/>
    <col min="16136" max="16136" width="19.5" style="3077" customWidth="1"/>
    <col min="16137" max="16137" width="8.625" style="3077" customWidth="1"/>
    <col min="16138" max="16138" width="10.5" style="3077" customWidth="1"/>
    <col min="16139" max="16139" width="4.875" style="3077" customWidth="1"/>
    <col min="16140" max="16140" width="16.375" style="3077" customWidth="1"/>
    <col min="16141" max="16144" width="8.125" style="3077" customWidth="1"/>
    <col min="16145" max="16384" width="9" style="3077"/>
  </cols>
  <sheetData>
    <row r="1" spans="1:16">
      <c r="A1" s="3623" t="s">
        <v>3107</v>
      </c>
      <c r="B1" s="3623"/>
      <c r="C1" s="3623"/>
      <c r="D1" s="3623"/>
      <c r="E1" s="3623"/>
      <c r="F1" s="3623"/>
      <c r="G1" s="3623"/>
      <c r="H1" s="3623"/>
      <c r="I1" s="3623"/>
      <c r="K1" s="3624" t="s">
        <v>3108</v>
      </c>
      <c r="L1" s="3074" t="s">
        <v>3109</v>
      </c>
      <c r="M1" s="3075">
        <v>0</v>
      </c>
      <c r="N1" s="3076"/>
      <c r="O1" s="3076"/>
    </row>
    <row r="2" spans="1:16" ht="15.75" customHeight="1">
      <c r="A2" s="3078" t="s">
        <v>608</v>
      </c>
      <c r="B2" s="3079" t="s">
        <v>3110</v>
      </c>
      <c r="C2" s="3596" t="s">
        <v>3111</v>
      </c>
      <c r="D2" s="3597"/>
      <c r="E2" s="3597"/>
      <c r="F2" s="3598"/>
      <c r="G2" s="3080" t="s">
        <v>3112</v>
      </c>
      <c r="H2" s="3599" t="s">
        <v>1048</v>
      </c>
      <c r="I2" s="3599"/>
      <c r="K2" s="3624"/>
      <c r="L2" s="3074" t="s">
        <v>3113</v>
      </c>
      <c r="M2" s="3081" t="s">
        <v>3114</v>
      </c>
      <c r="N2" s="3082">
        <v>2011</v>
      </c>
      <c r="O2" s="3082"/>
    </row>
    <row r="3" spans="1:16">
      <c r="A3" s="3080" t="s">
        <v>3115</v>
      </c>
      <c r="B3" s="3083" t="s">
        <v>3116</v>
      </c>
      <c r="C3" s="3596">
        <f ca="1">结果表!G20*结果一览表!I3</f>
        <v>1795588110.6000001</v>
      </c>
      <c r="D3" s="3597"/>
      <c r="E3" s="3597"/>
      <c r="F3" s="3598"/>
      <c r="G3" s="3080" t="s">
        <v>3117</v>
      </c>
      <c r="H3" s="3083" t="s">
        <v>3118</v>
      </c>
      <c r="I3" s="3084">
        <f>'数据-汇总表'!E3</f>
        <v>47689.05</v>
      </c>
      <c r="K3" s="3624"/>
      <c r="L3" s="3074" t="s">
        <v>3119</v>
      </c>
      <c r="M3" s="3081" t="s">
        <v>3120</v>
      </c>
      <c r="N3" s="3082"/>
      <c r="O3" s="3082"/>
    </row>
    <row r="4" spans="1:16">
      <c r="A4" s="3599" t="s">
        <v>3121</v>
      </c>
      <c r="B4" s="3603" t="s">
        <v>3122</v>
      </c>
      <c r="C4" s="3625">
        <f ca="1">ROUND(C3*(I4-I6)/(1-((1+I6)/(1+I4))^I5),0)</f>
        <v>122856377</v>
      </c>
      <c r="D4" s="3626"/>
      <c r="E4" s="3626"/>
      <c r="F4" s="3627"/>
      <c r="G4" s="3599" t="s">
        <v>3123</v>
      </c>
      <c r="H4" s="3085" t="s">
        <v>3124</v>
      </c>
      <c r="I4" s="3086">
        <f>'数据-取费表'!J6</f>
        <v>7.4999999999999997E-2</v>
      </c>
      <c r="K4" s="3624"/>
      <c r="L4" s="3074" t="s">
        <v>1049</v>
      </c>
      <c r="M4" s="3087">
        <f>ROUND(1-(1-M1)*M2/M3,2)</f>
        <v>0.83</v>
      </c>
      <c r="N4" s="3082"/>
      <c r="O4" s="3082"/>
    </row>
    <row r="5" spans="1:16" s="3091" customFormat="1" ht="18" customHeight="1">
      <c r="A5" s="3599"/>
      <c r="B5" s="3603"/>
      <c r="C5" s="3628"/>
      <c r="D5" s="3629"/>
      <c r="E5" s="3629"/>
      <c r="F5" s="3630"/>
      <c r="G5" s="3599"/>
      <c r="H5" s="3083" t="s">
        <v>3125</v>
      </c>
      <c r="I5" s="3088">
        <f>'数据-取费表'!F6</f>
        <v>25.07</v>
      </c>
      <c r="J5" s="3089"/>
      <c r="K5" s="3624"/>
      <c r="L5" s="3074" t="s">
        <v>3126</v>
      </c>
      <c r="M5" s="3090">
        <v>0.5</v>
      </c>
      <c r="N5" s="3082"/>
      <c r="O5" s="3082"/>
    </row>
    <row r="6" spans="1:16" s="3091" customFormat="1" ht="18" customHeight="1">
      <c r="A6" s="3599"/>
      <c r="B6" s="3603"/>
      <c r="C6" s="3631"/>
      <c r="D6" s="3632"/>
      <c r="E6" s="3632"/>
      <c r="F6" s="3633"/>
      <c r="G6" s="3599"/>
      <c r="H6" s="3083" t="s">
        <v>3127</v>
      </c>
      <c r="I6" s="3086">
        <f>'数据-取费表'!V6</f>
        <v>0.03</v>
      </c>
      <c r="J6" s="3092"/>
      <c r="K6" s="3634" t="s">
        <v>3128</v>
      </c>
      <c r="L6" s="3093" t="s">
        <v>3129</v>
      </c>
      <c r="M6" s="3094" t="s">
        <v>3130</v>
      </c>
      <c r="N6" s="3094" t="s">
        <v>3131</v>
      </c>
      <c r="O6" s="3094" t="s">
        <v>3132</v>
      </c>
      <c r="P6" s="3094" t="s">
        <v>3133</v>
      </c>
    </row>
    <row r="7" spans="1:16" s="3091" customFormat="1" ht="18" customHeight="1">
      <c r="A7" s="3080" t="s">
        <v>3134</v>
      </c>
      <c r="B7" s="3083" t="s">
        <v>3135</v>
      </c>
      <c r="C7" s="3596">
        <f ca="1">ROUND(C23*I7,0)</f>
        <v>231629915</v>
      </c>
      <c r="D7" s="3597"/>
      <c r="E7" s="3597"/>
      <c r="F7" s="3598"/>
      <c r="G7" s="3080" t="s">
        <v>3136</v>
      </c>
      <c r="H7" s="3083" t="s">
        <v>3137</v>
      </c>
      <c r="I7" s="3095">
        <f>'数据-取费表'!N6</f>
        <v>0.8</v>
      </c>
      <c r="K7" s="3634"/>
      <c r="L7" s="3093" t="s">
        <v>3138</v>
      </c>
      <c r="M7" s="3094">
        <v>100</v>
      </c>
      <c r="N7" s="3094" t="s">
        <v>3139</v>
      </c>
      <c r="O7" s="3094">
        <v>90</v>
      </c>
      <c r="P7" s="3096">
        <v>0.3</v>
      </c>
    </row>
    <row r="8" spans="1:16" s="3091" customFormat="1" ht="18" customHeight="1">
      <c r="A8" s="3078" t="s">
        <v>3140</v>
      </c>
      <c r="B8" s="3083" t="s">
        <v>3141</v>
      </c>
      <c r="C8" s="3596">
        <f>ROUND(I8*I3,0)</f>
        <v>190756200</v>
      </c>
      <c r="D8" s="3597"/>
      <c r="E8" s="3597"/>
      <c r="F8" s="3598"/>
      <c r="G8" s="3080" t="s">
        <v>3142</v>
      </c>
      <c r="H8" s="3083" t="s">
        <v>3143</v>
      </c>
      <c r="I8" s="3080">
        <f>'数据-取费表'!L6</f>
        <v>4000</v>
      </c>
      <c r="J8" s="3097">
        <f>D35</f>
        <v>11.7</v>
      </c>
      <c r="K8" s="3634"/>
      <c r="L8" s="3093" t="s">
        <v>3144</v>
      </c>
      <c r="M8" s="3094">
        <v>100</v>
      </c>
      <c r="N8" s="3094" t="s">
        <v>3139</v>
      </c>
      <c r="O8" s="3094">
        <v>90</v>
      </c>
      <c r="P8" s="3096">
        <v>0.5</v>
      </c>
    </row>
    <row r="9" spans="1:16" s="3091" customFormat="1" ht="18" customHeight="1">
      <c r="A9" s="3078" t="s">
        <v>3145</v>
      </c>
      <c r="B9" s="3083" t="s">
        <v>3146</v>
      </c>
      <c r="C9" s="3596">
        <f>ROUND(C8*H9,0)</f>
        <v>5722686</v>
      </c>
      <c r="D9" s="3597"/>
      <c r="E9" s="3597"/>
      <c r="F9" s="3598"/>
      <c r="G9" s="3080" t="s">
        <v>3147</v>
      </c>
      <c r="H9" s="3620">
        <f>'数据-取费表'!B33</f>
        <v>0.03</v>
      </c>
      <c r="I9" s="3620"/>
      <c r="J9" s="3097">
        <f ca="1">D36</f>
        <v>10.82</v>
      </c>
      <c r="K9" s="3634"/>
      <c r="L9" s="3093" t="s">
        <v>3148</v>
      </c>
      <c r="M9" s="3094">
        <v>100</v>
      </c>
      <c r="N9" s="3094" t="s">
        <v>3139</v>
      </c>
      <c r="O9" s="3094">
        <v>90</v>
      </c>
      <c r="P9" s="3096">
        <f>1-P7-P8</f>
        <v>0.19999999999999996</v>
      </c>
    </row>
    <row r="10" spans="1:16" s="3091" customFormat="1" ht="18" customHeight="1">
      <c r="A10" s="3078" t="s">
        <v>3149</v>
      </c>
      <c r="B10" s="3083" t="s">
        <v>3150</v>
      </c>
      <c r="C10" s="3596">
        <f>ROUND(C8*H10,0)</f>
        <v>0</v>
      </c>
      <c r="D10" s="3597"/>
      <c r="E10" s="3597"/>
      <c r="F10" s="3598"/>
      <c r="G10" s="3080" t="s">
        <v>3147</v>
      </c>
      <c r="H10" s="3620">
        <f>'数据-取费表'!B34</f>
        <v>0</v>
      </c>
      <c r="I10" s="3620"/>
      <c r="J10" s="3097">
        <f ca="1">D37</f>
        <v>11.26</v>
      </c>
      <c r="K10" s="3634"/>
      <c r="L10" s="3098" t="s">
        <v>3126</v>
      </c>
      <c r="M10" s="3099">
        <f>1-M5</f>
        <v>0.5</v>
      </c>
      <c r="N10" s="3094" t="s">
        <v>1049</v>
      </c>
      <c r="O10" s="3100">
        <f>ROUND((O7*P7+O8*P8+O9*P9)/100,2)</f>
        <v>0.9</v>
      </c>
      <c r="P10" s="3101"/>
    </row>
    <row r="11" spans="1:16" s="3091" customFormat="1" ht="29.25" customHeight="1">
      <c r="A11" s="3078" t="s">
        <v>3151</v>
      </c>
      <c r="B11" s="3083" t="s">
        <v>3152</v>
      </c>
      <c r="C11" s="3596">
        <f>ROUND(I11*I3,0)</f>
        <v>9537810</v>
      </c>
      <c r="D11" s="3597"/>
      <c r="E11" s="3597"/>
      <c r="F11" s="3598"/>
      <c r="G11" s="3080" t="s">
        <v>3153</v>
      </c>
      <c r="H11" s="3083" t="s">
        <v>3154</v>
      </c>
      <c r="I11" s="3080">
        <f>'数据-取费表'!B35</f>
        <v>200</v>
      </c>
      <c r="J11" s="3089"/>
      <c r="K11" s="3073"/>
      <c r="L11" s="3073"/>
    </row>
    <row r="12" spans="1:16" s="3091" customFormat="1" ht="18" customHeight="1">
      <c r="A12" s="3078" t="s">
        <v>3155</v>
      </c>
      <c r="B12" s="3083" t="s">
        <v>3156</v>
      </c>
      <c r="C12" s="3596">
        <f>ROUND(C8*H12,0)</f>
        <v>2861343</v>
      </c>
      <c r="D12" s="3597"/>
      <c r="E12" s="3597"/>
      <c r="F12" s="3598"/>
      <c r="G12" s="3080" t="s">
        <v>3147</v>
      </c>
      <c r="H12" s="3620">
        <f>'数据-取费表'!B36</f>
        <v>1.4999999999999999E-2</v>
      </c>
      <c r="I12" s="3620"/>
      <c r="J12" s="3102" t="s">
        <v>3157</v>
      </c>
      <c r="L12" s="3103"/>
    </row>
    <row r="13" spans="1:16" s="3091" customFormat="1" ht="18" customHeight="1">
      <c r="A13" s="3078" t="s">
        <v>1103</v>
      </c>
      <c r="B13" s="3083" t="s">
        <v>3158</v>
      </c>
      <c r="C13" s="3596">
        <f>SUM(C8:F12)</f>
        <v>208878039</v>
      </c>
      <c r="D13" s="3597"/>
      <c r="E13" s="3597"/>
      <c r="F13" s="3598"/>
      <c r="G13" s="3599" t="s">
        <v>3159</v>
      </c>
      <c r="H13" s="3599"/>
      <c r="I13" s="3599"/>
      <c r="J13" s="3102" t="s">
        <v>3498</v>
      </c>
      <c r="L13" s="3103"/>
    </row>
    <row r="14" spans="1:16" s="3091" customFormat="1" ht="18" customHeight="1">
      <c r="A14" s="3078" t="s">
        <v>3069</v>
      </c>
      <c r="B14" s="3083" t="s">
        <v>3160</v>
      </c>
      <c r="C14" s="3596">
        <f>ROUND(C13*H14,0)</f>
        <v>4177561</v>
      </c>
      <c r="D14" s="3597"/>
      <c r="E14" s="3597"/>
      <c r="F14" s="3598"/>
      <c r="G14" s="3080" t="s">
        <v>3161</v>
      </c>
      <c r="H14" s="3620">
        <f>'数据-取费表'!B37</f>
        <v>0.02</v>
      </c>
      <c r="I14" s="3620"/>
      <c r="J14" s="3089"/>
      <c r="L14" s="3103"/>
    </row>
    <row r="15" spans="1:16" s="3091" customFormat="1" ht="18" customHeight="1">
      <c r="A15" s="3078" t="s">
        <v>998</v>
      </c>
      <c r="B15" s="3083" t="s">
        <v>3162</v>
      </c>
      <c r="C15" s="3610">
        <f>H15</f>
        <v>0.02</v>
      </c>
      <c r="D15" s="3611"/>
      <c r="E15" s="3618" t="str">
        <f>E18</f>
        <v>V</v>
      </c>
      <c r="F15" s="3619"/>
      <c r="G15" s="3080" t="s">
        <v>3163</v>
      </c>
      <c r="H15" s="3620">
        <f>'数据-取费表'!B38</f>
        <v>0.02</v>
      </c>
      <c r="I15" s="3620"/>
      <c r="J15" s="3104"/>
      <c r="K15" s="3105"/>
    </row>
    <row r="16" spans="1:16" s="3091" customFormat="1" ht="18" customHeight="1">
      <c r="A16" s="3106" t="s">
        <v>999</v>
      </c>
      <c r="B16" s="3107" t="s">
        <v>3164</v>
      </c>
      <c r="C16" s="3108">
        <f ca="1">C17</f>
        <v>11185419</v>
      </c>
      <c r="D16" s="3109" t="s">
        <v>3165</v>
      </c>
      <c r="E16" s="3110">
        <f ca="1">C18</f>
        <v>1.0499999999999999E-3</v>
      </c>
      <c r="F16" s="3111" t="str">
        <f>E18</f>
        <v>V</v>
      </c>
      <c r="G16" s="3596" t="s">
        <v>3166</v>
      </c>
      <c r="H16" s="3597"/>
      <c r="I16" s="3598"/>
      <c r="J16" s="3089"/>
      <c r="K16" s="3073"/>
    </row>
    <row r="17" spans="1:12" s="3091" customFormat="1" ht="18" customHeight="1">
      <c r="A17" s="3078" t="s">
        <v>3167</v>
      </c>
      <c r="B17" s="3083" t="s">
        <v>3168</v>
      </c>
      <c r="C17" s="3596">
        <f ca="1">ROUND((C13+C14)*I18*(I17/2),0)</f>
        <v>11185419</v>
      </c>
      <c r="D17" s="3597"/>
      <c r="E17" s="3597"/>
      <c r="F17" s="3598"/>
      <c r="G17" s="3108" t="s">
        <v>3169</v>
      </c>
      <c r="H17" s="3083" t="s">
        <v>3170</v>
      </c>
      <c r="I17" s="3080">
        <f>'数据-取费表'!B20</f>
        <v>2</v>
      </c>
      <c r="J17" s="3102" t="s">
        <v>3171</v>
      </c>
      <c r="K17" s="3073"/>
      <c r="L17" s="3073"/>
    </row>
    <row r="18" spans="1:12" s="3091" customFormat="1" ht="18" customHeight="1">
      <c r="A18" s="3078" t="s">
        <v>3172</v>
      </c>
      <c r="B18" s="3083" t="s">
        <v>3173</v>
      </c>
      <c r="C18" s="3621">
        <f ca="1">H15*I18*I17/2</f>
        <v>1.0499999999999999E-3</v>
      </c>
      <c r="D18" s="3622"/>
      <c r="E18" s="3618" t="s">
        <v>3174</v>
      </c>
      <c r="F18" s="3619"/>
      <c r="G18" s="3108" t="s">
        <v>3175</v>
      </c>
      <c r="H18" s="3083" t="s">
        <v>3176</v>
      </c>
      <c r="I18" s="3112">
        <f ca="1">'数据-取费表'!B40</f>
        <v>5.2499999999999998E-2</v>
      </c>
      <c r="J18" s="3102" t="s">
        <v>3177</v>
      </c>
      <c r="K18" s="3073"/>
      <c r="L18" s="3073"/>
    </row>
    <row r="19" spans="1:12" s="3091" customFormat="1" ht="27" customHeight="1">
      <c r="A19" s="3078" t="s">
        <v>1000</v>
      </c>
      <c r="B19" s="3083" t="s">
        <v>3178</v>
      </c>
      <c r="C19" s="3108">
        <f>C20</f>
        <v>42611120</v>
      </c>
      <c r="D19" s="3109" t="s">
        <v>3165</v>
      </c>
      <c r="E19" s="3109">
        <f>C21</f>
        <v>4.0000000000000001E-3</v>
      </c>
      <c r="F19" s="3111" t="str">
        <f>E21</f>
        <v>V</v>
      </c>
      <c r="G19" s="3596" t="s">
        <v>3179</v>
      </c>
      <c r="H19" s="3597"/>
      <c r="I19" s="3598"/>
      <c r="J19" s="3089"/>
      <c r="K19" s="3073"/>
      <c r="L19" s="3073"/>
    </row>
    <row r="20" spans="1:12" s="3091" customFormat="1" ht="26.25" customHeight="1">
      <c r="A20" s="3078" t="s">
        <v>3180</v>
      </c>
      <c r="B20" s="3083" t="s">
        <v>3181</v>
      </c>
      <c r="C20" s="3596">
        <f>ROUND((C13+C14)*I20,0)</f>
        <v>42611120</v>
      </c>
      <c r="D20" s="3597"/>
      <c r="E20" s="3597"/>
      <c r="F20" s="3598"/>
      <c r="G20" s="3080" t="s">
        <v>3182</v>
      </c>
      <c r="H20" s="3615" t="s">
        <v>3183</v>
      </c>
      <c r="I20" s="3617">
        <f>'数据-取费表'!Q6</f>
        <v>0.2</v>
      </c>
      <c r="J20" s="3102" t="s">
        <v>3184</v>
      </c>
      <c r="K20" s="3073"/>
      <c r="L20" s="3073"/>
    </row>
    <row r="21" spans="1:12" s="3091" customFormat="1" ht="27" customHeight="1">
      <c r="A21" s="3078" t="s">
        <v>3180</v>
      </c>
      <c r="B21" s="3083" t="s">
        <v>3185</v>
      </c>
      <c r="C21" s="3610">
        <f>H15*I20</f>
        <v>4.0000000000000001E-3</v>
      </c>
      <c r="D21" s="3611"/>
      <c r="E21" s="3618" t="s">
        <v>3174</v>
      </c>
      <c r="F21" s="3619"/>
      <c r="G21" s="3080" t="s">
        <v>3186</v>
      </c>
      <c r="H21" s="3616"/>
      <c r="I21" s="3617"/>
      <c r="J21" s="3089"/>
      <c r="K21" s="3073"/>
      <c r="L21" s="3073"/>
    </row>
    <row r="22" spans="1:12" s="3091" customFormat="1" ht="18" customHeight="1">
      <c r="A22" s="3078" t="s">
        <v>1001</v>
      </c>
      <c r="B22" s="3083" t="s">
        <v>3187</v>
      </c>
      <c r="C22" s="3610">
        <f>ROUND(H22/1.05,4)</f>
        <v>5.33E-2</v>
      </c>
      <c r="D22" s="3611"/>
      <c r="E22" s="3618" t="s">
        <v>3174</v>
      </c>
      <c r="F22" s="3619"/>
      <c r="G22" s="3080" t="s">
        <v>3188</v>
      </c>
      <c r="H22" s="3620">
        <v>5.6000000000000001E-2</v>
      </c>
      <c r="I22" s="3620"/>
      <c r="J22" s="3113"/>
      <c r="K22" s="3073"/>
      <c r="L22" s="3073"/>
    </row>
    <row r="23" spans="1:12" s="3091" customFormat="1" ht="18" customHeight="1">
      <c r="A23" s="3078" t="s">
        <v>3080</v>
      </c>
      <c r="B23" s="3083" t="s">
        <v>3189</v>
      </c>
      <c r="C23" s="3596">
        <f ca="1">ROUND((C13+C14+C17+C20)/(1-H15-C18-C21-C22),0)</f>
        <v>289537394</v>
      </c>
      <c r="D23" s="3597"/>
      <c r="E23" s="3597"/>
      <c r="F23" s="3598"/>
      <c r="G23" s="3596" t="s">
        <v>3190</v>
      </c>
      <c r="H23" s="3597"/>
      <c r="I23" s="3598"/>
      <c r="J23" s="3113"/>
      <c r="K23" s="3073"/>
      <c r="L23" s="3073"/>
    </row>
    <row r="24" spans="1:12" s="3091" customFormat="1" ht="18" customHeight="1">
      <c r="A24" s="3078" t="s">
        <v>3191</v>
      </c>
      <c r="B24" s="3083" t="s">
        <v>3192</v>
      </c>
      <c r="C24" s="3114">
        <f ca="1">C26+C27</f>
        <v>6254008</v>
      </c>
      <c r="D24" s="3115" t="s">
        <v>3193</v>
      </c>
      <c r="E24" s="3612">
        <f>H25+H28</f>
        <v>0.1933</v>
      </c>
      <c r="F24" s="3613"/>
      <c r="G24" s="3599" t="s">
        <v>3194</v>
      </c>
      <c r="H24" s="3599"/>
      <c r="I24" s="3599"/>
      <c r="J24" s="3113"/>
      <c r="K24" s="3073"/>
      <c r="L24" s="3073"/>
    </row>
    <row r="25" spans="1:12" s="3091" customFormat="1" ht="18" customHeight="1">
      <c r="A25" s="3078" t="s">
        <v>1103</v>
      </c>
      <c r="B25" s="3083" t="s">
        <v>3195</v>
      </c>
      <c r="C25" s="3610" t="s">
        <v>3196</v>
      </c>
      <c r="D25" s="3611"/>
      <c r="E25" s="3612">
        <f>H25</f>
        <v>0.17330000000000001</v>
      </c>
      <c r="F25" s="3613"/>
      <c r="G25" s="3080" t="s">
        <v>3197</v>
      </c>
      <c r="H25" s="3595">
        <f>ROUND(5.6%/1.05+12%,4)</f>
        <v>0.17330000000000001</v>
      </c>
      <c r="I25" s="3595"/>
      <c r="J25" s="3104"/>
      <c r="K25" s="3073"/>
      <c r="L25" s="3073"/>
    </row>
    <row r="26" spans="1:12" s="3091" customFormat="1" ht="18" customHeight="1">
      <c r="A26" s="3078" t="s">
        <v>3069</v>
      </c>
      <c r="B26" s="3083" t="s">
        <v>1100</v>
      </c>
      <c r="C26" s="3596">
        <f ca="1">ROUND(C23*H26,0)</f>
        <v>5790748</v>
      </c>
      <c r="D26" s="3597"/>
      <c r="E26" s="3597"/>
      <c r="F26" s="3598"/>
      <c r="G26" s="3080" t="s">
        <v>3198</v>
      </c>
      <c r="H26" s="3595">
        <v>0.02</v>
      </c>
      <c r="I26" s="3595"/>
      <c r="J26" s="3104"/>
      <c r="K26" s="3073"/>
      <c r="L26" s="3073"/>
    </row>
    <row r="27" spans="1:12" s="3091" customFormat="1" ht="18" customHeight="1">
      <c r="A27" s="3078" t="s">
        <v>998</v>
      </c>
      <c r="B27" s="3083" t="s">
        <v>3199</v>
      </c>
      <c r="C27" s="3596">
        <f ca="1">ROUND(C7*H27,0)</f>
        <v>463260</v>
      </c>
      <c r="D27" s="3597"/>
      <c r="E27" s="3597"/>
      <c r="F27" s="3598"/>
      <c r="G27" s="3080" t="s">
        <v>3200</v>
      </c>
      <c r="H27" s="3614">
        <v>2E-3</v>
      </c>
      <c r="I27" s="3614"/>
      <c r="J27" s="3089"/>
      <c r="K27" s="3073"/>
      <c r="L27" s="3073"/>
    </row>
    <row r="28" spans="1:12" s="3091" customFormat="1" ht="18" customHeight="1">
      <c r="A28" s="3078" t="s">
        <v>999</v>
      </c>
      <c r="B28" s="3083" t="s">
        <v>3201</v>
      </c>
      <c r="C28" s="3610" t="s">
        <v>3196</v>
      </c>
      <c r="D28" s="3611"/>
      <c r="E28" s="3612">
        <f>H28</f>
        <v>0.02</v>
      </c>
      <c r="F28" s="3613"/>
      <c r="G28" s="3080" t="s">
        <v>3202</v>
      </c>
      <c r="H28" s="3595">
        <v>0.02</v>
      </c>
      <c r="I28" s="3595"/>
      <c r="J28" s="3116"/>
      <c r="K28" s="3073"/>
      <c r="L28" s="3073"/>
    </row>
    <row r="29" spans="1:12" s="3091" customFormat="1" ht="18" customHeight="1">
      <c r="A29" s="3080" t="s">
        <v>3203</v>
      </c>
      <c r="B29" s="3083" t="s">
        <v>3204</v>
      </c>
      <c r="C29" s="3596">
        <f ca="1">ROUND((C4+C24)/(1-E24),0)</f>
        <v>160047583</v>
      </c>
      <c r="D29" s="3597"/>
      <c r="E29" s="3597"/>
      <c r="F29" s="3598"/>
      <c r="G29" s="3599" t="s">
        <v>3205</v>
      </c>
      <c r="H29" s="3599"/>
      <c r="I29" s="3599"/>
      <c r="J29" s="3117" t="s">
        <v>3206</v>
      </c>
      <c r="K29" s="3073"/>
      <c r="L29" s="3073"/>
    </row>
    <row r="30" spans="1:12" s="3091" customFormat="1" ht="21" customHeight="1">
      <c r="A30" s="3599" t="s">
        <v>3207</v>
      </c>
      <c r="B30" s="3603" t="s">
        <v>3208</v>
      </c>
      <c r="C30" s="3604">
        <f ca="1">ROUND(C29/I30/I31/I3,2)</f>
        <v>10.82</v>
      </c>
      <c r="D30" s="3605"/>
      <c r="E30" s="3605"/>
      <c r="F30" s="3606"/>
      <c r="G30" s="3599" t="s">
        <v>3209</v>
      </c>
      <c r="H30" s="3083" t="s">
        <v>3210</v>
      </c>
      <c r="I30" s="3080">
        <v>365</v>
      </c>
      <c r="J30" s="3118"/>
      <c r="K30" s="3073"/>
      <c r="L30" s="3073"/>
    </row>
    <row r="31" spans="1:12" s="3091" customFormat="1" ht="18" customHeight="1">
      <c r="A31" s="3599"/>
      <c r="B31" s="3603"/>
      <c r="C31" s="3607"/>
      <c r="D31" s="3608"/>
      <c r="E31" s="3608"/>
      <c r="F31" s="3609"/>
      <c r="G31" s="3599"/>
      <c r="H31" s="3083" t="s">
        <v>3211</v>
      </c>
      <c r="I31" s="3119">
        <v>0.85</v>
      </c>
      <c r="J31" s="3120"/>
      <c r="K31" s="3073"/>
      <c r="L31" s="3073"/>
    </row>
    <row r="32" spans="1:12" s="3091" customFormat="1" ht="18" customHeight="1">
      <c r="A32" s="3077"/>
      <c r="B32" s="3121"/>
      <c r="C32" s="3077"/>
      <c r="D32" s="3077"/>
      <c r="E32" s="3077"/>
      <c r="F32" s="3077"/>
      <c r="G32" s="3122"/>
      <c r="H32" s="3077"/>
      <c r="I32" s="3077"/>
      <c r="J32" s="3089"/>
      <c r="K32" s="3073"/>
      <c r="L32" s="3073"/>
    </row>
    <row r="33" spans="1:13" s="3091" customFormat="1" ht="18" customHeight="1">
      <c r="A33" s="3077"/>
      <c r="B33" s="3601" t="s">
        <v>3212</v>
      </c>
      <c r="C33" s="3601"/>
      <c r="D33" s="3601"/>
      <c r="E33" s="3601"/>
      <c r="F33" s="3601"/>
      <c r="G33" s="3123"/>
      <c r="H33" s="3124"/>
      <c r="I33" s="3077"/>
      <c r="J33" s="3089"/>
      <c r="K33" s="3073"/>
      <c r="L33" s="3073"/>
      <c r="M33" s="3077"/>
    </row>
    <row r="34" spans="1:13" s="3091" customFormat="1" ht="18" customHeight="1">
      <c r="A34" s="3077"/>
      <c r="B34" s="3125" t="s">
        <v>3213</v>
      </c>
      <c r="C34" s="3125" t="s">
        <v>3133</v>
      </c>
      <c r="D34" s="3602" t="s">
        <v>3214</v>
      </c>
      <c r="E34" s="3602"/>
      <c r="F34" s="3602"/>
      <c r="G34" s="3123"/>
      <c r="H34" s="3124"/>
      <c r="I34" s="3077"/>
      <c r="J34" s="3113"/>
      <c r="K34" s="3077"/>
      <c r="L34" s="3077"/>
      <c r="M34" s="3077"/>
    </row>
    <row r="35" spans="1:13">
      <c r="B35" s="3125" t="s">
        <v>3215</v>
      </c>
      <c r="C35" s="3126">
        <v>0.5</v>
      </c>
      <c r="D35" s="3600">
        <f>'[1]比较法-商业'!C49</f>
        <v>11.7</v>
      </c>
      <c r="E35" s="3600"/>
      <c r="F35" s="3600"/>
      <c r="G35" s="3123">
        <f ca="1">(D35-D36)/D36</f>
        <v>8.1330868761552585E-2</v>
      </c>
      <c r="H35" s="3124"/>
      <c r="K35" s="3077"/>
      <c r="L35" s="3077"/>
    </row>
    <row r="36" spans="1:13" ht="20.100000000000001" customHeight="1">
      <c r="B36" s="3125" t="s">
        <v>3216</v>
      </c>
      <c r="C36" s="3126">
        <f>1-C35</f>
        <v>0.5</v>
      </c>
      <c r="D36" s="3600">
        <f ca="1">C30</f>
        <v>10.82</v>
      </c>
      <c r="E36" s="3600"/>
      <c r="F36" s="3600"/>
      <c r="G36" s="3123"/>
      <c r="H36" s="3124"/>
      <c r="J36" s="3077"/>
      <c r="K36" s="3077"/>
      <c r="L36" s="3077"/>
    </row>
    <row r="37" spans="1:13" ht="22.5" customHeight="1">
      <c r="B37" s="3602" t="s">
        <v>3217</v>
      </c>
      <c r="C37" s="3602"/>
      <c r="D37" s="3600">
        <f ca="1">ROUND(C35*D35+C36*D36,2)</f>
        <v>11.26</v>
      </c>
      <c r="E37" s="3600"/>
      <c r="F37" s="3600"/>
      <c r="G37" s="3123">
        <f ca="1">ROUND(D37*I3/10000,2)</f>
        <v>53.7</v>
      </c>
      <c r="H37" s="3124"/>
      <c r="J37" s="3077"/>
      <c r="K37" s="3077"/>
      <c r="L37" s="3077"/>
    </row>
    <row r="38" spans="1:13" ht="22.5" customHeight="1">
      <c r="B38" s="3125" t="s">
        <v>3218</v>
      </c>
      <c r="C38" s="3125">
        <f ca="1">ROUND(D37*0.9,2)</f>
        <v>10.130000000000001</v>
      </c>
      <c r="D38" s="3127" t="s">
        <v>3219</v>
      </c>
      <c r="E38" s="3600">
        <f ca="1">ROUND(D37*1.1,2)</f>
        <v>12.39</v>
      </c>
      <c r="F38" s="3600"/>
      <c r="G38" s="3123" t="s">
        <v>3220</v>
      </c>
      <c r="H38" s="3128">
        <v>12</v>
      </c>
      <c r="J38" s="3077"/>
      <c r="K38" s="3077"/>
      <c r="L38" s="3077"/>
    </row>
    <row r="39" spans="1:13" ht="18" customHeight="1">
      <c r="B39" s="3125" t="s">
        <v>3221</v>
      </c>
      <c r="C39" s="3125">
        <f ca="1">ROUND(C38+H39,2)</f>
        <v>10.18</v>
      </c>
      <c r="D39" s="3127" t="s">
        <v>3219</v>
      </c>
      <c r="E39" s="3600">
        <f ca="1">ROUND(E38+H39,2)</f>
        <v>12.44</v>
      </c>
      <c r="F39" s="3600"/>
      <c r="G39" s="3129" t="s">
        <v>3222</v>
      </c>
      <c r="H39" s="3129">
        <v>0.05</v>
      </c>
      <c r="J39" s="3077"/>
      <c r="K39" s="3077"/>
      <c r="L39" s="3077"/>
    </row>
    <row r="40" spans="1:13" ht="18" customHeight="1">
      <c r="B40" s="3130"/>
      <c r="C40" s="3131"/>
      <c r="D40" s="3124"/>
      <c r="E40" s="3124"/>
      <c r="F40" s="3124"/>
      <c r="G40" s="3123"/>
      <c r="H40" s="3124"/>
      <c r="J40" s="3077"/>
    </row>
    <row r="41" spans="1:13" ht="18" customHeight="1">
      <c r="B41" s="3123" t="s">
        <v>3223</v>
      </c>
      <c r="C41" s="3124"/>
      <c r="D41" s="3124"/>
      <c r="E41" s="3123" t="s">
        <v>3224</v>
      </c>
      <c r="F41" s="3124"/>
      <c r="G41" s="3123"/>
      <c r="H41" s="3123" t="s">
        <v>3225</v>
      </c>
      <c r="J41" s="3077"/>
    </row>
    <row r="42" spans="1:13" ht="29.25" customHeight="1"/>
    <row r="45" spans="1:13">
      <c r="H45" s="3132"/>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D94" sqref="D9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669" t="str">
        <f>项目基本情况!S2</f>
        <v>北京市房地产</v>
      </c>
      <c r="B2" s="3670"/>
      <c r="C2" s="3670"/>
      <c r="D2" s="3670"/>
      <c r="E2" s="3670"/>
      <c r="F2" s="3670"/>
      <c r="G2" s="3670"/>
      <c r="H2" s="3670"/>
      <c r="I2" s="3671"/>
    </row>
    <row r="3" spans="1:12" ht="12.75">
      <c r="A3" s="3673" t="s">
        <v>1950</v>
      </c>
      <c r="B3" s="3674"/>
      <c r="C3" s="3674"/>
      <c r="D3" s="3674"/>
      <c r="E3" s="3674"/>
      <c r="F3" s="3674"/>
      <c r="G3" s="3674"/>
      <c r="H3" s="3674"/>
      <c r="I3" s="3674"/>
    </row>
    <row r="4" spans="1:12" ht="14.25">
      <c r="A4" s="1940" t="s">
        <v>1951</v>
      </c>
      <c r="B4" s="1941" t="s">
        <v>1952</v>
      </c>
      <c r="C4" s="1942" t="s">
        <v>3226</v>
      </c>
      <c r="D4" s="1942" t="s">
        <v>3226</v>
      </c>
      <c r="E4" s="3675" t="s">
        <v>1953</v>
      </c>
      <c r="F4" s="3676"/>
      <c r="G4" s="3676"/>
      <c r="H4" s="3676"/>
      <c r="I4" s="367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649" t="s">
        <v>1954</v>
      </c>
      <c r="B5" s="3636">
        <v>25</v>
      </c>
      <c r="C5" s="3652"/>
      <c r="D5" s="3672"/>
      <c r="E5" s="136" t="s">
        <v>1955</v>
      </c>
      <c r="F5" s="1943"/>
      <c r="G5" s="1943"/>
      <c r="H5" s="1943"/>
      <c r="I5" s="1557"/>
    </row>
    <row r="6" spans="1:12" ht="12.75">
      <c r="A6" s="3649"/>
      <c r="B6" s="3636"/>
      <c r="C6" s="3653"/>
      <c r="D6" s="3672"/>
      <c r="E6" s="136" t="s">
        <v>1956</v>
      </c>
      <c r="F6" s="1943"/>
      <c r="G6" s="1943"/>
      <c r="H6" s="1943"/>
      <c r="I6" s="1557"/>
    </row>
    <row r="7" spans="1:12" ht="12.75">
      <c r="A7" s="3649"/>
      <c r="B7" s="3636"/>
      <c r="C7" s="3654"/>
      <c r="D7" s="3672"/>
      <c r="E7" s="136" t="s">
        <v>1957</v>
      </c>
      <c r="F7" s="1943"/>
      <c r="G7" s="1943"/>
      <c r="H7" s="1943"/>
      <c r="I7" s="1557"/>
    </row>
    <row r="8" spans="1:12" ht="12.75">
      <c r="A8" s="3649" t="s">
        <v>1958</v>
      </c>
      <c r="B8" s="3636">
        <v>15</v>
      </c>
      <c r="C8" s="3652"/>
      <c r="D8" s="3672"/>
      <c r="E8" s="136" t="s">
        <v>1959</v>
      </c>
      <c r="F8" s="1943"/>
      <c r="G8" s="1943"/>
      <c r="H8" s="1943"/>
      <c r="I8" s="1557"/>
    </row>
    <row r="9" spans="1:12" ht="12.75">
      <c r="A9" s="3649"/>
      <c r="B9" s="3636"/>
      <c r="C9" s="3654"/>
      <c r="D9" s="3672"/>
      <c r="E9" s="136" t="s">
        <v>1960</v>
      </c>
      <c r="F9" s="1943"/>
      <c r="G9" s="1943"/>
      <c r="H9" s="1943"/>
      <c r="I9" s="1557"/>
    </row>
    <row r="10" spans="1:12" ht="12.75">
      <c r="A10" s="3649" t="s">
        <v>1961</v>
      </c>
      <c r="B10" s="3636">
        <v>15</v>
      </c>
      <c r="C10" s="3652"/>
      <c r="D10" s="3672"/>
      <c r="E10" s="136" t="s">
        <v>1962</v>
      </c>
      <c r="F10" s="1943"/>
      <c r="G10" s="1943"/>
      <c r="H10" s="1943"/>
      <c r="I10" s="1557"/>
    </row>
    <row r="11" spans="1:12" ht="12.75">
      <c r="A11" s="3649"/>
      <c r="B11" s="3636"/>
      <c r="C11" s="3654"/>
      <c r="D11" s="3672"/>
      <c r="E11" s="136" t="s">
        <v>1963</v>
      </c>
      <c r="F11" s="1943"/>
      <c r="G11" s="1943"/>
      <c r="H11" s="1943"/>
      <c r="I11" s="1557"/>
    </row>
    <row r="12" spans="1:12" ht="12.75">
      <c r="A12" s="3649" t="s">
        <v>1964</v>
      </c>
      <c r="B12" s="3636">
        <v>15</v>
      </c>
      <c r="C12" s="3652"/>
      <c r="D12" s="3672"/>
      <c r="E12" s="136" t="s">
        <v>1965</v>
      </c>
      <c r="F12" s="1943"/>
      <c r="G12" s="1943"/>
      <c r="H12" s="1943"/>
      <c r="I12" s="1557"/>
    </row>
    <row r="13" spans="1:12" ht="12.75">
      <c r="A13" s="3649"/>
      <c r="B13" s="3636"/>
      <c r="C13" s="3654"/>
      <c r="D13" s="3672"/>
      <c r="E13" s="136" t="s">
        <v>1966</v>
      </c>
      <c r="F13" s="1943"/>
      <c r="G13" s="1943"/>
      <c r="H13" s="1943"/>
      <c r="I13" s="1557"/>
    </row>
    <row r="14" spans="1:12" ht="12.75">
      <c r="A14" s="3649" t="s">
        <v>1967</v>
      </c>
      <c r="B14" s="3636">
        <v>30</v>
      </c>
      <c r="C14" s="3652">
        <v>1</v>
      </c>
      <c r="D14" s="3672">
        <v>1</v>
      </c>
      <c r="E14" s="136" t="s">
        <v>1968</v>
      </c>
      <c r="F14" s="1943"/>
      <c r="G14" s="1943"/>
      <c r="H14" s="1943"/>
      <c r="I14" s="1557"/>
    </row>
    <row r="15" spans="1:12" ht="12.75">
      <c r="A15" s="3649"/>
      <c r="B15" s="3636"/>
      <c r="C15" s="3653"/>
      <c r="D15" s="3672"/>
      <c r="E15" s="136" t="s">
        <v>1969</v>
      </c>
      <c r="F15" s="1943"/>
      <c r="G15" s="1943"/>
      <c r="H15" s="1943"/>
      <c r="I15" s="1557"/>
    </row>
    <row r="16" spans="1:12" ht="12.75">
      <c r="A16" s="3649"/>
      <c r="B16" s="3636"/>
      <c r="C16" s="3654"/>
      <c r="D16" s="3672"/>
      <c r="E16" s="136" t="s">
        <v>1970</v>
      </c>
      <c r="F16" s="1943"/>
      <c r="G16" s="1943"/>
      <c r="H16" s="1943"/>
      <c r="I16" s="1557"/>
    </row>
    <row r="17" spans="1:36" ht="15">
      <c r="A17" s="1944" t="s">
        <v>1971</v>
      </c>
      <c r="B17" s="60"/>
      <c r="C17" s="137">
        <f>SUM(C5:C16)</f>
        <v>1</v>
      </c>
      <c r="D17" s="137">
        <f>SUM(D5:D16)</f>
        <v>1</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659" t="s">
        <v>2870</v>
      </c>
      <c r="F18" s="3660"/>
      <c r="G18" s="3660"/>
      <c r="H18" s="3660"/>
      <c r="I18" s="3660"/>
      <c r="K18" s="308" t="s">
        <v>1975</v>
      </c>
      <c r="L18" s="308">
        <f>IF(C1="",'数据-汇总表'!E3,SUMIF(项目类型,C1,'数据-汇总表'!E17:E26)+SUMIF(项目类型,C1,'数据-汇总表'!I17:I26))</f>
        <v>47689.05</v>
      </c>
      <c r="M18" s="308">
        <f>IF(C1="",'数据-汇总表'!E3,SUMIF(项目类型,C1,'数据-汇总表'!E17:E26))</f>
        <v>47689.05</v>
      </c>
    </row>
    <row r="19" spans="1:36" ht="15">
      <c r="A19" s="1947" t="s">
        <v>1976</v>
      </c>
      <c r="B19" s="1948" t="s">
        <v>1977</v>
      </c>
      <c r="C19" s="139">
        <f ca="1">SUMIF(INDIRECT("'"&amp;C4&amp;"'"&amp;"!A:A"),结果表!B19,INDIRECT("'"&amp;C4&amp;"'"&amp;"!B:B"))</f>
        <v>179557</v>
      </c>
      <c r="D19" s="140">
        <f ca="1">SUMIF(INDIRECT("'"&amp;D4&amp;"'"&amp;"!A:A"),结果表!B19,INDIRECT("'"&amp;D4&amp;"'"&amp;"!B:B"))</f>
        <v>179557</v>
      </c>
      <c r="E19" s="1947" t="s">
        <v>1978</v>
      </c>
      <c r="F19" s="1948" t="s">
        <v>1977</v>
      </c>
      <c r="G19" s="141">
        <f ca="1">ROUND(C19*$C$18+D19*$D$18,0)</f>
        <v>179557</v>
      </c>
      <c r="H19" s="1949" t="s">
        <v>1979</v>
      </c>
      <c r="I19" s="134"/>
      <c r="K19" s="308" t="s">
        <v>1980</v>
      </c>
      <c r="L19" s="308">
        <f>IF(C1="",'数据-汇总表'!D3,SUMIF(项目类型,C1,'数据-汇总表'!D17:D26)+SUMIF(项目类型,C1,'数据-汇总表'!H17:H27))</f>
        <v>5933.24</v>
      </c>
      <c r="M19" s="308">
        <f>IF(C1="",'数据-汇总表'!D3,SUMIF(项目类型,C1,'数据-汇总表'!D17:D26))</f>
        <v>5933.24</v>
      </c>
    </row>
    <row r="20" spans="1:36" ht="15">
      <c r="A20" s="1950"/>
      <c r="B20" s="1157" t="s">
        <v>1981</v>
      </c>
      <c r="C20" s="142">
        <f ca="1">SUMIF(INDIRECT("'"&amp;C4&amp;"'"&amp;"!A:A"),结果表!B20,INDIRECT("'"&amp;C4&amp;"'"&amp;"!B:B"))</f>
        <v>37652</v>
      </c>
      <c r="D20" s="143">
        <f ca="1">SUMIF(INDIRECT("'"&amp;D4&amp;"'"&amp;"!A:A"),结果表!B20,INDIRECT("'"&amp;D4&amp;"'"&amp;"!B:B"))</f>
        <v>37652</v>
      </c>
      <c r="E20" s="1950"/>
      <c r="F20" s="1157" t="s">
        <v>1981</v>
      </c>
      <c r="G20" s="144">
        <f ca="1">ROUND(C20*$C$18+D20*$D$18,0)</f>
        <v>37652</v>
      </c>
      <c r="H20" s="917" t="s">
        <v>1982</v>
      </c>
      <c r="I20" s="134"/>
    </row>
    <row r="21" spans="1:36" ht="15" customHeight="1" thickBot="1">
      <c r="A21" s="937"/>
      <c r="B21" s="1951" t="s">
        <v>1983</v>
      </c>
      <c r="C21" s="728">
        <f ca="1">ROUND(C19*10000/L19,0)</f>
        <v>302629</v>
      </c>
      <c r="D21" s="729">
        <f ca="1">ROUND(D19*10000/L19,0)</f>
        <v>302629</v>
      </c>
      <c r="E21" s="937"/>
      <c r="F21" s="1951" t="s">
        <v>1983</v>
      </c>
      <c r="G21" s="145">
        <f ca="1">ROUND(G19*10000/L19,0)</f>
        <v>302629</v>
      </c>
      <c r="H21" s="1952" t="s">
        <v>1982</v>
      </c>
      <c r="I21" s="134"/>
    </row>
    <row r="22" spans="1:36" ht="15" thickBot="1">
      <c r="A22" s="1874" t="s">
        <v>1984</v>
      </c>
      <c r="B22" s="1953"/>
      <c r="C22" s="1954"/>
      <c r="D22" s="730">
        <f ca="1">IF(C19&lt;D19,D19/C19-1,C19/D19-1)</f>
        <v>0</v>
      </c>
      <c r="E22" s="134"/>
      <c r="F22" s="134"/>
      <c r="G22" s="134"/>
      <c r="H22" s="134"/>
      <c r="I22" s="134"/>
    </row>
    <row r="23" spans="1:36" ht="13.5" thickBot="1">
      <c r="A23" s="1933"/>
      <c r="B23" s="1933"/>
      <c r="C23" s="1933"/>
      <c r="D23" s="1933"/>
      <c r="E23" s="134"/>
      <c r="F23" s="134"/>
      <c r="G23" s="134"/>
      <c r="H23" s="134"/>
      <c r="I23" s="134"/>
    </row>
    <row r="24" spans="1:36" ht="14.25">
      <c r="A24" s="3643" t="s">
        <v>1985</v>
      </c>
      <c r="B24" s="1948" t="s">
        <v>1977</v>
      </c>
      <c r="C24" s="141">
        <f>IF(B30=0,0,D30)</f>
        <v>0</v>
      </c>
      <c r="D24" s="1955"/>
      <c r="E24" s="134"/>
      <c r="F24" s="134"/>
      <c r="G24" s="134"/>
      <c r="H24" s="134"/>
      <c r="I24" s="134"/>
    </row>
    <row r="25" spans="1:36" ht="14.25">
      <c r="A25" s="364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37652</v>
      </c>
      <c r="D32" s="1961" t="s">
        <v>3504</v>
      </c>
      <c r="E32" s="134"/>
      <c r="F32" s="134"/>
      <c r="G32" s="134"/>
      <c r="H32" s="134"/>
      <c r="I32" s="134"/>
    </row>
    <row r="33" spans="1:15" ht="15">
      <c r="A33" s="894" t="s">
        <v>1992</v>
      </c>
      <c r="B33" s="1962"/>
      <c r="C33" s="1963" t="s">
        <v>3505</v>
      </c>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663" t="s">
        <v>1998</v>
      </c>
      <c r="B36" s="1973" t="s">
        <v>1999</v>
      </c>
      <c r="C36" s="150"/>
      <c r="D36" s="1974"/>
      <c r="E36" s="1975"/>
      <c r="F36" s="1976"/>
      <c r="G36" s="134"/>
      <c r="H36" s="134"/>
      <c r="I36" s="134"/>
    </row>
    <row r="37" spans="1:15" ht="15.75" thickBot="1">
      <c r="A37" s="3664"/>
      <c r="B37" s="1860" t="s">
        <v>2000</v>
      </c>
      <c r="C37" s="152"/>
      <c r="D37" s="1301"/>
      <c r="E37" s="1301"/>
      <c r="F37" s="1976"/>
      <c r="G37" s="134"/>
      <c r="H37" s="134"/>
      <c r="I37" s="134"/>
    </row>
    <row r="38" spans="1:15" ht="15.75" thickBot="1">
      <c r="A38" s="3665"/>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640" t="s">
        <v>2012</v>
      </c>
      <c r="B45" s="3641"/>
      <c r="C45" s="3642"/>
      <c r="D45" s="160">
        <f ca="1">ROUND(H101*F45,0)</f>
        <v>179559</v>
      </c>
      <c r="E45" s="161" t="s">
        <v>2013</v>
      </c>
      <c r="F45" s="162">
        <v>1</v>
      </c>
      <c r="G45" s="163" t="s">
        <v>2014</v>
      </c>
      <c r="H45" s="134"/>
      <c r="I45" s="134"/>
      <c r="J45" s="3721" t="s">
        <v>2015</v>
      </c>
      <c r="K45" s="3721"/>
      <c r="L45" s="3721"/>
      <c r="M45" s="3721"/>
      <c r="N45" s="3721"/>
      <c r="O45" s="3721"/>
    </row>
    <row r="46" spans="1:15" ht="14.25" customHeight="1">
      <c r="A46" s="3637" t="s">
        <v>2016</v>
      </c>
      <c r="B46" s="3638"/>
      <c r="C46" s="3638"/>
      <c r="D46" s="3638"/>
      <c r="E46" s="3638"/>
      <c r="F46" s="3638"/>
      <c r="G46" s="3639"/>
      <c r="H46" s="1992"/>
      <c r="I46" s="164"/>
      <c r="J46" s="2747">
        <v>1</v>
      </c>
      <c r="K46" s="3702" t="s">
        <v>2017</v>
      </c>
      <c r="L46" s="3702"/>
      <c r="M46" s="3722"/>
      <c r="N46" s="3722"/>
      <c r="O46" s="3722"/>
    </row>
    <row r="47" spans="1:15" ht="12" customHeight="1">
      <c r="A47" s="165" t="s">
        <v>2018</v>
      </c>
      <c r="B47" s="166"/>
      <c r="C47" s="167"/>
      <c r="D47" s="1247" t="s">
        <v>2019</v>
      </c>
      <c r="E47" s="308" t="s">
        <v>2020</v>
      </c>
      <c r="F47" s="168" t="s">
        <v>2021</v>
      </c>
      <c r="G47" s="2770" t="s">
        <v>2022</v>
      </c>
      <c r="H47" s="2771"/>
      <c r="I47" s="164"/>
      <c r="J47" s="2747">
        <v>2</v>
      </c>
      <c r="K47" s="3702" t="s">
        <v>2023</v>
      </c>
      <c r="L47" s="3702"/>
      <c r="M47" s="3723">
        <f>'数据-取费表'!B2</f>
        <v>42914</v>
      </c>
      <c r="N47" s="3723"/>
      <c r="O47" s="3723"/>
    </row>
    <row r="48" spans="1:15" ht="25.5">
      <c r="A48" s="3668" t="s">
        <v>2024</v>
      </c>
      <c r="B48" s="3651"/>
      <c r="C48" s="3651"/>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702" t="s">
        <v>2026</v>
      </c>
      <c r="L48" s="3702"/>
      <c r="M48" s="3724">
        <f ca="1">H101</f>
        <v>179559</v>
      </c>
      <c r="N48" s="3724"/>
      <c r="O48" s="3724"/>
    </row>
    <row r="49" spans="1:35" ht="25.5" customHeight="1">
      <c r="A49" s="2556" t="s">
        <v>2027</v>
      </c>
      <c r="B49" s="3635" t="s">
        <v>2028</v>
      </c>
      <c r="C49" s="3635"/>
      <c r="D49" s="1775">
        <v>0</v>
      </c>
      <c r="E49" s="330" t="s">
        <v>2029</v>
      </c>
      <c r="F49" s="2650" t="s">
        <v>34</v>
      </c>
      <c r="G49" s="3708"/>
      <c r="H49" s="2528" t="s">
        <v>2873</v>
      </c>
      <c r="I49" s="2529"/>
      <c r="J49" s="2747">
        <v>4</v>
      </c>
      <c r="K49" s="3702" t="str">
        <f>IF(项目基本情况!E8="房地产抵押价值","房地产抵押价值","抵押担保权已注销时的房地产抵押价值")</f>
        <v>抵押担保权已注销时的房地产抵押价值</v>
      </c>
      <c r="L49" s="3702"/>
      <c r="M49" s="3724" t="str">
        <f>IF(项目基本情况!E8="房地产抵押价值",H107,H109)</f>
        <v>——</v>
      </c>
      <c r="N49" s="3724"/>
      <c r="O49" s="3724"/>
    </row>
    <row r="50" spans="1:35" ht="25.5" customHeight="1">
      <c r="A50" s="2775"/>
      <c r="B50" s="3635" t="s">
        <v>2030</v>
      </c>
      <c r="C50" s="3635"/>
      <c r="D50" s="2776"/>
      <c r="E50" s="338"/>
      <c r="F50" s="2650"/>
      <c r="G50" s="3709"/>
      <c r="H50" s="2530" t="s">
        <v>2874</v>
      </c>
      <c r="I50" s="2529"/>
      <c r="J50" s="3721" t="s">
        <v>2031</v>
      </c>
      <c r="K50" s="3721"/>
      <c r="L50" s="3721"/>
      <c r="M50" s="3721"/>
      <c r="N50" s="3721"/>
      <c r="O50" s="3721"/>
    </row>
    <row r="51" spans="1:35" ht="20.45" customHeight="1">
      <c r="A51" s="2777"/>
      <c r="B51" s="3635" t="s">
        <v>2032</v>
      </c>
      <c r="C51" s="3635"/>
      <c r="D51" s="1247"/>
      <c r="E51" s="333"/>
      <c r="F51" s="2650"/>
      <c r="G51" s="3710"/>
      <c r="H51" s="2530" t="s">
        <v>2875</v>
      </c>
      <c r="I51" s="2529"/>
      <c r="J51" s="2748" t="s">
        <v>2033</v>
      </c>
      <c r="K51" s="3702" t="s">
        <v>2034</v>
      </c>
      <c r="L51" s="3702"/>
      <c r="M51" s="2748" t="s">
        <v>2035</v>
      </c>
      <c r="N51" s="2748" t="s">
        <v>2036</v>
      </c>
      <c r="O51" s="2748" t="s">
        <v>2037</v>
      </c>
    </row>
    <row r="52" spans="1:35" ht="24" customHeight="1">
      <c r="A52" s="2558" t="s">
        <v>2038</v>
      </c>
      <c r="B52" s="3635" t="s">
        <v>2039</v>
      </c>
      <c r="C52" s="3635"/>
      <c r="D52" s="1247">
        <f ca="1">ROUND(D45*'数据-取费表'!B41/(1+'数据-取费表'!C42),0)</f>
        <v>9576</v>
      </c>
      <c r="E52" s="2557" t="s">
        <v>2040</v>
      </c>
      <c r="F52" s="2778">
        <f>'数据-取费表'!B41</f>
        <v>5.6000000000000001E-2</v>
      </c>
      <c r="G52" s="2779"/>
      <c r="H52" s="2768"/>
      <c r="I52" s="1993"/>
      <c r="J52" s="2747">
        <v>1</v>
      </c>
      <c r="K52" s="3703" t="s">
        <v>2041</v>
      </c>
      <c r="L52" s="3703"/>
      <c r="M52" s="2749" t="b">
        <f>D48</f>
        <v>0</v>
      </c>
      <c r="N52" s="2747" t="str">
        <f>E48</f>
        <v>销售额×税（费）率</v>
      </c>
      <c r="O52" s="2750">
        <f>F48</f>
        <v>5.6000000000000001E-2</v>
      </c>
    </row>
    <row r="53" spans="1:35" ht="12" customHeight="1">
      <c r="A53" s="2558" t="s">
        <v>2042</v>
      </c>
      <c r="B53" s="3661" t="s">
        <v>3031</v>
      </c>
      <c r="C53" s="3662"/>
      <c r="D53" s="1247">
        <f ca="1">ROUND(D45*'数据-取费表'!B41/(1+'数据-取费表'!C42),0)</f>
        <v>9576</v>
      </c>
      <c r="E53" s="2557" t="s">
        <v>2040</v>
      </c>
      <c r="F53" s="2778">
        <f>'数据-取费表'!B41</f>
        <v>5.6000000000000001E-2</v>
      </c>
      <c r="G53" s="2779"/>
      <c r="H53" s="2768"/>
      <c r="I53" s="1993"/>
      <c r="J53" s="2747">
        <v>2</v>
      </c>
      <c r="K53" s="3703" t="s">
        <v>2043</v>
      </c>
      <c r="L53" s="3703"/>
      <c r="M53" s="2749">
        <f t="shared" ref="M53:O54" ca="1" si="0">D55</f>
        <v>90</v>
      </c>
      <c r="N53" s="2747" t="str">
        <f t="shared" si="0"/>
        <v>销售额×税（费）率</v>
      </c>
      <c r="O53" s="2750" t="str">
        <f t="shared" si="0"/>
        <v>免征</v>
      </c>
    </row>
    <row r="54" spans="1:35" ht="12" customHeight="1">
      <c r="A54" s="2558" t="s">
        <v>2044</v>
      </c>
      <c r="B54" s="3661" t="s">
        <v>3032</v>
      </c>
      <c r="C54" s="3662"/>
      <c r="D54" s="1247">
        <f ca="1">C68</f>
        <v>9577</v>
      </c>
      <c r="E54" s="333" t="s">
        <v>2045</v>
      </c>
      <c r="F54" s="2778">
        <f>'数据-取费表'!B41</f>
        <v>5.6000000000000001E-2</v>
      </c>
      <c r="G54" s="2779"/>
      <c r="H54" s="2780"/>
      <c r="I54" s="1993"/>
      <c r="J54" s="2747">
        <v>3</v>
      </c>
      <c r="K54" s="3703" t="s">
        <v>2046</v>
      </c>
      <c r="L54" s="3703"/>
      <c r="M54" s="2749">
        <f t="shared" ca="1" si="0"/>
        <v>101631</v>
      </c>
      <c r="N54" s="2747" t="str">
        <f t="shared" si="0"/>
        <v>增值额×税（费）率</v>
      </c>
      <c r="O54" s="2751" t="str">
        <f t="shared" si="0"/>
        <v>免征</v>
      </c>
    </row>
    <row r="55" spans="1:35" ht="24" customHeight="1">
      <c r="A55" s="3650" t="s">
        <v>2047</v>
      </c>
      <c r="B55" s="3651"/>
      <c r="C55" s="3651"/>
      <c r="D55" s="2547">
        <f ca="1">IF(H55="个人住宅",0,ROUND(D45*I55,0))</f>
        <v>90</v>
      </c>
      <c r="E55" s="2557" t="s">
        <v>2048</v>
      </c>
      <c r="F55" s="2778" t="str">
        <f>IF(H55="正常",I55,"免征")</f>
        <v>免征</v>
      </c>
      <c r="G55" s="2779"/>
      <c r="H55" s="2774"/>
      <c r="I55" s="170">
        <f>'数据-取费表'!B49</f>
        <v>5.0000000000000001E-4</v>
      </c>
      <c r="J55" s="2747">
        <f>IF(H59="非个人房产","",4)</f>
        <v>4</v>
      </c>
      <c r="K55" s="3703" t="str">
        <f>IF(H59="非个人房产","——","个人所得税")</f>
        <v>个人所得税</v>
      </c>
      <c r="L55" s="3703"/>
      <c r="M55" s="2752">
        <f ca="1">D59</f>
        <v>1710</v>
      </c>
      <c r="N55" s="2228" t="str">
        <f>E59</f>
        <v>差额计税</v>
      </c>
      <c r="O55" s="2753">
        <f>F59</f>
        <v>0.01</v>
      </c>
    </row>
    <row r="56" spans="1:35" ht="24.75">
      <c r="A56" s="3650" t="s">
        <v>2049</v>
      </c>
      <c r="B56" s="3651"/>
      <c r="C56" s="3651"/>
      <c r="D56" s="2547">
        <f ca="1">IF(H56="个人住宅",D57,D58)</f>
        <v>101631</v>
      </c>
      <c r="E56" s="2557" t="s">
        <v>2050</v>
      </c>
      <c r="F56" s="2778" t="str">
        <f>IF(H56="正常",F58,"免征")</f>
        <v>免征</v>
      </c>
      <c r="G56" s="2781" t="s">
        <v>2051</v>
      </c>
      <c r="H56" s="2782"/>
      <c r="I56" s="1994"/>
      <c r="J56" s="2747" t="str">
        <f>IF(项目基本情况!K6="上海银行",IF(J55="",4,J55+1),"")</f>
        <v/>
      </c>
      <c r="K56" s="3726" t="str">
        <f>IF(项目基本情况!K6="上海银行","其他处置费用","")</f>
        <v/>
      </c>
      <c r="L56" s="3727"/>
      <c r="M56" s="2749" t="str">
        <f>IF(项目基本情况!K6="上海银行",M69,"")</f>
        <v/>
      </c>
      <c r="N56" s="3726" t="str">
        <f>IF(项目基本情况!K6="上海银行","包含处置中涉及的律师、诉讼、拍卖、评估等费用","")</f>
        <v/>
      </c>
      <c r="O56" s="3729"/>
    </row>
    <row r="57" spans="1:35" ht="12.75">
      <c r="A57" s="2558" t="s">
        <v>2027</v>
      </c>
      <c r="B57" s="3661" t="s">
        <v>2052</v>
      </c>
      <c r="C57" s="3662"/>
      <c r="D57" s="1775">
        <v>0</v>
      </c>
      <c r="E57" s="330" t="s">
        <v>2029</v>
      </c>
      <c r="F57" s="308"/>
      <c r="G57" s="2779"/>
      <c r="H57" s="2783"/>
      <c r="I57" s="1994"/>
      <c r="J57" s="3703">
        <f>IF(AND(J55="",J56=""),4,IF(项目基本情况!K6="上海银行",结果表!J56+1,结果表!J55+1))</f>
        <v>5</v>
      </c>
      <c r="K57" s="3703" t="s">
        <v>2053</v>
      </c>
      <c r="L57" s="2754" t="s">
        <v>2054</v>
      </c>
      <c r="M57" s="2755"/>
      <c r="N57" s="2756">
        <f ca="1">SUMIF(M52:M56,"&lt;9e307")</f>
        <v>103431</v>
      </c>
      <c r="O57" s="2757"/>
      <c r="P57" s="2917" t="e">
        <f ca="1">N57/M49</f>
        <v>#VALUE!</v>
      </c>
    </row>
    <row r="58" spans="1:35" ht="24.75">
      <c r="A58" s="2558" t="s">
        <v>2038</v>
      </c>
      <c r="B58" s="3661" t="s">
        <v>2055</v>
      </c>
      <c r="C58" s="3635"/>
      <c r="D58" s="2547">
        <f ca="1">IF(H58="转让取得",C81,C97)</f>
        <v>101631</v>
      </c>
      <c r="E58" s="2557" t="s">
        <v>2050</v>
      </c>
      <c r="F58" s="308" t="s">
        <v>34</v>
      </c>
      <c r="G58" s="2779"/>
      <c r="H58" s="2782"/>
      <c r="I58" s="1994"/>
      <c r="J58" s="3703"/>
      <c r="K58" s="3703"/>
      <c r="L58" s="2754" t="s">
        <v>2056</v>
      </c>
      <c r="M58" s="2758"/>
      <c r="N58" s="2759" t="str">
        <f ca="1">NUMBERSTRING(INT(N57*10000),2)&amp;"元整"</f>
        <v>壹拾亿叁仟肆佰叁拾壹万元整</v>
      </c>
      <c r="O58" s="2760"/>
    </row>
    <row r="59" spans="1:35" ht="24.75" thickBot="1">
      <c r="A59" s="3706" t="s">
        <v>2057</v>
      </c>
      <c r="B59" s="3707"/>
      <c r="C59" s="3707"/>
      <c r="D59" s="2784">
        <f ca="1">IF(H59="非个人房产","——",IF(H59="个人住宅（满五唯一有凭证）",0,IF(H59="个人其他（无凭证）",ROUND(D45*F59,0),ROUND(C67*F59,0))))</f>
        <v>1710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2876</v>
      </c>
      <c r="J59" s="3704">
        <f>J57+1</f>
        <v>6</v>
      </c>
      <c r="K59" s="3703" t="s">
        <v>2058</v>
      </c>
      <c r="L59" s="2747" t="s">
        <v>2054</v>
      </c>
      <c r="M59" s="2761"/>
      <c r="N59" s="2762" t="e">
        <f ca="1">M49-N57</f>
        <v>#VALUE!</v>
      </c>
      <c r="O59" s="2763"/>
    </row>
    <row r="60" spans="1:35" ht="12" customHeight="1">
      <c r="A60" s="1995"/>
      <c r="B60" s="1933"/>
      <c r="C60" s="1933"/>
      <c r="D60" s="1933"/>
      <c r="E60" s="1763"/>
      <c r="F60" s="1994"/>
      <c r="G60" s="1994"/>
      <c r="H60" s="1996"/>
      <c r="I60" s="134"/>
      <c r="J60" s="3705"/>
      <c r="K60" s="3703"/>
      <c r="L60" s="2754" t="s">
        <v>2056</v>
      </c>
      <c r="M60" s="2758"/>
      <c r="N60" s="2759" t="e">
        <f ca="1">NUMBERSTRING(INT(N59*10000),2)&amp;"元整"</f>
        <v>#VALUE!</v>
      </c>
      <c r="O60" s="2760"/>
    </row>
    <row r="61" spans="1:35" ht="13.5" thickBot="1">
      <c r="A61" s="3648" t="s">
        <v>2059</v>
      </c>
      <c r="B61" s="3648"/>
      <c r="C61" s="3648"/>
      <c r="D61" s="3648"/>
      <c r="E61" s="3648"/>
      <c r="F61" s="1994"/>
      <c r="G61" s="1994"/>
      <c r="H61" s="1996"/>
      <c r="I61" s="134"/>
      <c r="J61" s="2747">
        <f>J59+1</f>
        <v>7</v>
      </c>
      <c r="K61" s="3703" t="s">
        <v>2060</v>
      </c>
      <c r="L61" s="3703"/>
      <c r="M61" s="2764"/>
      <c r="N61" s="2765" t="e">
        <f ca="1">ROUND(N59*10000/'数据-汇总表'!E3,0)</f>
        <v>#VALUE!</v>
      </c>
      <c r="O61" s="2766"/>
    </row>
    <row r="62" spans="1:35" ht="12.75">
      <c r="A62" s="3666" t="s">
        <v>2061</v>
      </c>
      <c r="B62" s="3667"/>
      <c r="C62" s="2209"/>
      <c r="D62" s="2209" t="s">
        <v>2062</v>
      </c>
      <c r="E62" s="171" t="s">
        <v>2063</v>
      </c>
      <c r="F62" s="1994"/>
      <c r="G62" s="1994"/>
      <c r="H62" s="1996"/>
      <c r="I62" s="134"/>
    </row>
    <row r="63" spans="1:35" ht="12.75">
      <c r="A63" s="178" t="s">
        <v>775</v>
      </c>
      <c r="B63" s="172" t="s">
        <v>2064</v>
      </c>
      <c r="C63" s="2788">
        <f ca="1">ROUND((C64+C65)/(1+'数据-取费表'!C42),0)</f>
        <v>171009</v>
      </c>
      <c r="D63" s="172"/>
      <c r="E63" s="173"/>
      <c r="F63" s="1994"/>
      <c r="G63" s="1994"/>
      <c r="H63" s="1996"/>
      <c r="I63" s="134"/>
      <c r="J63" s="3728"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f ca="1">D45</f>
        <v>179559</v>
      </c>
      <c r="D64" s="175" t="s">
        <v>32</v>
      </c>
      <c r="E64" s="177"/>
      <c r="F64" s="1994"/>
      <c r="G64" s="1994"/>
      <c r="H64" s="1996"/>
      <c r="I64" s="134"/>
      <c r="J64" s="3728"/>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68" t="s">
        <v>2069</v>
      </c>
      <c r="Z64" s="1938"/>
      <c r="AI64" s="1939"/>
    </row>
    <row r="65" spans="1:35" ht="14.25" customHeight="1">
      <c r="A65" s="174" t="s">
        <v>771</v>
      </c>
      <c r="B65" s="175" t="s">
        <v>2070</v>
      </c>
      <c r="C65" s="2790"/>
      <c r="D65" s="175"/>
      <c r="E65" s="177"/>
      <c r="F65" s="1994"/>
      <c r="G65" s="1994"/>
      <c r="H65" s="1996"/>
      <c r="I65" s="134"/>
      <c r="J65" s="3728"/>
      <c r="K65" s="1501" t="s">
        <v>2071</v>
      </c>
      <c r="L65" s="1501" t="e">
        <f>IF(M49&gt;1000,M49*0.1%,IF(AND(M49&gt;500,M49&lt;=1000),M49*0.5%,IF(AND(M49&gt;50,M49&lt;=500),M49*1%,IF(AND(M49&gt;1,M49&lt;=50),M49*1.5%))))</f>
        <v>#VALUE!</v>
      </c>
      <c r="M65" s="308" t="e">
        <f>ROUND(L65,1)</f>
        <v>#VALUE!</v>
      </c>
      <c r="N65" s="2768" t="s">
        <v>2069</v>
      </c>
      <c r="Z65" s="1938"/>
      <c r="AI65" s="1939"/>
    </row>
    <row r="66" spans="1:35" ht="14.25" customHeight="1">
      <c r="A66" s="178" t="s">
        <v>772</v>
      </c>
      <c r="B66" s="179" t="s">
        <v>2072</v>
      </c>
      <c r="C66" s="2791"/>
      <c r="D66" s="179" t="s">
        <v>32</v>
      </c>
      <c r="E66" s="1509" t="s">
        <v>1337</v>
      </c>
      <c r="F66" s="1994"/>
      <c r="G66" s="1994"/>
      <c r="H66" s="1996"/>
      <c r="I66" s="134"/>
      <c r="J66" s="3728"/>
      <c r="K66" s="1501" t="s">
        <v>2073</v>
      </c>
      <c r="L66" s="1501" t="e">
        <f>M49*0.5%</f>
        <v>#VALUE!</v>
      </c>
      <c r="M66" s="308" t="e">
        <f>IF(L66&gt;0.5,0.5,ROUND(L66,0))</f>
        <v>#VALUE!</v>
      </c>
      <c r="N66" s="2768" t="s">
        <v>2074</v>
      </c>
      <c r="Z66" s="1938"/>
      <c r="AI66" s="1939"/>
    </row>
    <row r="67" spans="1:35" ht="14.25" customHeight="1">
      <c r="A67" s="178" t="s">
        <v>773</v>
      </c>
      <c r="B67" s="179" t="s">
        <v>2075</v>
      </c>
      <c r="C67" s="2792">
        <f ca="1">C63-C66</f>
        <v>171009</v>
      </c>
      <c r="D67" s="175" t="s">
        <v>32</v>
      </c>
      <c r="E67" s="177"/>
      <c r="F67" s="1994"/>
      <c r="G67" s="1994"/>
      <c r="H67" s="1996"/>
      <c r="I67" s="134"/>
      <c r="J67" s="3728"/>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f ca="1">IF(C67&lt;=0,0,ROUND(C67*D68,0))</f>
        <v>9577</v>
      </c>
      <c r="D68" s="2794">
        <f>'数据-取费表'!B41</f>
        <v>5.6000000000000001E-2</v>
      </c>
      <c r="E68" s="184"/>
      <c r="F68" s="1994"/>
      <c r="G68" s="1994"/>
      <c r="H68" s="1996"/>
      <c r="I68" s="134"/>
      <c r="J68" s="3728"/>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728"/>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687" t="s">
        <v>2080</v>
      </c>
      <c r="B70" s="3688"/>
      <c r="C70" s="3688"/>
      <c r="D70" s="3688"/>
      <c r="E70" s="3688"/>
      <c r="F70" s="3688"/>
      <c r="G70" s="3688"/>
      <c r="H70" s="3688"/>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666" t="s">
        <v>2061</v>
      </c>
      <c r="B71" s="3667"/>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171009</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1026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661" t="s">
        <v>2088</v>
      </c>
      <c r="F76" s="3635"/>
      <c r="G76" s="3635"/>
      <c r="H76" s="368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1026</v>
      </c>
      <c r="D78" s="2801">
        <f>'数据-取费表'!B43</f>
        <v>6.000000000000001E-3</v>
      </c>
      <c r="E78" s="3645" t="s">
        <v>2092</v>
      </c>
      <c r="F78" s="3646"/>
      <c r="G78" s="3646"/>
      <c r="H78" s="365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169983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165.67543859649123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101631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687" t="s">
        <v>2096</v>
      </c>
      <c r="B83" s="3688"/>
      <c r="C83" s="3688"/>
      <c r="D83" s="3688"/>
      <c r="E83" s="3688"/>
      <c r="F83" s="3688"/>
      <c r="G83" s="3688"/>
      <c r="H83" s="368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666" t="s">
        <v>2061</v>
      </c>
      <c r="B84" s="366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171009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1026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3028</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730" t="s">
        <v>2868</v>
      </c>
      <c r="H90" s="3731"/>
      <c r="I90" s="2007"/>
      <c r="J90" s="2745" t="s">
        <v>3029</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645" t="s">
        <v>2105</v>
      </c>
      <c r="F91" s="3646"/>
      <c r="G91" s="364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645" t="s">
        <v>2108</v>
      </c>
      <c r="F92" s="3646"/>
      <c r="G92" s="3646"/>
      <c r="H92" s="3655"/>
      <c r="I92" s="2007"/>
      <c r="J92" s="2746" t="s">
        <v>3030</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1026</v>
      </c>
      <c r="D93" s="2801">
        <f>'数据-取费表'!B43</f>
        <v>6.000000000000001E-3</v>
      </c>
      <c r="E93" s="3645" t="s">
        <v>2092</v>
      </c>
      <c r="F93" s="3646"/>
      <c r="G93" s="3646"/>
      <c r="H93" s="365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656" t="s">
        <v>2112</v>
      </c>
      <c r="F94" s="3657"/>
      <c r="G94" s="3657"/>
      <c r="H94" s="36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169983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165.67543859649123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101631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589" t="s">
        <v>2114</v>
      </c>
      <c r="B100" s="3590"/>
      <c r="C100" s="3590"/>
      <c r="D100" s="3647"/>
      <c r="E100" s="3590" t="s">
        <v>2115</v>
      </c>
      <c r="F100" s="3590"/>
      <c r="G100" s="3590"/>
      <c r="H100" s="3647"/>
      <c r="I100" s="134"/>
    </row>
    <row r="101" spans="1:35" ht="18.75" customHeight="1">
      <c r="A101" s="3711" t="s">
        <v>2116</v>
      </c>
      <c r="B101" s="3712"/>
      <c r="C101" s="2809" t="str">
        <f>C4</f>
        <v>成本法</v>
      </c>
      <c r="D101" s="2810" t="str">
        <f>D4</f>
        <v>成本法</v>
      </c>
      <c r="E101" s="3725" t="s">
        <v>2117</v>
      </c>
      <c r="F101" s="3679"/>
      <c r="G101" s="2013" t="s">
        <v>2118</v>
      </c>
      <c r="H101" s="2819">
        <f ca="1">H118</f>
        <v>179559</v>
      </c>
      <c r="I101" s="134"/>
    </row>
    <row r="102" spans="1:35" ht="18.75" customHeight="1">
      <c r="A102" s="3681" t="s">
        <v>2119</v>
      </c>
      <c r="B102" s="2808" t="s">
        <v>2118</v>
      </c>
      <c r="C102" s="2809">
        <f ca="1">C19</f>
        <v>179557</v>
      </c>
      <c r="D102" s="2810">
        <f ca="1">D19</f>
        <v>179557</v>
      </c>
      <c r="E102" s="3725"/>
      <c r="F102" s="3679"/>
      <c r="G102" s="2013" t="s">
        <v>2120</v>
      </c>
      <c r="H102" s="2779">
        <f ca="1">I118</f>
        <v>37652</v>
      </c>
      <c r="I102" s="134"/>
    </row>
    <row r="103" spans="1:35" ht="42.75" customHeight="1">
      <c r="A103" s="3681"/>
      <c r="B103" s="2808" t="s">
        <v>2120</v>
      </c>
      <c r="C103" s="2811">
        <f ca="1">C20</f>
        <v>37652</v>
      </c>
      <c r="D103" s="2812">
        <f ca="1">D20</f>
        <v>37652</v>
      </c>
      <c r="E103" s="3719" t="s">
        <v>2121</v>
      </c>
      <c r="F103" s="3720"/>
      <c r="G103" s="2014" t="s">
        <v>2122</v>
      </c>
      <c r="H103" s="2819">
        <f>IF(D36="正常操作",H104+H105+H106,H105+H106)</f>
        <v>0</v>
      </c>
      <c r="I103" s="134"/>
    </row>
    <row r="104" spans="1:35" ht="18.75" customHeight="1">
      <c r="A104" s="3681" t="s">
        <v>2123</v>
      </c>
      <c r="B104" s="2813" t="s">
        <v>2118</v>
      </c>
      <c r="C104" s="2814">
        <f ca="1">H118</f>
        <v>179559</v>
      </c>
      <c r="D104" s="2815"/>
      <c r="E104" s="1860" t="s">
        <v>2124</v>
      </c>
      <c r="F104" s="1851"/>
      <c r="G104" s="2014" t="s">
        <v>2122</v>
      </c>
      <c r="H104" s="2820">
        <f>IF(D36="同一抵押权人同一抵押物续贷",C36&amp;"（续贷，未扣减，详见特别提示）",C36)</f>
        <v>0</v>
      </c>
      <c r="I104" s="134"/>
    </row>
    <row r="105" spans="1:35" ht="18.75" customHeight="1" thickBot="1">
      <c r="A105" s="3682"/>
      <c r="B105" s="2816" t="s">
        <v>2120</v>
      </c>
      <c r="C105" s="2817">
        <f ca="1">I118</f>
        <v>37652</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678" t="str">
        <f>IF(项目基本情况!E8="已注销","——","3.房地产抵押价值")</f>
        <v>3.房地产抵押价值</v>
      </c>
      <c r="F107" s="3679"/>
      <c r="G107" s="2013" t="s">
        <v>2118</v>
      </c>
      <c r="H107" s="2819">
        <f ca="1">IF(E107="——","——",H101-H103)</f>
        <v>179559</v>
      </c>
      <c r="I107" s="134"/>
    </row>
    <row r="108" spans="1:35" ht="18.75" customHeight="1">
      <c r="A108" s="134"/>
      <c r="B108" s="134"/>
      <c r="C108" s="134"/>
      <c r="D108" s="134"/>
      <c r="E108" s="3678"/>
      <c r="F108" s="3679"/>
      <c r="G108" s="2013" t="s">
        <v>2120</v>
      </c>
      <c r="H108" s="2779">
        <f ca="1">ROUND(H107*10000/'数据-汇总表'!E3,0)</f>
        <v>37652</v>
      </c>
      <c r="I108" s="134"/>
    </row>
    <row r="109" spans="1:35" ht="18.75" customHeight="1">
      <c r="A109" s="134"/>
      <c r="B109" s="134"/>
      <c r="C109" s="134"/>
      <c r="D109" s="134"/>
      <c r="E109" s="3678" t="str">
        <f>IF(项目基本情况!E8="已注销及未注销","4.抵押担保权已注销时的房地产抵押价值",IF(项目基本情况!E8="已注销","3.抵押担保权已注销时的房地产抵押价值","——"))</f>
        <v>——</v>
      </c>
      <c r="F109" s="3679"/>
      <c r="G109" s="2013" t="s">
        <v>2118</v>
      </c>
      <c r="H109" s="2822" t="str">
        <f>IF(E109="——","——",H101-H105-H106)</f>
        <v>——</v>
      </c>
      <c r="I109" s="134"/>
    </row>
    <row r="110" spans="1:35" ht="18.75" customHeight="1">
      <c r="A110" s="134"/>
      <c r="B110" s="134"/>
      <c r="C110" s="134"/>
      <c r="D110" s="134"/>
      <c r="E110" s="3678"/>
      <c r="F110" s="3679"/>
      <c r="G110" s="2013" t="s">
        <v>2120</v>
      </c>
      <c r="H110" s="2779" t="str">
        <f>IF(H109="——","——",ROUND(H109*10000/'数据-汇总表'!E3,0))</f>
        <v>——</v>
      </c>
      <c r="I110" s="134"/>
    </row>
    <row r="111" spans="1:35" ht="18.75" customHeight="1">
      <c r="A111" s="134"/>
      <c r="B111" s="134"/>
      <c r="C111" s="134"/>
      <c r="D111" s="134"/>
      <c r="E111" s="3713" t="str">
        <f>IF(项目基本情况!E9="抵押净值",IF(OR(项目基本情况!E8="已注销",项目基本情况!E8="房地产抵押价值"),"4.抵押净值","5.抵押净值"),"——")</f>
        <v>——</v>
      </c>
      <c r="F111" s="3680"/>
      <c r="G111" s="2013" t="s">
        <v>2118</v>
      </c>
      <c r="H111" s="2819" t="str">
        <f>IF(E111="——","——",N59)</f>
        <v>——</v>
      </c>
      <c r="I111" s="134"/>
    </row>
    <row r="112" spans="1:35" ht="18.75" customHeight="1" thickBot="1">
      <c r="A112" s="134"/>
      <c r="B112" s="134"/>
      <c r="C112" s="134"/>
      <c r="D112" s="134"/>
      <c r="E112" s="3714"/>
      <c r="F112" s="3715"/>
      <c r="G112" s="2016" t="s">
        <v>2120</v>
      </c>
      <c r="H112" s="2823" t="str">
        <f>IF(E111="——","——",N61)</f>
        <v>——</v>
      </c>
      <c r="I112" s="134"/>
    </row>
    <row r="113" spans="1:27" ht="18.75" customHeight="1">
      <c r="A113" s="134"/>
      <c r="B113" s="134"/>
      <c r="C113" s="134"/>
      <c r="D113" s="134"/>
      <c r="E113" s="3683" t="s">
        <v>2126</v>
      </c>
      <c r="F113" s="3683"/>
      <c r="G113" s="3683"/>
      <c r="H113" s="3683"/>
      <c r="I113" s="134"/>
    </row>
    <row r="114" spans="1:27" ht="3.75" customHeight="1">
      <c r="A114" s="1933"/>
      <c r="B114" s="1933"/>
      <c r="C114" s="1933"/>
      <c r="D114" s="1933"/>
      <c r="E114" s="1995"/>
      <c r="F114" s="1995"/>
      <c r="G114" s="1995"/>
      <c r="H114" s="1995"/>
      <c r="I114" s="1933"/>
    </row>
    <row r="115" spans="1:27" ht="18.75" customHeight="1">
      <c r="A115" s="3696" t="s">
        <v>2128</v>
      </c>
      <c r="B115" s="3697"/>
      <c r="C115" s="3697"/>
      <c r="D115" s="3697"/>
      <c r="E115" s="3697"/>
      <c r="F115" s="3697"/>
      <c r="G115" s="3697"/>
      <c r="H115" s="3697"/>
      <c r="I115" s="3698"/>
    </row>
    <row r="116" spans="1:27" ht="27" customHeight="1">
      <c r="A116" s="3649" t="s">
        <v>2129</v>
      </c>
      <c r="B116" s="3684" t="s">
        <v>2130</v>
      </c>
      <c r="C116" s="3684" t="s">
        <v>2131</v>
      </c>
      <c r="D116" s="3700" t="s">
        <v>2132</v>
      </c>
      <c r="E116" s="3701"/>
      <c r="F116" s="3692" t="s">
        <v>2133</v>
      </c>
      <c r="G116" s="3692"/>
      <c r="H116" s="3649" t="s">
        <v>2134</v>
      </c>
      <c r="I116" s="3649"/>
    </row>
    <row r="117" spans="1:27" ht="18.75" customHeight="1">
      <c r="A117" s="3649"/>
      <c r="B117" s="3685"/>
      <c r="C117" s="3685"/>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47689.05</v>
      </c>
      <c r="C118" s="2552">
        <f>M19</f>
        <v>5933.24</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179559</v>
      </c>
      <c r="I118" s="2552">
        <f ca="1">ROUND(IF(D32="楼面单价",C32,H118*10000/B118),0)</f>
        <v>37652</v>
      </c>
    </row>
    <row r="119" spans="1:27" ht="18.75" customHeight="1">
      <c r="A119" s="3649" t="s">
        <v>2138</v>
      </c>
      <c r="B119" s="3649"/>
      <c r="C119" s="3649"/>
      <c r="D119" s="3689" t="e">
        <f ca="1">NUMBERSTRING(INT(D118*10000),2)&amp;"元整"</f>
        <v>#REF!</v>
      </c>
      <c r="E119" s="3691"/>
      <c r="F119" s="3689" t="e">
        <f ca="1">NUMBERSTRING(INT(F118*10000),2)&amp;"元整"</f>
        <v>#REF!</v>
      </c>
      <c r="G119" s="3691"/>
      <c r="H119" s="3689" t="str">
        <f ca="1">NUMBERSTRING(INT(H118*10000),2)&amp;"元整"</f>
        <v>壹拾柒亿玖仟伍佰伍拾玖万元整</v>
      </c>
      <c r="I119" s="3691"/>
    </row>
    <row r="120" spans="1:27" ht="18.75" customHeight="1">
      <c r="A120" s="3716" t="str">
        <f>IF(项目基本情况!B9="房地产市场价值","",MID(E103,3,LEN(E103)-2))</f>
        <v>估价师知悉的法定优先受偿款</v>
      </c>
      <c r="B120" s="3717"/>
      <c r="C120" s="3718"/>
      <c r="D120" s="3716">
        <f>H103</f>
        <v>0</v>
      </c>
      <c r="E120" s="3717"/>
      <c r="F120" s="3717"/>
      <c r="G120" s="3717"/>
      <c r="H120" s="3717"/>
      <c r="I120" s="371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693" t="s">
        <v>2138</v>
      </c>
      <c r="B121" s="3694"/>
      <c r="C121" s="3695"/>
      <c r="D121" s="3689" t="str">
        <f>IF(D120=0,"零元整",NUMBERSTRING(INT(D120*10000),2)&amp;"元整")</f>
        <v>零元整</v>
      </c>
      <c r="E121" s="3690"/>
      <c r="F121" s="3690"/>
      <c r="G121" s="3690"/>
      <c r="H121" s="3690"/>
      <c r="I121" s="3691"/>
      <c r="AA121" s="734"/>
    </row>
    <row r="122" spans="1:27" ht="18.75" customHeight="1">
      <c r="A122" s="3680" t="str">
        <f>IF(项目基本情况!B9="房地产市场价值","",MID(E107,3,LEN(E107)-2))</f>
        <v>房地产抵押价值</v>
      </c>
      <c r="B122" s="3680"/>
      <c r="C122" s="3680"/>
      <c r="D122" s="3716">
        <f ca="1">H107</f>
        <v>179559</v>
      </c>
      <c r="E122" s="3717"/>
      <c r="F122" s="3717"/>
      <c r="G122" s="3717"/>
      <c r="H122" s="3717"/>
      <c r="I122" s="3718"/>
      <c r="AA122" s="734"/>
    </row>
    <row r="123" spans="1:27" ht="18.75" customHeight="1">
      <c r="A123" s="3649" t="s">
        <v>2138</v>
      </c>
      <c r="B123" s="3649"/>
      <c r="C123" s="3649"/>
      <c r="D123" s="3689" t="str">
        <f ca="1">NUMBERSTRING(INT(D122*10000),2)&amp;"元整"</f>
        <v>壹拾柒亿玖仟伍佰伍拾玖万元整</v>
      </c>
      <c r="E123" s="3690"/>
      <c r="F123" s="3690"/>
      <c r="G123" s="3690"/>
      <c r="H123" s="3690"/>
      <c r="I123" s="3691"/>
      <c r="AA123" s="734"/>
    </row>
    <row r="124" spans="1:27" ht="18.75" customHeight="1">
      <c r="A124" s="3680" t="str">
        <f>IF(项目基本情况!B9="房地产市场价值","",MID(E109,3,LEN(E109)-2))</f>
        <v/>
      </c>
      <c r="B124" s="3680"/>
      <c r="C124" s="3680"/>
      <c r="D124" s="3716" t="str">
        <f>H109</f>
        <v>——</v>
      </c>
      <c r="E124" s="3717"/>
      <c r="F124" s="3717"/>
      <c r="G124" s="3717"/>
      <c r="H124" s="3717"/>
      <c r="I124" s="3718"/>
      <c r="AA124" s="734"/>
    </row>
    <row r="125" spans="1:27" ht="18.75" customHeight="1">
      <c r="A125" s="3649" t="s">
        <v>2138</v>
      </c>
      <c r="B125" s="3649"/>
      <c r="C125" s="3649"/>
      <c r="D125" s="3689" t="e">
        <f>NUMBERSTRING(INT(D124*10000),2)&amp;"元整"</f>
        <v>#VALUE!</v>
      </c>
      <c r="E125" s="3690"/>
      <c r="F125" s="3690"/>
      <c r="G125" s="3690"/>
      <c r="H125" s="3690"/>
      <c r="I125" s="3691"/>
      <c r="AA125" s="734"/>
    </row>
    <row r="126" spans="1:27" ht="18.75" customHeight="1">
      <c r="A126" s="3680" t="str">
        <f>IF(项目基本情况!B9="房地产市场价值","",MID(E111,3,LEN(E111)-2))</f>
        <v/>
      </c>
      <c r="B126" s="3680"/>
      <c r="C126" s="3680"/>
      <c r="D126" s="3716" t="str">
        <f>H111</f>
        <v>——</v>
      </c>
      <c r="E126" s="3717"/>
      <c r="F126" s="3717"/>
      <c r="G126" s="3717"/>
      <c r="H126" s="3717"/>
      <c r="I126" s="3718"/>
      <c r="AA126" s="734"/>
    </row>
    <row r="127" spans="1:27" ht="18.75" customHeight="1">
      <c r="A127" s="3649" t="s">
        <v>2138</v>
      </c>
      <c r="B127" s="3649"/>
      <c r="C127" s="3649"/>
      <c r="D127" s="3689" t="e">
        <f>NUMBERSTRING(INT(D126*10000),2)&amp;"元整"</f>
        <v>#VALUE!</v>
      </c>
      <c r="E127" s="3690"/>
      <c r="F127" s="3690"/>
      <c r="G127" s="3690"/>
      <c r="H127" s="3690"/>
      <c r="I127" s="3691"/>
      <c r="AA127" s="734"/>
    </row>
    <row r="128" spans="1:27" ht="21.75" customHeight="1">
      <c r="A128" s="3699" t="s">
        <v>2139</v>
      </c>
      <c r="B128" s="3699"/>
      <c r="C128" s="3699"/>
      <c r="D128" s="3699"/>
      <c r="E128" s="3699"/>
      <c r="F128" s="3699"/>
      <c r="G128" s="3699"/>
      <c r="H128" s="3699"/>
      <c r="I128" s="369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40" priority="21" stopIfTrue="1" operator="equal">
      <formula>25</formula>
    </cfRule>
  </conditionalFormatting>
  <conditionalFormatting sqref="C8:C9">
    <cfRule type="cellIs" dxfId="239" priority="19" stopIfTrue="1" operator="equal">
      <formula>15</formula>
    </cfRule>
  </conditionalFormatting>
  <conditionalFormatting sqref="C14:C16">
    <cfRule type="cellIs" dxfId="238" priority="13" stopIfTrue="1" operator="equal">
      <formula>30</formula>
    </cfRule>
  </conditionalFormatting>
  <conditionalFormatting sqref="D5:D7">
    <cfRule type="cellIs" dxfId="237" priority="10" stopIfTrue="1" operator="equal">
      <formula>25</formula>
    </cfRule>
  </conditionalFormatting>
  <conditionalFormatting sqref="D8:D9">
    <cfRule type="cellIs" dxfId="236" priority="9" stopIfTrue="1" operator="equal">
      <formula>15</formula>
    </cfRule>
  </conditionalFormatting>
  <conditionalFormatting sqref="C10:D13">
    <cfRule type="cellIs" dxfId="235" priority="8" stopIfTrue="1" operator="equal">
      <formula>15</formula>
    </cfRule>
  </conditionalFormatting>
  <conditionalFormatting sqref="D14:D16">
    <cfRule type="cellIs" dxfId="234" priority="6" stopIfTrue="1" operator="equal">
      <formula>30</formula>
    </cfRule>
  </conditionalFormatting>
  <conditionalFormatting sqref="C90">
    <cfRule type="expression" dxfId="233" priority="3" stopIfTrue="1">
      <formula>$H$88&lt;&gt;"仅含出让金"</formula>
    </cfRule>
  </conditionalFormatting>
  <conditionalFormatting sqref="C91">
    <cfRule type="expression" dxfId="232" priority="2" stopIfTrue="1">
      <formula>$H$91="由企业提供"</formula>
    </cfRule>
  </conditionalFormatting>
  <conditionalFormatting sqref="E36">
    <cfRule type="expression" dxfId="2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503" t="str">
        <f>项目基本情况!B1</f>
        <v>北京市预评估</v>
      </c>
      <c r="C37" s="3503"/>
      <c r="D37" s="3503"/>
      <c r="E37" s="3503"/>
      <c r="F37" s="3503"/>
      <c r="G37" s="3503"/>
      <c r="H37" s="3503"/>
      <c r="I37" s="350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梁津（注册号：1119970066)、陈颖（注册号：0)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L24" sqref="L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13</v>
      </c>
    </row>
    <row r="2" spans="1:9" s="206" customFormat="1" ht="18" customHeight="1">
      <c r="A2" s="207" t="s">
        <v>2148</v>
      </c>
      <c r="B2" s="208">
        <f ca="1">IF(D2="——",C52,C52-E2)</f>
        <v>179557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37652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117563</v>
      </c>
      <c r="D5" s="217" t="s">
        <v>2155</v>
      </c>
      <c r="E5" s="218" t="s">
        <v>2156</v>
      </c>
      <c r="F5" s="218" t="s">
        <v>2157</v>
      </c>
      <c r="G5" s="219"/>
    </row>
    <row r="6" spans="1:9" s="220" customFormat="1" ht="13.5" customHeight="1">
      <c r="A6" s="886" t="s">
        <v>2158</v>
      </c>
      <c r="B6" s="221" t="s">
        <v>2159</v>
      </c>
      <c r="C6" s="222">
        <f ca="1">'基准地价（汇总）'!B2</f>
        <v>114083</v>
      </c>
      <c r="D6" s="223"/>
      <c r="E6" s="224"/>
      <c r="F6" s="224"/>
      <c r="G6" s="225"/>
    </row>
    <row r="7" spans="1:9" s="220" customFormat="1" ht="13.5" customHeight="1">
      <c r="A7" s="886" t="s">
        <v>2160</v>
      </c>
      <c r="B7" s="221" t="s">
        <v>2161</v>
      </c>
      <c r="C7" s="226">
        <f ca="1">ROUND(C6*F7,0)</f>
        <v>3480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3104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3105</v>
      </c>
      <c r="H9" s="1299"/>
      <c r="I9" s="2044" t="s">
        <v>2165</v>
      </c>
    </row>
    <row r="10" spans="1:9" s="220" customFormat="1" ht="13.5" customHeight="1">
      <c r="A10" s="887" t="s">
        <v>801</v>
      </c>
      <c r="B10" s="230" t="s">
        <v>2166</v>
      </c>
      <c r="C10" s="231">
        <f ca="1">ROUND(D10*E10/10000,0)</f>
        <v>954</v>
      </c>
      <c r="D10" s="954">
        <f ca="1">IF(B1="",'数据-汇总表'!E6,IF(INDIRECT("'数据-取费表'!c"&amp;$G$1)="住宅",INDIRECT("'数据-取费表'!s"&amp;$G$1),INDIRECT("'数据-取费表'!k"&amp;$G$1)+INDIRECT("'数据-取费表'!s"&amp;$G$1)))</f>
        <v>47689.05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47689.05</v>
      </c>
      <c r="E19" s="217">
        <f>'数据-取费表'!B31</f>
        <v>200</v>
      </c>
      <c r="F19" s="237"/>
      <c r="G19" s="2042" t="s">
        <v>3106</v>
      </c>
    </row>
    <row r="20" spans="1:7" s="220" customFormat="1" ht="13.5" customHeight="1">
      <c r="A20" s="261" t="s">
        <v>2179</v>
      </c>
      <c r="B20" s="216" t="s">
        <v>2180</v>
      </c>
      <c r="C20" s="238">
        <f ca="1">ROUND((C5+C19)*F20,0)</f>
        <v>2351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12791</v>
      </c>
      <c r="D22" s="241">
        <f ca="1">C26</f>
        <v>1.1000000000000001E-3</v>
      </c>
      <c r="E22" s="242" t="s">
        <v>2184</v>
      </c>
      <c r="F22" s="243">
        <f ca="1">'数据-取费表'!B40</f>
        <v>5.2499999999999998E-2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12668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123</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22784</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ROUND((C5+C19+C20)*F27*'数据-取费表'!B21/'数据-取费表'!B20,0)</f>
        <v>22784</v>
      </c>
      <c r="D28" s="241"/>
      <c r="E28" s="242"/>
      <c r="F28" s="252"/>
      <c r="G28" s="253"/>
    </row>
    <row r="29" spans="1:7" s="220" customFormat="1" ht="13.5" customHeight="1">
      <c r="A29" s="888" t="s">
        <v>792</v>
      </c>
      <c r="B29" s="254" t="s">
        <v>2203</v>
      </c>
      <c r="C29" s="244">
        <f ca="1">ROUND(C21*F27*'数据-取费表'!B21/'数据-取费表'!B20,4)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168680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9889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8550</v>
      </c>
      <c r="D34" s="223"/>
      <c r="E34" s="226"/>
      <c r="F34" s="263">
        <f ca="1">IF('数据-取费表'!B24=0,1,IF(B1="",'数据-取费表'!N16,INDIRECT("'数据-取费表'!n"&amp;$G$1)))</f>
        <v>1</v>
      </c>
      <c r="G34" s="225" t="s">
        <v>2212</v>
      </c>
    </row>
    <row r="35" spans="1:7" ht="13.5" customHeight="1">
      <c r="A35" s="888" t="s">
        <v>796</v>
      </c>
      <c r="B35" s="221" t="s">
        <v>2213</v>
      </c>
      <c r="C35" s="226">
        <f ca="1">ROUND(C34*F35,0)</f>
        <v>257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954</v>
      </c>
      <c r="D37" s="223">
        <f ca="1">D19</f>
        <v>47689.05</v>
      </c>
      <c r="E37" s="255">
        <f>'数据-取费表'!B35</f>
        <v>200</v>
      </c>
      <c r="F37" s="265"/>
      <c r="G37" s="267" t="s">
        <v>2218</v>
      </c>
    </row>
    <row r="38" spans="1:7" ht="13.5" customHeight="1">
      <c r="A38" s="888" t="s">
        <v>799</v>
      </c>
      <c r="B38" s="221" t="s">
        <v>2219</v>
      </c>
      <c r="C38" s="226">
        <f ca="1">ROUND(C34*F38,0)</f>
        <v>128</v>
      </c>
      <c r="D38" s="226"/>
      <c r="E38" s="226"/>
      <c r="F38" s="265">
        <f>'数据-取费表'!B36</f>
        <v>1.4999999999999999E-2</v>
      </c>
      <c r="G38" s="225" t="s">
        <v>2214</v>
      </c>
    </row>
    <row r="39" spans="1:7" s="220" customFormat="1" ht="13.5" customHeight="1">
      <c r="A39" s="261" t="s">
        <v>2220</v>
      </c>
      <c r="B39" s="216" t="s">
        <v>2221</v>
      </c>
      <c r="C39" s="238">
        <f ca="1">ROUND(C33*F20,0)</f>
        <v>198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519</v>
      </c>
      <c r="D42" s="244"/>
      <c r="E42" s="244"/>
      <c r="F42" s="245"/>
      <c r="G42" s="3732" t="s">
        <v>2230</v>
      </c>
    </row>
    <row r="43" spans="1:7" ht="13.5" customHeight="1">
      <c r="A43" s="888" t="s">
        <v>792</v>
      </c>
      <c r="B43" s="221" t="s">
        <v>2231</v>
      </c>
      <c r="C43" s="244">
        <f ca="1">ROUND(IF('数据-取费表'!B22&lt;=1,C39*F22*'数据-取费表'!B21/2,C39*(POWER((1+F22),'数据-取费表'!B21/2)-1)),0)</f>
        <v>10</v>
      </c>
      <c r="D43" s="244"/>
      <c r="E43" s="244"/>
      <c r="F43" s="245"/>
      <c r="G43" s="3733"/>
    </row>
    <row r="44" spans="1:7" ht="13.5" customHeight="1">
      <c r="A44" s="888" t="s">
        <v>793</v>
      </c>
      <c r="B44" s="221" t="s">
        <v>2232</v>
      </c>
      <c r="C44" s="244">
        <f ca="1">ROUND(IF('数据-取费表'!B22&lt;=1,C40*F22*'数据-取费表'!B21/2,C40*(POWER((1+F22),'数据-取费表'!B21/2)-1)),4)</f>
        <v>1.1000000000000001E-3</v>
      </c>
      <c r="D44" s="244"/>
      <c r="E44" s="244"/>
      <c r="F44" s="245"/>
      <c r="G44" s="3734"/>
    </row>
    <row r="45" spans="1:7" s="220" customFormat="1" ht="13.5" customHeight="1">
      <c r="A45" s="261" t="s">
        <v>2233</v>
      </c>
      <c r="B45" s="250" t="s">
        <v>2199</v>
      </c>
      <c r="C45" s="251">
        <f ca="1">C46</f>
        <v>1917</v>
      </c>
      <c r="D45" s="241">
        <f ca="1">C47</f>
        <v>3.8E-3</v>
      </c>
      <c r="E45" s="242" t="s">
        <v>2225</v>
      </c>
      <c r="F45" s="2537">
        <f ca="1">F27</f>
        <v>0.19</v>
      </c>
      <c r="G45" s="253" t="s">
        <v>2234</v>
      </c>
    </row>
    <row r="46" spans="1:7" s="220" customFormat="1" ht="13.5" customHeight="1">
      <c r="A46" s="888" t="s">
        <v>791</v>
      </c>
      <c r="B46" s="254" t="s">
        <v>2235</v>
      </c>
      <c r="C46" s="255">
        <f ca="1">ROUND((C33+C39)*F27,0)</f>
        <v>1917</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13596</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10877</v>
      </c>
      <c r="D51" s="238"/>
      <c r="E51" s="238"/>
      <c r="F51" s="270"/>
      <c r="G51" s="240" t="s">
        <v>2246</v>
      </c>
    </row>
    <row r="52" spans="1:7" s="214" customFormat="1" ht="16.5" thickBot="1">
      <c r="A52" s="271" t="s">
        <v>2247</v>
      </c>
      <c r="B52" s="272"/>
      <c r="C52" s="273">
        <f ca="1">C31+C51</f>
        <v>179557</v>
      </c>
      <c r="D52" s="272"/>
      <c r="E52" s="272"/>
      <c r="F52" s="272"/>
      <c r="G52" s="274"/>
    </row>
    <row r="55" spans="1:7" ht="15">
      <c r="B55" s="276" t="s">
        <v>2248</v>
      </c>
      <c r="C55" s="277"/>
    </row>
    <row r="56" spans="1:7">
      <c r="B56" s="279" t="s">
        <v>1478</v>
      </c>
      <c r="C56" s="281">
        <f ca="1">1-C57</f>
        <v>0.93900000000000006</v>
      </c>
    </row>
    <row r="57" spans="1:7">
      <c r="B57" s="279" t="s">
        <v>1479</v>
      </c>
      <c r="C57" s="280">
        <f ca="1">ROUND(C51/C52,3)</f>
        <v>6.0999999999999999E-2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13</v>
      </c>
      <c r="H1" s="1192" t="str">
        <f>IF(ISERROR(FIND("住宅",B1)),"非住宅","住宅")</f>
        <v>非住宅</v>
      </c>
    </row>
    <row r="2" spans="1:8" s="206" customFormat="1" ht="18" customHeight="1">
      <c r="A2" s="207" t="s">
        <v>2148</v>
      </c>
      <c r="B2" s="208">
        <f ca="1">ROUND(IF(D2="——",C52/10000,C52/10000-E2),0)</f>
        <v>13613</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2855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9537810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9537810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9537810</v>
      </c>
      <c r="D10" s="954">
        <f ca="1">IF(B1="",'数据-汇总表'!E6,IF(INDIRECT("'数据-取费表'!c"&amp;$G$1)="住宅",INDIRECT("'数据-取费表'!s"&amp;$G$1),INDIRECT("'数据-取费表'!k"&amp;$G$1)+INDIRECT("'数据-取费表'!s"&amp;$G$1)))</f>
        <v>47689.05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9537810</v>
      </c>
      <c r="D19" s="958">
        <f ca="1">D9+D10</f>
        <v>47689.05</v>
      </c>
      <c r="E19" s="217">
        <f>'数据-取费表'!B31</f>
        <v>200</v>
      </c>
      <c r="F19" s="237"/>
      <c r="G19" s="2042"/>
    </row>
    <row r="20" spans="1:7" s="220" customFormat="1" ht="13.5" customHeight="1">
      <c r="A20" s="261" t="s">
        <v>2260</v>
      </c>
      <c r="B20" s="216" t="s">
        <v>2261</v>
      </c>
      <c r="C20" s="238">
        <f ca="1">ROUND((C5+C19)*F20,0)</f>
        <v>381512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2075547</v>
      </c>
      <c r="D22" s="241">
        <f ca="1">C26</f>
        <v>1.1000000000000001E-3</v>
      </c>
      <c r="E22" s="242" t="s">
        <v>2265</v>
      </c>
      <c r="F22" s="243">
        <f ca="1">'数据-取费表'!B40</f>
        <v>5.2499999999999998E-2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1027759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1027759</v>
      </c>
      <c r="D24" s="244"/>
      <c r="E24" s="244"/>
      <c r="F24" s="245"/>
      <c r="G24" s="246" t="s">
        <v>2272</v>
      </c>
    </row>
    <row r="25" spans="1:7" s="220" customFormat="1" ht="24">
      <c r="A25" s="888" t="s">
        <v>2162</v>
      </c>
      <c r="B25" s="221" t="s">
        <v>2273</v>
      </c>
      <c r="C25" s="1290">
        <f ca="1">ROUND(IF('数据-取费表'!B22&lt;=1,C20*F22*'数据-取费表'!B22/2,C20*(POWER((1+F22),'数据-取费表'!B22/2)-1)),0)</f>
        <v>20029</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3696855</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ROUND((C5+C19+C20)*F27,0)</f>
        <v>3696855</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27369857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98883993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85498740</v>
      </c>
      <c r="D34" s="223"/>
      <c r="E34" s="226"/>
      <c r="F34" s="263"/>
      <c r="G34" s="225"/>
    </row>
    <row r="35" spans="1:7" ht="13.5" customHeight="1">
      <c r="A35" s="888" t="s">
        <v>796</v>
      </c>
      <c r="B35" s="221" t="s">
        <v>2213</v>
      </c>
      <c r="C35" s="226">
        <f ca="1">ROUND(C34*F35,0)</f>
        <v>2564962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9537810</v>
      </c>
      <c r="D37" s="223">
        <f ca="1">D19</f>
        <v>47689.05</v>
      </c>
      <c r="E37" s="255">
        <f>'数据-取费表'!B35</f>
        <v>200</v>
      </c>
      <c r="F37" s="265"/>
      <c r="G37" s="267"/>
    </row>
    <row r="38" spans="1:7" ht="13.5" customHeight="1">
      <c r="A38" s="888" t="s">
        <v>799</v>
      </c>
      <c r="B38" s="221" t="s">
        <v>2219</v>
      </c>
      <c r="C38" s="226">
        <f ca="1">ROUND(C34*F38,0)</f>
        <v>1282481</v>
      </c>
      <c r="D38" s="226"/>
      <c r="E38" s="226"/>
      <c r="F38" s="265">
        <f>'数据-取费表'!B36</f>
        <v>1.4999999999999999E-2</v>
      </c>
      <c r="G38" s="225" t="s">
        <v>2214</v>
      </c>
    </row>
    <row r="39" spans="1:7" s="220" customFormat="1" ht="13.5" customHeight="1">
      <c r="A39" s="261" t="s">
        <v>2220</v>
      </c>
      <c r="B39" s="216" t="s">
        <v>2221</v>
      </c>
      <c r="C39" s="238">
        <f ca="1">ROUND(C33*F20,0)</f>
        <v>1977680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5295238</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5191410</v>
      </c>
      <c r="D42" s="244"/>
      <c r="E42" s="244"/>
      <c r="F42" s="245"/>
      <c r="G42" s="3732" t="s">
        <v>2277</v>
      </c>
    </row>
    <row r="43" spans="1:7" ht="13.5" customHeight="1">
      <c r="A43" s="888" t="s">
        <v>792</v>
      </c>
      <c r="B43" s="221" t="s">
        <v>2231</v>
      </c>
      <c r="C43" s="244">
        <f ca="1">ROUND(IF('数据-取费表'!B22&lt;=1,C39*F22*'数据-取费表'!B20/2,C39*(POWER((1+F22),'数据-取费表'!B20/2)-1)),0)</f>
        <v>103828</v>
      </c>
      <c r="D43" s="244"/>
      <c r="E43" s="244"/>
      <c r="F43" s="245"/>
      <c r="G43" s="3733"/>
    </row>
    <row r="44" spans="1:7" ht="13.5" customHeight="1">
      <c r="A44" s="888" t="s">
        <v>793</v>
      </c>
      <c r="B44" s="221" t="s">
        <v>2232</v>
      </c>
      <c r="C44" s="244">
        <f ca="1">ROUND(IF('数据-取费表'!B22&lt;=1,C40*F22*'数据-取费表'!B20/2,C40*(POWER((1+F22),'数据-取费表'!B20/2)-1)),4)</f>
        <v>1.1000000000000001E-3</v>
      </c>
      <c r="D44" s="244"/>
      <c r="E44" s="244"/>
      <c r="F44" s="245"/>
      <c r="G44" s="3734"/>
    </row>
    <row r="45" spans="1:7" s="220" customFormat="1" ht="13.5" customHeight="1">
      <c r="A45" s="261" t="s">
        <v>2233</v>
      </c>
      <c r="B45" s="250" t="s">
        <v>2199</v>
      </c>
      <c r="C45" s="251">
        <f ca="1">C46</f>
        <v>19163718</v>
      </c>
      <c r="D45" s="241">
        <f ca="1">C47</f>
        <v>3.8E-3</v>
      </c>
      <c r="E45" s="242" t="s">
        <v>2225</v>
      </c>
      <c r="F45" s="2537">
        <f ca="1">F27</f>
        <v>0.19</v>
      </c>
      <c r="G45" s="253" t="s">
        <v>2234</v>
      </c>
    </row>
    <row r="46" spans="1:7" s="220" customFormat="1" ht="13.5" customHeight="1">
      <c r="A46" s="888" t="s">
        <v>791</v>
      </c>
      <c r="B46" s="254" t="s">
        <v>2235</v>
      </c>
      <c r="C46" s="255">
        <f ca="1">ROUND((C33+C39)*F27,0)</f>
        <v>19163718</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135952082</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108761666</v>
      </c>
      <c r="D51" s="238"/>
      <c r="E51" s="238"/>
      <c r="F51" s="270"/>
      <c r="G51" s="240" t="s">
        <v>2246</v>
      </c>
    </row>
    <row r="52" spans="1:7" s="214" customFormat="1" ht="16.5" thickBot="1">
      <c r="A52" s="271" t="s">
        <v>2247</v>
      </c>
      <c r="B52" s="272"/>
      <c r="C52" s="273">
        <f ca="1">C31+C51</f>
        <v>136131523</v>
      </c>
      <c r="D52" s="272"/>
      <c r="E52" s="272"/>
      <c r="F52" s="272"/>
      <c r="G52" s="274"/>
    </row>
    <row r="55" spans="1:7" ht="15">
      <c r="B55" s="276" t="s">
        <v>2248</v>
      </c>
      <c r="C55" s="277"/>
    </row>
    <row r="56" spans="1:7">
      <c r="B56" s="279" t="s">
        <v>1478</v>
      </c>
      <c r="C56" s="281">
        <f ca="1">1-C57</f>
        <v>0.20099999999999996</v>
      </c>
    </row>
    <row r="57" spans="1:7">
      <c r="B57" s="279" t="s">
        <v>1479</v>
      </c>
      <c r="C57" s="280">
        <f ca="1">ROUND(C51/C52,3)</f>
        <v>0.79900000000000004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topLeftCell="D1" zoomScaleNormal="70" zoomScaleSheetLayoutView="10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13</v>
      </c>
    </row>
    <row r="2" spans="1:33" ht="18" customHeight="1">
      <c r="A2" s="207" t="s">
        <v>2148</v>
      </c>
      <c r="B2" s="210">
        <f ca="1">C32</f>
        <v>-1125</v>
      </c>
      <c r="C2" s="282" t="s">
        <v>2281</v>
      </c>
      <c r="D2" s="282"/>
      <c r="E2" s="3035"/>
      <c r="F2" s="3035"/>
      <c r="G2" s="3035"/>
      <c r="H2" s="3035"/>
      <c r="I2" s="3035"/>
      <c r="J2" s="3035"/>
      <c r="K2" s="3035"/>
    </row>
    <row r="3" spans="1:33" ht="18" customHeight="1" thickBot="1">
      <c r="A3" s="209" t="s">
        <v>2150</v>
      </c>
      <c r="B3" s="210">
        <f ca="1">ROUND(B2*10000/IF(C1="",'数据-汇总表'!E3,INDIRECT("'数据-取费表'!K"&amp;$K$1)),0)</f>
        <v>-236</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5444.8200000000006</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47689.05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47689.05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954</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954</v>
      </c>
      <c r="D20" s="955">
        <f ca="1">IF(C1="",'数据-汇总表'!E6,IF(INDIRECT("'数据-取费表'!c"&amp;$K$1)="住宅",INDIRECT("'数据-取费表'!s"&amp;$K$1),INDIRECT("'数据-取费表'!k"&amp;$K$1)+INDIRECT("'数据-取费表'!s"&amp;$K$1)))</f>
        <v>47689.05</v>
      </c>
      <c r="E20" s="24">
        <f>'数据-取费表'!B28</f>
        <v>200</v>
      </c>
      <c r="F20" s="913"/>
      <c r="G20" s="15"/>
      <c r="H20" s="918"/>
      <c r="I20" s="918"/>
      <c r="J20" s="918"/>
      <c r="K20" s="919"/>
    </row>
    <row r="21" spans="1:33" s="912" customFormat="1" ht="13.5" customHeight="1">
      <c r="A21" s="898" t="s">
        <v>802</v>
      </c>
      <c r="B21" s="922" t="s">
        <v>2317</v>
      </c>
      <c r="C21" s="923">
        <f ca="1">C16+C17+C18</f>
        <v>954</v>
      </c>
      <c r="D21" s="924"/>
      <c r="E21" s="287"/>
      <c r="F21" s="287"/>
      <c r="G21" s="136" t="s">
        <v>2318</v>
      </c>
      <c r="H21" s="916"/>
      <c r="I21" s="916"/>
      <c r="J21" s="916"/>
      <c r="K21" s="917"/>
    </row>
    <row r="22" spans="1:33" s="912" customFormat="1" ht="13.5" customHeight="1">
      <c r="A22" s="898" t="s">
        <v>2290</v>
      </c>
      <c r="B22" s="922" t="s">
        <v>2319</v>
      </c>
      <c r="C22" s="923">
        <f ca="1">ROUND(C21*F22,0)</f>
        <v>19</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5.2499999999999998E-2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185</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185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-1125</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735" t="s">
        <v>1368</v>
      </c>
      <c r="C6" s="1206">
        <f ca="1">ROUND(F6*F8*F7*(1-F9),0)</f>
        <v>0</v>
      </c>
      <c r="D6" s="160" t="s">
        <v>2844</v>
      </c>
      <c r="E6" s="308" t="s">
        <v>1370</v>
      </c>
      <c r="F6" s="309">
        <f ca="1">INDIRECT("'数据-取费表'!u"&amp;$G$1)</f>
        <v>0</v>
      </c>
      <c r="G6" s="1568"/>
      <c r="H6" s="1201" t="s">
        <v>1003</v>
      </c>
      <c r="I6" s="3735" t="s">
        <v>1368</v>
      </c>
      <c r="J6" s="307">
        <f ca="1">ROUND(M6*M8*M7*(1-M9),0)</f>
        <v>0</v>
      </c>
      <c r="K6" s="1560" t="s">
        <v>2845</v>
      </c>
      <c r="L6" s="308" t="s">
        <v>1370</v>
      </c>
      <c r="M6" s="309">
        <f ca="1">INDIRECT("'数据-取费表'!z"&amp;$G$1)</f>
        <v>0</v>
      </c>
    </row>
    <row r="7" spans="1:37" ht="18" customHeight="1">
      <c r="A7" s="1205"/>
      <c r="B7" s="3736"/>
      <c r="C7" s="1207"/>
      <c r="D7" s="313"/>
      <c r="E7" s="1208" t="s">
        <v>1371</v>
      </c>
      <c r="F7" s="309">
        <f ca="1">IF(INDIRECT("'数据-取费表'!ah"&amp;$G$1)="",INDIRECT("'数据-取费表'!k"&amp;$G$1),INDIRECT("'数据-取费表'!ah"&amp;$G$1))</f>
        <v>0</v>
      </c>
      <c r="G7" s="1568"/>
      <c r="H7" s="310"/>
      <c r="I7" s="3736"/>
      <c r="J7" s="312"/>
      <c r="K7" s="313"/>
      <c r="L7" s="308" t="s">
        <v>1371</v>
      </c>
      <c r="M7" s="309">
        <f ca="1">F7</f>
        <v>0</v>
      </c>
    </row>
    <row r="8" spans="1:37" ht="18" customHeight="1">
      <c r="A8" s="310"/>
      <c r="B8" s="3736"/>
      <c r="C8" s="312"/>
      <c r="D8" s="313"/>
      <c r="E8" s="308" t="s">
        <v>1372</v>
      </c>
      <c r="F8" s="309">
        <f ca="1">INDIRECT("'数据-取费表'!ai"&amp;$G$1)</f>
        <v>0</v>
      </c>
      <c r="G8" s="1568"/>
      <c r="H8" s="310"/>
      <c r="I8" s="3736"/>
      <c r="J8" s="312"/>
      <c r="K8" s="313"/>
      <c r="L8" s="308" t="s">
        <v>1372</v>
      </c>
      <c r="M8" s="309">
        <f ca="1">INDIRECT("'数据-取费表'!ai"&amp;$G$1)</f>
        <v>0</v>
      </c>
    </row>
    <row r="9" spans="1:37" ht="18" customHeight="1">
      <c r="A9" s="310"/>
      <c r="B9" s="3737"/>
      <c r="C9" s="312"/>
      <c r="D9" s="313"/>
      <c r="E9" s="308" t="s">
        <v>1373</v>
      </c>
      <c r="F9" s="318">
        <f ca="1">INDIRECT("'数据-取费表'!w"&amp;$G$1)</f>
        <v>0</v>
      </c>
      <c r="G9" s="1568"/>
      <c r="H9" s="310"/>
      <c r="I9" s="373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738" t="s">
        <v>1513</v>
      </c>
      <c r="L53" s="373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30" priority="4">
      <formula>$L$48&gt;$J$51</formula>
    </cfRule>
  </conditionalFormatting>
  <conditionalFormatting sqref="I55 I60">
    <cfRule type="expression" dxfId="229" priority="5">
      <formula>$J$51&gt;$L$48</formula>
    </cfRule>
  </conditionalFormatting>
  <conditionalFormatting sqref="C11">
    <cfRule type="expression" dxfId="228" priority="3">
      <formula>$F$10="自定义"</formula>
    </cfRule>
  </conditionalFormatting>
  <conditionalFormatting sqref="J11">
    <cfRule type="expression" dxfId="227" priority="2">
      <formula>$M$10="自定义"</formula>
    </cfRule>
  </conditionalFormatting>
  <conditionalFormatting sqref="C54">
    <cfRule type="expression" dxfId="22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0</v>
      </c>
      <c r="C2" s="2058" t="s">
        <v>2340</v>
      </c>
      <c r="D2" s="2059" t="s">
        <v>2341</v>
      </c>
      <c r="E2" s="2831">
        <f>SUM(E6:E13)</f>
        <v>0</v>
      </c>
      <c r="F2" s="2934"/>
      <c r="G2" s="1674"/>
      <c r="H2" s="1674"/>
      <c r="I2" s="1674"/>
      <c r="J2" s="1674"/>
      <c r="K2" s="1674"/>
      <c r="L2" s="1674"/>
      <c r="M2" s="1674"/>
      <c r="N2" s="1674"/>
      <c r="O2" s="1674"/>
      <c r="P2" s="1674"/>
      <c r="Q2" s="1674"/>
      <c r="R2" s="1674"/>
      <c r="S2" s="1674"/>
    </row>
    <row r="3" spans="1:22" ht="15.75">
      <c r="A3" s="2056" t="s">
        <v>1360</v>
      </c>
      <c r="B3" s="2825" t="e">
        <f ca="1">ROUND(B2*10000/E2,0)</f>
        <v>#DIV/0!</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740" t="s">
        <v>2343</v>
      </c>
      <c r="C5" s="3741"/>
      <c r="D5" s="2935"/>
      <c r="E5" s="2060" t="s">
        <v>2344</v>
      </c>
      <c r="F5" s="2061" t="s">
        <v>2345</v>
      </c>
      <c r="G5" s="1674"/>
      <c r="H5" s="1674"/>
      <c r="I5" s="1674"/>
      <c r="J5" s="1674"/>
      <c r="K5" s="1674"/>
      <c r="L5" s="1674"/>
      <c r="M5" s="1674"/>
      <c r="N5" s="1674"/>
      <c r="O5" s="1674"/>
      <c r="P5" s="1674"/>
      <c r="Q5" s="1674"/>
      <c r="R5" s="1674"/>
      <c r="S5" s="1674"/>
    </row>
    <row r="6" spans="1:22">
      <c r="A6" s="2828">
        <f>'数据-取费表'!AN6</f>
        <v>0</v>
      </c>
      <c r="B6" s="2826" t="e">
        <f ca="1">IF(F6="是",'数据-取费表'!AO6,0)</f>
        <v>#REF!</v>
      </c>
      <c r="C6" s="2058" t="s">
        <v>2340</v>
      </c>
      <c r="D6" s="2936"/>
      <c r="E6" s="2830">
        <f>IF(OR(A6=0,F6="否"),0,'数据-取费表'!K6+'数据-取费表'!S6)</f>
        <v>0</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758" t="s">
        <v>1044</v>
      </c>
      <c r="B1" s="3759"/>
      <c r="C1" s="3760"/>
      <c r="D1" s="3761">
        <f>SUM(I10,I15,I20,I21,I23)</f>
        <v>0</v>
      </c>
      <c r="E1" s="3761"/>
      <c r="F1" s="3761"/>
      <c r="G1" s="3761"/>
      <c r="H1" s="3761"/>
      <c r="I1" s="3762"/>
    </row>
    <row r="2" spans="1:9">
      <c r="A2" s="3748" t="s">
        <v>1045</v>
      </c>
      <c r="B2" s="3749" t="s">
        <v>1046</v>
      </c>
      <c r="C2" s="3749"/>
      <c r="D2" s="1211" t="s">
        <v>1047</v>
      </c>
      <c r="E2" s="1211" t="s">
        <v>1048</v>
      </c>
      <c r="F2" s="1211" t="s">
        <v>1049</v>
      </c>
      <c r="G2" s="1211" t="s">
        <v>1050</v>
      </c>
      <c r="H2" s="1211" t="s">
        <v>1051</v>
      </c>
      <c r="I2" s="1212" t="s">
        <v>1052</v>
      </c>
    </row>
    <row r="3" spans="1:9">
      <c r="A3" s="3748"/>
      <c r="B3" s="3749" t="s">
        <v>1053</v>
      </c>
      <c r="C3" s="3749"/>
      <c r="D3" s="1213"/>
      <c r="E3" s="1211"/>
      <c r="F3" s="1214"/>
      <c r="G3" s="1214"/>
      <c r="H3" s="1215"/>
      <c r="I3" s="1216">
        <f>ROUND(D3*E3*F3*G3*H3/10000,0)</f>
        <v>0</v>
      </c>
    </row>
    <row r="4" spans="1:9">
      <c r="A4" s="3748"/>
      <c r="B4" s="3749" t="s">
        <v>1054</v>
      </c>
      <c r="C4" s="3749"/>
      <c r="D4" s="1213"/>
      <c r="E4" s="1211"/>
      <c r="F4" s="1214"/>
      <c r="G4" s="1214"/>
      <c r="H4" s="1215"/>
      <c r="I4" s="1216">
        <f t="shared" ref="I4:I9" si="0">ROUND(D4*E4*F4*G4*H4/10000,0)</f>
        <v>0</v>
      </c>
    </row>
    <row r="5" spans="1:9">
      <c r="A5" s="3748"/>
      <c r="B5" s="3749" t="s">
        <v>1055</v>
      </c>
      <c r="C5" s="3749"/>
      <c r="D5" s="1213"/>
      <c r="E5" s="1211"/>
      <c r="F5" s="1214"/>
      <c r="G5" s="1214"/>
      <c r="H5" s="1215"/>
      <c r="I5" s="1216">
        <f t="shared" si="0"/>
        <v>0</v>
      </c>
    </row>
    <row r="6" spans="1:9">
      <c r="A6" s="3748"/>
      <c r="B6" s="3749" t="s">
        <v>1056</v>
      </c>
      <c r="C6" s="3749"/>
      <c r="D6" s="1213"/>
      <c r="E6" s="1211"/>
      <c r="F6" s="1214"/>
      <c r="G6" s="1214"/>
      <c r="H6" s="1215"/>
      <c r="I6" s="1216">
        <f t="shared" si="0"/>
        <v>0</v>
      </c>
    </row>
    <row r="7" spans="1:9">
      <c r="A7" s="3748"/>
      <c r="B7" s="3749" t="s">
        <v>1057</v>
      </c>
      <c r="C7" s="3749"/>
      <c r="D7" s="1213"/>
      <c r="E7" s="1211"/>
      <c r="F7" s="1214"/>
      <c r="G7" s="1214"/>
      <c r="H7" s="1215"/>
      <c r="I7" s="1216">
        <f t="shared" si="0"/>
        <v>0</v>
      </c>
    </row>
    <row r="8" spans="1:9">
      <c r="A8" s="3748"/>
      <c r="B8" s="3749" t="s">
        <v>1058</v>
      </c>
      <c r="C8" s="3749"/>
      <c r="D8" s="1213"/>
      <c r="E8" s="1211"/>
      <c r="F8" s="1214"/>
      <c r="G8" s="1214"/>
      <c r="H8" s="1215"/>
      <c r="I8" s="1216">
        <f t="shared" si="0"/>
        <v>0</v>
      </c>
    </row>
    <row r="9" spans="1:9">
      <c r="A9" s="3748"/>
      <c r="B9" s="3749" t="s">
        <v>1059</v>
      </c>
      <c r="C9" s="3749"/>
      <c r="D9" s="1213"/>
      <c r="E9" s="1211"/>
      <c r="F9" s="1214"/>
      <c r="G9" s="1214"/>
      <c r="H9" s="1215"/>
      <c r="I9" s="1216">
        <f t="shared" si="0"/>
        <v>0</v>
      </c>
    </row>
    <row r="10" spans="1:9">
      <c r="A10" s="3748"/>
      <c r="B10" s="3750" t="s">
        <v>1060</v>
      </c>
      <c r="C10" s="3750"/>
      <c r="D10" s="1217"/>
      <c r="E10" s="1217" t="e">
        <f>ROUND(D1*10000/D10/H9,0)</f>
        <v>#DIV/0!</v>
      </c>
      <c r="F10" s="1218"/>
      <c r="G10" s="1218"/>
      <c r="H10" s="1219"/>
      <c r="I10" s="1220">
        <f>SUM(I3:I9)</f>
        <v>0</v>
      </c>
    </row>
    <row r="11" spans="1:9" ht="14.25">
      <c r="A11" s="3748" t="s">
        <v>1061</v>
      </c>
      <c r="B11" s="3749" t="s">
        <v>1062</v>
      </c>
      <c r="C11" s="3749"/>
      <c r="D11" s="1213" t="s">
        <v>1063</v>
      </c>
      <c r="E11" s="1213" t="s">
        <v>1064</v>
      </c>
      <c r="F11" s="1214" t="s">
        <v>1065</v>
      </c>
      <c r="G11" s="1214" t="s">
        <v>1051</v>
      </c>
      <c r="H11" s="1221" t="s">
        <v>1066</v>
      </c>
      <c r="I11" s="1212" t="s">
        <v>1052</v>
      </c>
    </row>
    <row r="12" spans="1:9">
      <c r="A12" s="3748"/>
      <c r="B12" s="3749" t="s">
        <v>1067</v>
      </c>
      <c r="C12" s="3749"/>
      <c r="D12" s="1213"/>
      <c r="E12" s="1213"/>
      <c r="F12" s="1214"/>
      <c r="G12" s="1215"/>
      <c r="H12" s="1222"/>
      <c r="I12" s="1212">
        <f>ROUND(D12*E12*F12*G12/10000,0)</f>
        <v>0</v>
      </c>
    </row>
    <row r="13" spans="1:9">
      <c r="A13" s="3748"/>
      <c r="B13" s="3749" t="s">
        <v>1068</v>
      </c>
      <c r="C13" s="3749"/>
      <c r="D13" s="1213"/>
      <c r="E13" s="1213"/>
      <c r="F13" s="1214"/>
      <c r="G13" s="1215"/>
      <c r="H13" s="1222"/>
      <c r="I13" s="1212">
        <f>ROUND(D13*E13*F13*G13/10000,0)</f>
        <v>0</v>
      </c>
    </row>
    <row r="14" spans="1:9">
      <c r="A14" s="3748"/>
      <c r="B14" s="3749" t="s">
        <v>1069</v>
      </c>
      <c r="C14" s="3749"/>
      <c r="D14" s="1213"/>
      <c r="E14" s="1213"/>
      <c r="F14" s="1214"/>
      <c r="G14" s="1215"/>
      <c r="H14" s="1222"/>
      <c r="I14" s="1212">
        <f>ROUND(D14*E14*F14*G14/10000,0)</f>
        <v>0</v>
      </c>
    </row>
    <row r="15" spans="1:9">
      <c r="A15" s="3748"/>
      <c r="B15" s="3750" t="s">
        <v>1060</v>
      </c>
      <c r="C15" s="3750"/>
      <c r="D15" s="1217"/>
      <c r="E15" s="1217">
        <f>SUM(E12:E14)</f>
        <v>0</v>
      </c>
      <c r="F15" s="1218"/>
      <c r="G15" s="1215"/>
      <c r="H15" s="1222"/>
      <c r="I15" s="1223">
        <f>SUM(I12:I14)</f>
        <v>0</v>
      </c>
    </row>
    <row r="16" spans="1:9" ht="24">
      <c r="A16" s="3748" t="s">
        <v>1070</v>
      </c>
      <c r="B16" s="3749" t="s">
        <v>1071</v>
      </c>
      <c r="C16" s="3749"/>
      <c r="D16" s="1213" t="s">
        <v>1047</v>
      </c>
      <c r="E16" s="1224" t="s">
        <v>1072</v>
      </c>
      <c r="F16" s="1214" t="s">
        <v>1073</v>
      </c>
      <c r="G16" s="1215" t="s">
        <v>1051</v>
      </c>
      <c r="H16" s="1221" t="s">
        <v>1066</v>
      </c>
      <c r="I16" s="1212" t="s">
        <v>1052</v>
      </c>
    </row>
    <row r="17" spans="1:9" ht="14.25">
      <c r="A17" s="3748"/>
      <c r="B17" s="3749" t="s">
        <v>1074</v>
      </c>
      <c r="C17" s="3749"/>
      <c r="D17" s="1213"/>
      <c r="E17" s="1213"/>
      <c r="F17" s="1214"/>
      <c r="G17" s="1215"/>
      <c r="H17" s="1225"/>
      <c r="I17" s="1226">
        <f>ROUND(D17*E17*F17*G17/10000,0)</f>
        <v>0</v>
      </c>
    </row>
    <row r="18" spans="1:9" ht="14.25">
      <c r="A18" s="3748"/>
      <c r="B18" s="3749" t="s">
        <v>1075</v>
      </c>
      <c r="C18" s="3749"/>
      <c r="D18" s="1213"/>
      <c r="E18" s="1213"/>
      <c r="F18" s="1214"/>
      <c r="G18" s="1215"/>
      <c r="H18" s="1225"/>
      <c r="I18" s="1226">
        <f>ROUND(D18*E18*F18*G18/10000,0)</f>
        <v>0</v>
      </c>
    </row>
    <row r="19" spans="1:9" ht="14.25">
      <c r="A19" s="3748"/>
      <c r="B19" s="3749" t="s">
        <v>1076</v>
      </c>
      <c r="C19" s="3749"/>
      <c r="D19" s="1213"/>
      <c r="E19" s="1213"/>
      <c r="F19" s="1214"/>
      <c r="G19" s="1215"/>
      <c r="H19" s="1225"/>
      <c r="I19" s="1226">
        <f>ROUND(D19*E19*F19*G19/10000,0)</f>
        <v>0</v>
      </c>
    </row>
    <row r="20" spans="1:9">
      <c r="A20" s="3748"/>
      <c r="B20" s="3750" t="s">
        <v>1060</v>
      </c>
      <c r="C20" s="3750"/>
      <c r="D20" s="1217">
        <f>SUM(D17:D19)</f>
        <v>0</v>
      </c>
      <c r="E20" s="1217"/>
      <c r="F20" s="1218"/>
      <c r="G20" s="1215"/>
      <c r="H20" s="1222"/>
      <c r="I20" s="1223">
        <f>SUM(I17:I19)</f>
        <v>0</v>
      </c>
    </row>
    <row r="21" spans="1:9">
      <c r="A21" s="3748" t="s">
        <v>1077</v>
      </c>
      <c r="B21" s="3751"/>
      <c r="C21" s="3751"/>
      <c r="D21" s="3751"/>
      <c r="E21" s="3751"/>
      <c r="F21" s="3751"/>
      <c r="G21" s="3751"/>
      <c r="H21" s="1502">
        <v>0.1</v>
      </c>
      <c r="I21" s="1220">
        <f>ROUND(I10*H21,0)</f>
        <v>0</v>
      </c>
    </row>
    <row r="22" spans="1:9" ht="14.25">
      <c r="A22" s="3752" t="s">
        <v>1078</v>
      </c>
      <c r="B22" s="3753"/>
      <c r="C22" s="3754"/>
      <c r="D22" s="1227" t="s">
        <v>1079</v>
      </c>
      <c r="E22" s="1227" t="s">
        <v>1080</v>
      </c>
      <c r="F22" s="1228" t="s">
        <v>1081</v>
      </c>
      <c r="G22" s="1228" t="s">
        <v>1082</v>
      </c>
      <c r="H22" s="1221" t="s">
        <v>1083</v>
      </c>
      <c r="I22" s="1212" t="s">
        <v>1084</v>
      </c>
    </row>
    <row r="23" spans="1:9" ht="14.25" thickBot="1">
      <c r="A23" s="3755"/>
      <c r="B23" s="3756"/>
      <c r="C23" s="3757"/>
      <c r="D23" s="1229"/>
      <c r="E23" s="1229"/>
      <c r="F23" s="1229"/>
      <c r="G23" s="1230"/>
      <c r="H23" s="1231"/>
      <c r="I23" s="1232">
        <f>ROUND(E23*D23*F23*(1-G23)/10000,0)</f>
        <v>0</v>
      </c>
    </row>
    <row r="26" spans="1:9">
      <c r="A26" s="1233" t="s">
        <v>1085</v>
      </c>
      <c r="B26" s="1233"/>
      <c r="C26" s="1233"/>
      <c r="D26" s="1233"/>
      <c r="E26" s="3745">
        <f>C27-C30-C31-C32</f>
        <v>0</v>
      </c>
      <c r="F26" s="3745"/>
      <c r="G26" s="3745"/>
      <c r="H26" s="1499" t="s">
        <v>1306</v>
      </c>
    </row>
    <row r="27" spans="1:9">
      <c r="A27" s="1234">
        <v>1</v>
      </c>
      <c r="B27" s="1235" t="s">
        <v>1086</v>
      </c>
      <c r="C27" s="1235">
        <f>C28+C29</f>
        <v>0</v>
      </c>
      <c r="D27" s="1235"/>
      <c r="E27" s="3746"/>
      <c r="F27" s="3746"/>
      <c r="G27" s="3746"/>
    </row>
    <row r="28" spans="1:9">
      <c r="A28" s="1236" t="s">
        <v>1087</v>
      </c>
      <c r="B28" s="1235" t="s">
        <v>1088</v>
      </c>
      <c r="C28" s="1235"/>
      <c r="D28" s="1235"/>
      <c r="E28" s="3746"/>
      <c r="F28" s="3746"/>
      <c r="G28" s="374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747"/>
      <c r="F32" s="3747"/>
      <c r="G32" s="3747"/>
    </row>
    <row r="33" spans="1:7" hidden="1">
      <c r="A33" s="3742" t="s">
        <v>1097</v>
      </c>
      <c r="B33" s="3743"/>
      <c r="C33" s="3743"/>
      <c r="D33" s="3744"/>
      <c r="E33" s="3745"/>
      <c r="F33" s="3745"/>
      <c r="G33" s="3745"/>
    </row>
    <row r="34" spans="1:7" hidden="1">
      <c r="A34" s="1238">
        <v>1</v>
      </c>
      <c r="B34" s="1235" t="s">
        <v>1098</v>
      </c>
      <c r="C34" s="1235"/>
      <c r="D34" s="1235"/>
      <c r="E34" s="3746"/>
      <c r="F34" s="3746"/>
      <c r="G34" s="3746"/>
    </row>
    <row r="35" spans="1:7" hidden="1">
      <c r="A35" s="1238">
        <v>2</v>
      </c>
      <c r="B35" s="1235" t="s">
        <v>1099</v>
      </c>
      <c r="C35" s="1235"/>
      <c r="D35" s="1235"/>
      <c r="E35" s="3746"/>
      <c r="F35" s="3746"/>
      <c r="G35" s="3746"/>
    </row>
    <row r="36" spans="1:7" hidden="1">
      <c r="A36" s="1238">
        <v>3</v>
      </c>
      <c r="B36" s="1235" t="s">
        <v>1100</v>
      </c>
      <c r="C36" s="1235"/>
      <c r="D36" s="1235"/>
      <c r="E36" s="3746"/>
      <c r="F36" s="3746"/>
      <c r="G36" s="3746"/>
    </row>
    <row r="37" spans="1:7" hidden="1">
      <c r="A37" s="1238">
        <v>4</v>
      </c>
      <c r="B37" s="1235" t="s">
        <v>1101</v>
      </c>
      <c r="C37" s="1235"/>
      <c r="D37" s="1235"/>
      <c r="E37" s="3746"/>
      <c r="F37" s="3746"/>
      <c r="G37" s="3746"/>
    </row>
    <row r="38" spans="1:7" hidden="1">
      <c r="A38" s="3742" t="s">
        <v>1102</v>
      </c>
      <c r="B38" s="3743"/>
      <c r="C38" s="3743"/>
      <c r="D38" s="3744"/>
      <c r="E38" s="3745"/>
      <c r="F38" s="3745"/>
      <c r="G38" s="37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47689.05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781" t="s">
        <v>2357</v>
      </c>
      <c r="D4" s="3782"/>
      <c r="E4" s="3783" t="s">
        <v>2358</v>
      </c>
      <c r="F4" s="3784"/>
      <c r="G4" s="3781" t="s">
        <v>2359</v>
      </c>
      <c r="H4" s="3782"/>
      <c r="I4" s="3781" t="s">
        <v>2360</v>
      </c>
      <c r="J4" s="3782"/>
      <c r="K4" s="2075" t="s">
        <v>2361</v>
      </c>
      <c r="L4" s="2942"/>
      <c r="M4" s="2943"/>
      <c r="N4" s="2943"/>
      <c r="O4" s="2943"/>
      <c r="P4" s="3785" t="s">
        <v>2362</v>
      </c>
      <c r="Q4" s="3786"/>
      <c r="R4" s="3791" t="s">
        <v>2358</v>
      </c>
      <c r="S4" s="3792"/>
      <c r="T4" s="3791" t="s">
        <v>2359</v>
      </c>
      <c r="U4" s="3792"/>
      <c r="V4" s="3797" t="s">
        <v>2360</v>
      </c>
      <c r="W4" s="3797"/>
      <c r="X4" s="1539"/>
      <c r="Y4" s="3791" t="s">
        <v>2362</v>
      </c>
      <c r="Z4" s="3792"/>
      <c r="AA4" s="3778" t="s">
        <v>2358</v>
      </c>
      <c r="AB4" s="3778" t="s">
        <v>2359</v>
      </c>
      <c r="AC4" s="3778" t="s">
        <v>2360</v>
      </c>
    </row>
    <row r="5" spans="1:29" ht="15">
      <c r="A5" s="364"/>
      <c r="B5" s="365"/>
      <c r="C5" s="3800" t="s">
        <v>2363</v>
      </c>
      <c r="D5" s="3801"/>
      <c r="E5" s="3807" t="s">
        <v>2364</v>
      </c>
      <c r="F5" s="3808"/>
      <c r="G5" s="3800" t="s">
        <v>2365</v>
      </c>
      <c r="H5" s="3801"/>
      <c r="I5" s="3800" t="s">
        <v>2366</v>
      </c>
      <c r="J5" s="3801"/>
      <c r="K5" s="2076"/>
      <c r="L5" s="2942"/>
      <c r="M5" s="2943"/>
      <c r="N5" s="2943"/>
      <c r="O5" s="2943"/>
      <c r="P5" s="3787"/>
      <c r="Q5" s="3788"/>
      <c r="R5" s="3793"/>
      <c r="S5" s="3794"/>
      <c r="T5" s="3793"/>
      <c r="U5" s="3794"/>
      <c r="V5" s="3797"/>
      <c r="W5" s="3797"/>
      <c r="X5" s="1539"/>
      <c r="Y5" s="3793"/>
      <c r="Z5" s="3794"/>
      <c r="AA5" s="3779"/>
      <c r="AB5" s="3779"/>
      <c r="AC5" s="3779"/>
    </row>
    <row r="6" spans="1:29" ht="15.75" thickBot="1">
      <c r="A6" s="366"/>
      <c r="B6" s="367"/>
      <c r="C6" s="3798" t="s">
        <v>2367</v>
      </c>
      <c r="D6" s="3799"/>
      <c r="E6" s="3805" t="s">
        <v>2367</v>
      </c>
      <c r="F6" s="3806"/>
      <c r="G6" s="3798" t="s">
        <v>2367</v>
      </c>
      <c r="H6" s="3799"/>
      <c r="I6" s="3798" t="s">
        <v>2367</v>
      </c>
      <c r="J6" s="3799"/>
      <c r="K6" s="2076" t="s">
        <v>2368</v>
      </c>
      <c r="L6" s="2942"/>
      <c r="M6" s="2943"/>
      <c r="N6" s="2943"/>
      <c r="O6" s="2943"/>
      <c r="P6" s="3789"/>
      <c r="Q6" s="3790"/>
      <c r="R6" s="3793"/>
      <c r="S6" s="3794"/>
      <c r="T6" s="3795"/>
      <c r="U6" s="3796"/>
      <c r="V6" s="3797"/>
      <c r="W6" s="3797"/>
      <c r="X6" s="1539"/>
      <c r="Y6" s="3795"/>
      <c r="Z6" s="3796"/>
      <c r="AA6" s="3780"/>
      <c r="AB6" s="3780"/>
      <c r="AC6" s="3780"/>
    </row>
    <row r="7" spans="1:29" s="113" customFormat="1" ht="15.75" thickBot="1">
      <c r="A7" s="368" t="s">
        <v>2369</v>
      </c>
      <c r="B7" s="369"/>
      <c r="C7" s="370">
        <f>'数据-取费表'!B2</f>
        <v>42914</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802" t="s">
        <v>2370</v>
      </c>
      <c r="Q7" s="3804"/>
      <c r="R7" s="710" t="s">
        <v>23</v>
      </c>
      <c r="S7" s="711">
        <f t="shared" ref="S7:S15" si="0">F7</f>
        <v>0</v>
      </c>
      <c r="T7" s="710" t="s">
        <v>23</v>
      </c>
      <c r="U7" s="711">
        <f t="shared" ref="U7:U15" si="1">H7</f>
        <v>0</v>
      </c>
      <c r="V7" s="710" t="s">
        <v>23</v>
      </c>
      <c r="W7" s="711">
        <f t="shared" ref="W7:W15" si="2">J7</f>
        <v>0</v>
      </c>
      <c r="X7" s="712"/>
      <c r="Y7" s="3802" t="s">
        <v>2370</v>
      </c>
      <c r="Z7" s="380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802" t="s">
        <v>2373</v>
      </c>
      <c r="Q8" s="3803"/>
      <c r="R8" s="710" t="s">
        <v>23</v>
      </c>
      <c r="S8" s="711">
        <f t="shared" si="0"/>
        <v>0</v>
      </c>
      <c r="T8" s="710" t="s">
        <v>23</v>
      </c>
      <c r="U8" s="711">
        <f t="shared" si="1"/>
        <v>0</v>
      </c>
      <c r="V8" s="710" t="s">
        <v>23</v>
      </c>
      <c r="W8" s="711">
        <f t="shared" si="2"/>
        <v>0</v>
      </c>
      <c r="X8" s="712"/>
      <c r="Y8" s="3802" t="s">
        <v>2373</v>
      </c>
      <c r="Z8" s="380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777" t="s">
        <v>2376</v>
      </c>
      <c r="Q9" s="1527" t="str">
        <f t="shared" ref="Q9:Q15" si="6">B9</f>
        <v>用途</v>
      </c>
      <c r="R9" s="710" t="s">
        <v>17</v>
      </c>
      <c r="S9" s="711">
        <f t="shared" si="0"/>
        <v>100</v>
      </c>
      <c r="T9" s="710" t="s">
        <v>17</v>
      </c>
      <c r="U9" s="711">
        <f t="shared" si="1"/>
        <v>100</v>
      </c>
      <c r="V9" s="710" t="s">
        <v>17</v>
      </c>
      <c r="W9" s="711">
        <f t="shared" si="2"/>
        <v>100</v>
      </c>
      <c r="X9" s="712"/>
      <c r="Y9" s="363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777"/>
      <c r="Q10" s="1527" t="str">
        <f t="shared" si="6"/>
        <v>土地使用年限（年）</v>
      </c>
      <c r="R10" s="710" t="s">
        <v>17</v>
      </c>
      <c r="S10" s="711">
        <f t="shared" si="0"/>
        <v>100</v>
      </c>
      <c r="T10" s="710" t="s">
        <v>17</v>
      </c>
      <c r="U10" s="711">
        <f t="shared" si="1"/>
        <v>100</v>
      </c>
      <c r="V10" s="710" t="s">
        <v>17</v>
      </c>
      <c r="W10" s="711">
        <f t="shared" si="2"/>
        <v>100</v>
      </c>
      <c r="X10" s="712"/>
      <c r="Y10" s="363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777"/>
      <c r="Q11" s="1527" t="str">
        <f t="shared" si="6"/>
        <v>容积率</v>
      </c>
      <c r="R11" s="710" t="s">
        <v>21</v>
      </c>
      <c r="S11" s="711" t="e">
        <f t="shared" si="0"/>
        <v>#N/A</v>
      </c>
      <c r="T11" s="710" t="s">
        <v>21</v>
      </c>
      <c r="U11" s="711" t="e">
        <f t="shared" si="1"/>
        <v>#N/A</v>
      </c>
      <c r="V11" s="710" t="s">
        <v>21</v>
      </c>
      <c r="W11" s="711" t="e">
        <f t="shared" si="2"/>
        <v>#N/A</v>
      </c>
      <c r="X11" s="712"/>
      <c r="Y11" s="363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777"/>
      <c r="Q12" s="1527">
        <f t="shared" si="6"/>
        <v>111</v>
      </c>
      <c r="R12" s="710" t="s">
        <v>21</v>
      </c>
      <c r="S12" s="711">
        <f t="shared" si="0"/>
        <v>100</v>
      </c>
      <c r="T12" s="710" t="s">
        <v>21</v>
      </c>
      <c r="U12" s="711">
        <f t="shared" si="1"/>
        <v>100</v>
      </c>
      <c r="V12" s="710" t="s">
        <v>21</v>
      </c>
      <c r="W12" s="711">
        <f t="shared" si="2"/>
        <v>100</v>
      </c>
      <c r="X12" s="712"/>
      <c r="Y12" s="363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777"/>
      <c r="Q13" s="1527">
        <f t="shared" si="6"/>
        <v>111</v>
      </c>
      <c r="R13" s="710" t="s">
        <v>21</v>
      </c>
      <c r="S13" s="711">
        <f t="shared" si="0"/>
        <v>100</v>
      </c>
      <c r="T13" s="710" t="s">
        <v>21</v>
      </c>
      <c r="U13" s="711">
        <f t="shared" si="1"/>
        <v>100</v>
      </c>
      <c r="V13" s="710" t="s">
        <v>21</v>
      </c>
      <c r="W13" s="711">
        <f t="shared" si="2"/>
        <v>100</v>
      </c>
      <c r="X13" s="712"/>
      <c r="Y13" s="363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777"/>
      <c r="Q14" s="1527">
        <f t="shared" si="6"/>
        <v>111</v>
      </c>
      <c r="R14" s="710" t="s">
        <v>21</v>
      </c>
      <c r="S14" s="711">
        <f t="shared" si="0"/>
        <v>100</v>
      </c>
      <c r="T14" s="710" t="s">
        <v>21</v>
      </c>
      <c r="U14" s="711">
        <f t="shared" si="1"/>
        <v>100</v>
      </c>
      <c r="V14" s="710" t="s">
        <v>21</v>
      </c>
      <c r="W14" s="711">
        <f t="shared" si="2"/>
        <v>100</v>
      </c>
      <c r="X14" s="712"/>
      <c r="Y14" s="363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775" t="s">
        <v>2381</v>
      </c>
      <c r="Q15" s="1536" t="str">
        <f t="shared" si="6"/>
        <v>居住社区成熟度</v>
      </c>
      <c r="R15" s="714" t="s">
        <v>21</v>
      </c>
      <c r="S15" s="715">
        <f t="shared" si="0"/>
        <v>100</v>
      </c>
      <c r="T15" s="714" t="s">
        <v>21</v>
      </c>
      <c r="U15" s="715">
        <f t="shared" si="1"/>
        <v>100</v>
      </c>
      <c r="V15" s="714" t="s">
        <v>21</v>
      </c>
      <c r="W15" s="715">
        <f t="shared" si="2"/>
        <v>100</v>
      </c>
      <c r="X15" s="1539"/>
      <c r="Y15" s="376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776"/>
      <c r="Q16" s="1536"/>
      <c r="R16" s="714"/>
      <c r="S16" s="715"/>
      <c r="T16" s="714"/>
      <c r="U16" s="715"/>
      <c r="V16" s="714"/>
      <c r="W16" s="715"/>
      <c r="X16" s="1539"/>
      <c r="Y16" s="3769"/>
      <c r="Z16" s="1540"/>
      <c r="AA16" s="1537">
        <v>1</v>
      </c>
      <c r="AB16" s="1537">
        <v>1</v>
      </c>
      <c r="AC16" s="1537">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776"/>
      <c r="Q17" s="1536" t="str">
        <f>B17</f>
        <v>交通便捷度</v>
      </c>
      <c r="R17" s="714" t="s">
        <v>21</v>
      </c>
      <c r="S17" s="715">
        <f>F17</f>
        <v>100</v>
      </c>
      <c r="T17" s="714" t="s">
        <v>21</v>
      </c>
      <c r="U17" s="715">
        <f>H17</f>
        <v>100</v>
      </c>
      <c r="V17" s="714" t="s">
        <v>21</v>
      </c>
      <c r="W17" s="715">
        <f>J17</f>
        <v>100</v>
      </c>
      <c r="X17" s="1539"/>
      <c r="Y17" s="376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776"/>
      <c r="Q18" s="1536"/>
      <c r="R18" s="714"/>
      <c r="S18" s="715"/>
      <c r="T18" s="714"/>
      <c r="U18" s="715"/>
      <c r="V18" s="714"/>
      <c r="W18" s="715"/>
      <c r="X18" s="1539"/>
      <c r="Y18" s="3769"/>
      <c r="Z18" s="1540"/>
      <c r="AA18" s="1537">
        <v>1</v>
      </c>
      <c r="AB18" s="1537">
        <v>1</v>
      </c>
      <c r="AC18" s="1537">
        <v>1</v>
      </c>
    </row>
    <row r="19" spans="1:29" ht="285">
      <c r="A19" s="387"/>
      <c r="B19" s="410" t="s">
        <v>1944</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776"/>
      <c r="Q19" s="1536" t="str">
        <f>B19</f>
        <v>公共配套设施</v>
      </c>
      <c r="R19" s="714" t="s">
        <v>21</v>
      </c>
      <c r="S19" s="715">
        <f>F19</f>
        <v>100</v>
      </c>
      <c r="T19" s="714" t="s">
        <v>21</v>
      </c>
      <c r="U19" s="715">
        <f>H19</f>
        <v>100</v>
      </c>
      <c r="V19" s="714" t="s">
        <v>21</v>
      </c>
      <c r="W19" s="715">
        <f>J19</f>
        <v>100</v>
      </c>
      <c r="X19" s="1539"/>
      <c r="Y19" s="376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776"/>
      <c r="Q20" s="1536"/>
      <c r="R20" s="714"/>
      <c r="S20" s="715"/>
      <c r="T20" s="714"/>
      <c r="U20" s="715"/>
      <c r="V20" s="714"/>
      <c r="W20" s="715"/>
      <c r="X20" s="1539"/>
      <c r="Y20" s="3769"/>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776"/>
      <c r="Q21" s="1536" t="str">
        <f>B21</f>
        <v>基础设施水平</v>
      </c>
      <c r="R21" s="714" t="s">
        <v>17</v>
      </c>
      <c r="S21" s="715">
        <f>F21</f>
        <v>100</v>
      </c>
      <c r="T21" s="714" t="s">
        <v>17</v>
      </c>
      <c r="U21" s="715">
        <f>H21</f>
        <v>100</v>
      </c>
      <c r="V21" s="714" t="s">
        <v>17</v>
      </c>
      <c r="W21" s="715">
        <f>J21</f>
        <v>100</v>
      </c>
      <c r="X21" s="1539"/>
      <c r="Y21" s="3769"/>
      <c r="Z21" s="1540" t="str">
        <f>Q21</f>
        <v>基础设施水平</v>
      </c>
      <c r="AA21" s="1537">
        <f>D21/F21</f>
        <v>1</v>
      </c>
      <c r="AB21" s="1537">
        <f>D21/H21</f>
        <v>1</v>
      </c>
      <c r="AC21" s="1537">
        <f>D21/J21</f>
        <v>1</v>
      </c>
    </row>
    <row r="22" spans="1:29" ht="15">
      <c r="A22" s="387"/>
      <c r="B22" s="1293"/>
      <c r="C22" s="2087"/>
      <c r="D22" s="407"/>
      <c r="E22" s="406"/>
      <c r="F22" s="407"/>
      <c r="G22" s="2090"/>
      <c r="H22" s="407"/>
      <c r="I22" s="406"/>
      <c r="J22" s="407"/>
      <c r="K22" s="2091"/>
      <c r="L22" s="2949"/>
      <c r="M22" s="2943"/>
      <c r="N22" s="2943"/>
      <c r="O22" s="2943"/>
      <c r="P22" s="3776"/>
      <c r="Q22" s="1536"/>
      <c r="R22" s="714"/>
      <c r="S22" s="715"/>
      <c r="T22" s="714"/>
      <c r="U22" s="715"/>
      <c r="V22" s="714"/>
      <c r="W22" s="715"/>
      <c r="X22" s="1539"/>
      <c r="Y22" s="3769"/>
      <c r="Z22" s="1540"/>
      <c r="AA22" s="1537">
        <v>1</v>
      </c>
      <c r="AB22" s="1537">
        <v>1</v>
      </c>
      <c r="AC22" s="1537">
        <v>1</v>
      </c>
    </row>
    <row r="23" spans="1:29" ht="57">
      <c r="A23" s="387"/>
      <c r="B23" s="410" t="s">
        <v>1947</v>
      </c>
      <c r="C23" s="2086" t="str">
        <f>估价对象房地状况!C9</f>
        <v>周边有隆福寺广场、东四清真寺等，自然及人文环境较好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776"/>
      <c r="Q23" s="1536" t="str">
        <f>B23</f>
        <v>自然及人文环境</v>
      </c>
      <c r="R23" s="714" t="s">
        <v>21</v>
      </c>
      <c r="S23" s="715">
        <f>F23</f>
        <v>100</v>
      </c>
      <c r="T23" s="714" t="s">
        <v>21</v>
      </c>
      <c r="U23" s="715">
        <f>H23</f>
        <v>100</v>
      </c>
      <c r="V23" s="714" t="s">
        <v>21</v>
      </c>
      <c r="W23" s="715">
        <f>J23</f>
        <v>100</v>
      </c>
      <c r="X23" s="1539"/>
      <c r="Y23" s="376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776"/>
      <c r="Q24" s="1536"/>
      <c r="R24" s="714"/>
      <c r="S24" s="715"/>
      <c r="T24" s="714"/>
      <c r="U24" s="715"/>
      <c r="V24" s="714"/>
      <c r="W24" s="715"/>
      <c r="X24" s="1539"/>
      <c r="Y24" s="376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776"/>
      <c r="Q25" s="1536" t="str">
        <f t="shared" ref="Q25:Q46" si="8">B25</f>
        <v>楼层-1</v>
      </c>
      <c r="R25" s="714" t="s">
        <v>21</v>
      </c>
      <c r="S25" s="715">
        <f t="shared" ref="S25:S46" si="9">F25</f>
        <v>100</v>
      </c>
      <c r="T25" s="714" t="s">
        <v>21</v>
      </c>
      <c r="U25" s="715">
        <f t="shared" ref="U25:U46" si="10">H25</f>
        <v>100</v>
      </c>
      <c r="V25" s="714" t="s">
        <v>21</v>
      </c>
      <c r="W25" s="715">
        <f t="shared" ref="W25:W46" si="11">J25</f>
        <v>100</v>
      </c>
      <c r="X25" s="1539"/>
      <c r="Y25" s="3769"/>
      <c r="Z25" s="1540" t="str">
        <f>Q25</f>
        <v>楼层-1</v>
      </c>
      <c r="AA25" s="1537">
        <f t="shared" ref="AA25:AA46" si="12">D25/F25</f>
        <v>1</v>
      </c>
      <c r="AB25" s="1537">
        <f t="shared" ref="AB25:AB46" si="13">D25/H25</f>
        <v>1</v>
      </c>
      <c r="AC25" s="1537">
        <f t="shared" ref="AC25:AC46" si="14">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776"/>
      <c r="Q26" s="1536" t="str">
        <f t="shared" si="8"/>
        <v>朝向</v>
      </c>
      <c r="R26" s="714" t="s">
        <v>21</v>
      </c>
      <c r="S26" s="715">
        <f t="shared" si="9"/>
        <v>100</v>
      </c>
      <c r="T26" s="714" t="s">
        <v>21</v>
      </c>
      <c r="U26" s="715">
        <f t="shared" si="10"/>
        <v>100</v>
      </c>
      <c r="V26" s="714" t="s">
        <v>21</v>
      </c>
      <c r="W26" s="715">
        <f t="shared" si="11"/>
        <v>100</v>
      </c>
      <c r="X26" s="1539"/>
      <c r="Y26" s="3769"/>
      <c r="Z26" s="1540" t="str">
        <f>Q26</f>
        <v>朝向</v>
      </c>
      <c r="AA26" s="1537">
        <f t="shared" si="12"/>
        <v>1</v>
      </c>
      <c r="AB26" s="1537">
        <f t="shared" si="13"/>
        <v>1</v>
      </c>
      <c r="AC26" s="1537">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776"/>
      <c r="Q27" s="1527">
        <f t="shared" si="8"/>
        <v>111</v>
      </c>
      <c r="R27" s="710" t="s">
        <v>21</v>
      </c>
      <c r="S27" s="711">
        <f t="shared" si="9"/>
        <v>100</v>
      </c>
      <c r="T27" s="710" t="s">
        <v>21</v>
      </c>
      <c r="U27" s="711">
        <f t="shared" si="10"/>
        <v>100</v>
      </c>
      <c r="V27" s="710" t="s">
        <v>21</v>
      </c>
      <c r="W27" s="711">
        <f t="shared" si="11"/>
        <v>100</v>
      </c>
      <c r="X27" s="712"/>
      <c r="Y27" s="3769"/>
      <c r="Z27" s="55">
        <f>Q27</f>
        <v>111</v>
      </c>
      <c r="AA27" s="1537">
        <f t="shared" si="12"/>
        <v>1</v>
      </c>
      <c r="AB27" s="1537">
        <f t="shared" si="13"/>
        <v>1</v>
      </c>
      <c r="AC27" s="1537">
        <f t="shared" si="14"/>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776"/>
      <c r="Q28" s="1536">
        <f t="shared" si="8"/>
        <v>111</v>
      </c>
      <c r="R28" s="714" t="s">
        <v>21</v>
      </c>
      <c r="S28" s="715">
        <f t="shared" si="9"/>
        <v>100</v>
      </c>
      <c r="T28" s="714" t="s">
        <v>21</v>
      </c>
      <c r="U28" s="715">
        <f t="shared" si="10"/>
        <v>100</v>
      </c>
      <c r="V28" s="714" t="s">
        <v>21</v>
      </c>
      <c r="W28" s="715">
        <f t="shared" si="11"/>
        <v>100</v>
      </c>
      <c r="X28" s="1539"/>
      <c r="Y28" s="3769"/>
      <c r="Z28" s="1540">
        <f t="shared" ref="Z28:Z46" si="15">Q28</f>
        <v>111</v>
      </c>
      <c r="AA28" s="1537">
        <f t="shared" si="12"/>
        <v>1</v>
      </c>
      <c r="AB28" s="1537">
        <f t="shared" si="13"/>
        <v>1</v>
      </c>
      <c r="AC28" s="1537">
        <f t="shared" si="14"/>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776"/>
      <c r="Q29" s="1536">
        <f t="shared" si="8"/>
        <v>111</v>
      </c>
      <c r="R29" s="714" t="s">
        <v>21</v>
      </c>
      <c r="S29" s="715">
        <f t="shared" si="9"/>
        <v>100</v>
      </c>
      <c r="T29" s="714" t="s">
        <v>21</v>
      </c>
      <c r="U29" s="715">
        <f t="shared" si="10"/>
        <v>100</v>
      </c>
      <c r="V29" s="714" t="s">
        <v>21</v>
      </c>
      <c r="W29" s="715">
        <f t="shared" si="11"/>
        <v>100</v>
      </c>
      <c r="X29" s="1539"/>
      <c r="Y29" s="3769"/>
      <c r="Z29" s="1540">
        <f t="shared" si="15"/>
        <v>111</v>
      </c>
      <c r="AA29" s="1537">
        <f t="shared" si="12"/>
        <v>1</v>
      </c>
      <c r="AB29" s="1537">
        <f t="shared" si="13"/>
        <v>1</v>
      </c>
      <c r="AC29" s="1537">
        <f t="shared" si="14"/>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776"/>
      <c r="Q30" s="1536">
        <f t="shared" si="8"/>
        <v>111</v>
      </c>
      <c r="R30" s="714" t="s">
        <v>21</v>
      </c>
      <c r="S30" s="715">
        <f t="shared" si="9"/>
        <v>100</v>
      </c>
      <c r="T30" s="714" t="s">
        <v>21</v>
      </c>
      <c r="U30" s="715">
        <f t="shared" si="10"/>
        <v>100</v>
      </c>
      <c r="V30" s="714" t="s">
        <v>21</v>
      </c>
      <c r="W30" s="715">
        <f t="shared" si="11"/>
        <v>100</v>
      </c>
      <c r="X30" s="1539"/>
      <c r="Y30" s="3769"/>
      <c r="Z30" s="1540">
        <f t="shared" si="15"/>
        <v>111</v>
      </c>
      <c r="AA30" s="1537">
        <f t="shared" si="12"/>
        <v>1</v>
      </c>
      <c r="AB30" s="1537">
        <f t="shared" si="13"/>
        <v>1</v>
      </c>
      <c r="AC30" s="1537">
        <f t="shared" si="14"/>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776"/>
      <c r="Q31" s="1536">
        <f t="shared" si="8"/>
        <v>111</v>
      </c>
      <c r="R31" s="714" t="s">
        <v>21</v>
      </c>
      <c r="S31" s="715">
        <f t="shared" si="9"/>
        <v>100</v>
      </c>
      <c r="T31" s="714" t="s">
        <v>21</v>
      </c>
      <c r="U31" s="715">
        <f t="shared" si="10"/>
        <v>100</v>
      </c>
      <c r="V31" s="714" t="s">
        <v>21</v>
      </c>
      <c r="W31" s="715">
        <f t="shared" si="11"/>
        <v>100</v>
      </c>
      <c r="X31" s="1539"/>
      <c r="Y31" s="3769"/>
      <c r="Z31" s="1540">
        <f t="shared" si="15"/>
        <v>111</v>
      </c>
      <c r="AA31" s="1537">
        <f t="shared" si="12"/>
        <v>1</v>
      </c>
      <c r="AB31" s="1537">
        <f t="shared" si="13"/>
        <v>1</v>
      </c>
      <c r="AC31" s="1537">
        <f t="shared" si="14"/>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770" t="s">
        <v>2386</v>
      </c>
      <c r="Q32" s="1536" t="str">
        <f t="shared" si="8"/>
        <v>建筑类型</v>
      </c>
      <c r="R32" s="714" t="s">
        <v>21</v>
      </c>
      <c r="S32" s="715">
        <f t="shared" si="9"/>
        <v>100</v>
      </c>
      <c r="T32" s="714" t="s">
        <v>21</v>
      </c>
      <c r="U32" s="715">
        <f t="shared" si="10"/>
        <v>100</v>
      </c>
      <c r="V32" s="714" t="s">
        <v>21</v>
      </c>
      <c r="W32" s="715">
        <f t="shared" si="11"/>
        <v>100</v>
      </c>
      <c r="X32" s="1539"/>
      <c r="Y32" s="3773" t="s">
        <v>2386</v>
      </c>
      <c r="Z32" s="1540" t="str">
        <f t="shared" si="15"/>
        <v>建筑类型</v>
      </c>
      <c r="AA32" s="1537">
        <f t="shared" si="12"/>
        <v>1</v>
      </c>
      <c r="AB32" s="1537">
        <f t="shared" si="13"/>
        <v>1</v>
      </c>
      <c r="AC32" s="1537">
        <f t="shared" si="14"/>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771"/>
      <c r="Q33" s="716" t="str">
        <f t="shared" si="8"/>
        <v>项目建筑规模</v>
      </c>
      <c r="R33" s="717" t="s">
        <v>21</v>
      </c>
      <c r="S33" s="718" t="e">
        <f t="shared" si="9"/>
        <v>#N/A</v>
      </c>
      <c r="T33" s="717" t="s">
        <v>21</v>
      </c>
      <c r="U33" s="718" t="e">
        <f t="shared" si="10"/>
        <v>#N/A</v>
      </c>
      <c r="V33" s="717" t="s">
        <v>21</v>
      </c>
      <c r="W33" s="718" t="e">
        <f t="shared" si="11"/>
        <v>#N/A</v>
      </c>
      <c r="X33" s="719"/>
      <c r="Y33" s="3773"/>
      <c r="Z33" s="720" t="str">
        <f t="shared" si="15"/>
        <v>项目建筑规模</v>
      </c>
      <c r="AA33" s="1537" t="e">
        <f t="shared" si="12"/>
        <v>#N/A</v>
      </c>
      <c r="AB33" s="1537" t="e">
        <f t="shared" si="13"/>
        <v>#N/A</v>
      </c>
      <c r="AC33" s="1537" t="e">
        <f t="shared" si="14"/>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771"/>
      <c r="Q34" s="1536" t="str">
        <f t="shared" si="8"/>
        <v>建筑结构</v>
      </c>
      <c r="R34" s="714" t="s">
        <v>21</v>
      </c>
      <c r="S34" s="715">
        <f t="shared" si="9"/>
        <v>100</v>
      </c>
      <c r="T34" s="714" t="s">
        <v>21</v>
      </c>
      <c r="U34" s="715">
        <f t="shared" si="10"/>
        <v>100</v>
      </c>
      <c r="V34" s="714" t="s">
        <v>21</v>
      </c>
      <c r="W34" s="715">
        <f t="shared" si="11"/>
        <v>100</v>
      </c>
      <c r="X34" s="1539"/>
      <c r="Y34" s="3773"/>
      <c r="Z34" s="1540" t="str">
        <f t="shared" si="15"/>
        <v>建筑结构</v>
      </c>
      <c r="AA34" s="1537">
        <f t="shared" si="12"/>
        <v>1</v>
      </c>
      <c r="AB34" s="1537">
        <f t="shared" si="13"/>
        <v>1</v>
      </c>
      <c r="AC34" s="1537">
        <f t="shared" si="14"/>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771"/>
      <c r="Q35" s="1536" t="str">
        <f t="shared" si="8"/>
        <v>建筑品质</v>
      </c>
      <c r="R35" s="714" t="s">
        <v>21</v>
      </c>
      <c r="S35" s="715">
        <f t="shared" si="9"/>
        <v>100</v>
      </c>
      <c r="T35" s="714" t="s">
        <v>21</v>
      </c>
      <c r="U35" s="715">
        <f t="shared" si="10"/>
        <v>100</v>
      </c>
      <c r="V35" s="714" t="s">
        <v>21</v>
      </c>
      <c r="W35" s="715">
        <f t="shared" si="11"/>
        <v>100</v>
      </c>
      <c r="X35" s="1539"/>
      <c r="Y35" s="3773"/>
      <c r="Z35" s="1540" t="str">
        <f t="shared" si="15"/>
        <v>建筑品质</v>
      </c>
      <c r="AA35" s="1537">
        <f t="shared" si="12"/>
        <v>1</v>
      </c>
      <c r="AB35" s="1537">
        <f t="shared" si="13"/>
        <v>1</v>
      </c>
      <c r="AC35" s="1537">
        <f t="shared" si="14"/>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771"/>
      <c r="Q36" s="1536" t="str">
        <f t="shared" si="8"/>
        <v>公共部分装修</v>
      </c>
      <c r="R36" s="714" t="s">
        <v>21</v>
      </c>
      <c r="S36" s="715">
        <f t="shared" si="9"/>
        <v>100</v>
      </c>
      <c r="T36" s="714" t="s">
        <v>21</v>
      </c>
      <c r="U36" s="715">
        <f t="shared" si="10"/>
        <v>100</v>
      </c>
      <c r="V36" s="714" t="s">
        <v>21</v>
      </c>
      <c r="W36" s="715">
        <f t="shared" si="11"/>
        <v>100</v>
      </c>
      <c r="X36" s="1539"/>
      <c r="Y36" s="3773"/>
      <c r="Z36" s="1540" t="str">
        <f t="shared" si="15"/>
        <v>公共部分装修</v>
      </c>
      <c r="AA36" s="1537">
        <f t="shared" si="12"/>
        <v>1</v>
      </c>
      <c r="AB36" s="1537">
        <f t="shared" si="13"/>
        <v>1</v>
      </c>
      <c r="AC36" s="1537">
        <f t="shared" si="14"/>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771"/>
      <c r="Q37" s="1527" t="str">
        <f t="shared" si="8"/>
        <v>成新度</v>
      </c>
      <c r="R37" s="710" t="s">
        <v>21</v>
      </c>
      <c r="S37" s="711" t="e">
        <f t="shared" si="9"/>
        <v>#N/A</v>
      </c>
      <c r="T37" s="710" t="s">
        <v>21</v>
      </c>
      <c r="U37" s="711" t="e">
        <f t="shared" si="10"/>
        <v>#N/A</v>
      </c>
      <c r="V37" s="710" t="s">
        <v>21</v>
      </c>
      <c r="W37" s="711" t="e">
        <f t="shared" si="11"/>
        <v>#N/A</v>
      </c>
      <c r="X37" s="712"/>
      <c r="Y37" s="3773"/>
      <c r="Z37" s="55" t="str">
        <f t="shared" si="15"/>
        <v>成新度</v>
      </c>
      <c r="AA37" s="713" t="e">
        <f t="shared" si="12"/>
        <v>#N/A</v>
      </c>
      <c r="AB37" s="713" t="e">
        <f t="shared" si="13"/>
        <v>#N/A</v>
      </c>
      <c r="AC37" s="713" t="e">
        <f t="shared" si="14"/>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771" t="s">
        <v>2386</v>
      </c>
      <c r="Q38" s="1536" t="str">
        <f t="shared" si="8"/>
        <v>物业管理</v>
      </c>
      <c r="R38" s="714" t="s">
        <v>21</v>
      </c>
      <c r="S38" s="715">
        <f t="shared" si="9"/>
        <v>100</v>
      </c>
      <c r="T38" s="714" t="s">
        <v>21</v>
      </c>
      <c r="U38" s="715">
        <f t="shared" si="10"/>
        <v>100</v>
      </c>
      <c r="V38" s="714" t="s">
        <v>21</v>
      </c>
      <c r="W38" s="715">
        <f t="shared" si="11"/>
        <v>100</v>
      </c>
      <c r="X38" s="1539"/>
      <c r="Y38" s="3773" t="s">
        <v>2386</v>
      </c>
      <c r="Z38" s="1540" t="str">
        <f t="shared" si="15"/>
        <v>物业管理</v>
      </c>
      <c r="AA38" s="1537">
        <f t="shared" si="12"/>
        <v>1</v>
      </c>
      <c r="AB38" s="1537">
        <f t="shared" si="13"/>
        <v>1</v>
      </c>
      <c r="AC38" s="1537">
        <f t="shared" si="14"/>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771"/>
      <c r="Q39" s="1536" t="str">
        <f t="shared" si="8"/>
        <v>市政基础设施</v>
      </c>
      <c r="R39" s="714" t="s">
        <v>21</v>
      </c>
      <c r="S39" s="715">
        <f t="shared" si="9"/>
        <v>100</v>
      </c>
      <c r="T39" s="714" t="s">
        <v>21</v>
      </c>
      <c r="U39" s="715">
        <f t="shared" si="10"/>
        <v>100</v>
      </c>
      <c r="V39" s="714" t="s">
        <v>21</v>
      </c>
      <c r="W39" s="715">
        <f t="shared" si="11"/>
        <v>100</v>
      </c>
      <c r="X39" s="1539"/>
      <c r="Y39" s="3773"/>
      <c r="Z39" s="1540" t="str">
        <f t="shared" si="15"/>
        <v>市政基础设施</v>
      </c>
      <c r="AA39" s="1537">
        <f t="shared" si="12"/>
        <v>1</v>
      </c>
      <c r="AB39" s="1537">
        <f t="shared" si="13"/>
        <v>1</v>
      </c>
      <c r="AC39" s="1537">
        <f t="shared" si="14"/>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771"/>
      <c r="Q40" s="1536" t="str">
        <f t="shared" si="8"/>
        <v>房型</v>
      </c>
      <c r="R40" s="714" t="s">
        <v>21</v>
      </c>
      <c r="S40" s="715">
        <f t="shared" si="9"/>
        <v>100</v>
      </c>
      <c r="T40" s="714" t="s">
        <v>21</v>
      </c>
      <c r="U40" s="715">
        <f t="shared" si="10"/>
        <v>100</v>
      </c>
      <c r="V40" s="714" t="s">
        <v>21</v>
      </c>
      <c r="W40" s="715">
        <f t="shared" si="11"/>
        <v>100</v>
      </c>
      <c r="X40" s="1539"/>
      <c r="Y40" s="3773"/>
      <c r="Z40" s="1540" t="str">
        <f t="shared" si="15"/>
        <v>房型</v>
      </c>
      <c r="AA40" s="1537">
        <f t="shared" si="12"/>
        <v>1</v>
      </c>
      <c r="AB40" s="1537">
        <f t="shared" si="13"/>
        <v>1</v>
      </c>
      <c r="AC40" s="1537">
        <f t="shared" si="14"/>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771"/>
      <c r="Q41" s="716" t="str">
        <f t="shared" si="8"/>
        <v>单套/主力户型建筑面积</v>
      </c>
      <c r="R41" s="717" t="s">
        <v>21</v>
      </c>
      <c r="S41" s="718">
        <f t="shared" si="9"/>
        <v>100</v>
      </c>
      <c r="T41" s="717" t="s">
        <v>21</v>
      </c>
      <c r="U41" s="718">
        <f t="shared" si="10"/>
        <v>100</v>
      </c>
      <c r="V41" s="717" t="s">
        <v>21</v>
      </c>
      <c r="W41" s="718">
        <f t="shared" si="11"/>
        <v>100</v>
      </c>
      <c r="X41" s="719"/>
      <c r="Y41" s="3773"/>
      <c r="Z41" s="720" t="str">
        <f t="shared" si="15"/>
        <v>单套/主力户型建筑面积</v>
      </c>
      <c r="AA41" s="1537">
        <f t="shared" si="12"/>
        <v>1</v>
      </c>
      <c r="AB41" s="1537">
        <f t="shared" si="13"/>
        <v>1</v>
      </c>
      <c r="AC41" s="1537">
        <f t="shared" si="14"/>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771"/>
      <c r="Q42" s="1536" t="str">
        <f t="shared" si="8"/>
        <v>内部装修</v>
      </c>
      <c r="R42" s="714" t="s">
        <v>21</v>
      </c>
      <c r="S42" s="715">
        <f t="shared" si="9"/>
        <v>100</v>
      </c>
      <c r="T42" s="714" t="s">
        <v>21</v>
      </c>
      <c r="U42" s="715">
        <f t="shared" si="10"/>
        <v>100</v>
      </c>
      <c r="V42" s="714" t="s">
        <v>21</v>
      </c>
      <c r="W42" s="715">
        <f t="shared" si="11"/>
        <v>100</v>
      </c>
      <c r="X42" s="1539"/>
      <c r="Y42" s="3773"/>
      <c r="Z42" s="1540" t="str">
        <f t="shared" si="15"/>
        <v>内部装修</v>
      </c>
      <c r="AA42" s="1537">
        <f t="shared" si="12"/>
        <v>1</v>
      </c>
      <c r="AB42" s="1537">
        <f t="shared" si="13"/>
        <v>1</v>
      </c>
      <c r="AC42" s="1537">
        <f t="shared" si="14"/>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771"/>
      <c r="Q43" s="1536" t="str">
        <f t="shared" si="8"/>
        <v>内部装修维护情况</v>
      </c>
      <c r="R43" s="714" t="s">
        <v>21</v>
      </c>
      <c r="S43" s="715">
        <f t="shared" si="9"/>
        <v>100</v>
      </c>
      <c r="T43" s="714" t="s">
        <v>21</v>
      </c>
      <c r="U43" s="715">
        <f t="shared" si="10"/>
        <v>100</v>
      </c>
      <c r="V43" s="714" t="s">
        <v>21</v>
      </c>
      <c r="W43" s="715">
        <f t="shared" si="11"/>
        <v>100</v>
      </c>
      <c r="X43" s="1539"/>
      <c r="Y43" s="3773"/>
      <c r="Z43" s="1540" t="str">
        <f t="shared" si="15"/>
        <v>内部装修维护情况</v>
      </c>
      <c r="AA43" s="1537">
        <f t="shared" si="12"/>
        <v>1</v>
      </c>
      <c r="AB43" s="1537">
        <f t="shared" si="13"/>
        <v>1</v>
      </c>
      <c r="AC43" s="1537">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771"/>
      <c r="Q44" s="1527">
        <f t="shared" si="8"/>
        <v>111</v>
      </c>
      <c r="R44" s="710" t="s">
        <v>21</v>
      </c>
      <c r="S44" s="711">
        <f t="shared" si="9"/>
        <v>100</v>
      </c>
      <c r="T44" s="710" t="s">
        <v>21</v>
      </c>
      <c r="U44" s="711">
        <f t="shared" si="10"/>
        <v>100</v>
      </c>
      <c r="V44" s="710" t="s">
        <v>21</v>
      </c>
      <c r="W44" s="711">
        <f t="shared" si="11"/>
        <v>100</v>
      </c>
      <c r="X44" s="712"/>
      <c r="Y44" s="3773"/>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771"/>
      <c r="Q45" s="1536">
        <f t="shared" si="8"/>
        <v>111</v>
      </c>
      <c r="R45" s="714" t="s">
        <v>21</v>
      </c>
      <c r="S45" s="715">
        <f t="shared" si="9"/>
        <v>100</v>
      </c>
      <c r="T45" s="714" t="s">
        <v>21</v>
      </c>
      <c r="U45" s="715">
        <f t="shared" si="10"/>
        <v>100</v>
      </c>
      <c r="V45" s="714" t="s">
        <v>21</v>
      </c>
      <c r="W45" s="715">
        <f t="shared" si="11"/>
        <v>100</v>
      </c>
      <c r="X45" s="1539"/>
      <c r="Y45" s="3773"/>
      <c r="Z45" s="1540">
        <f t="shared" si="15"/>
        <v>111</v>
      </c>
      <c r="AA45" s="1537">
        <f t="shared" si="12"/>
        <v>1</v>
      </c>
      <c r="AB45" s="1537">
        <f t="shared" si="13"/>
        <v>1</v>
      </c>
      <c r="AC45" s="1537">
        <f t="shared" si="14"/>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772"/>
      <c r="Q46" s="1536">
        <f t="shared" si="8"/>
        <v>111</v>
      </c>
      <c r="R46" s="714" t="s">
        <v>20</v>
      </c>
      <c r="S46" s="715">
        <f t="shared" si="9"/>
        <v>100</v>
      </c>
      <c r="T46" s="714" t="s">
        <v>20</v>
      </c>
      <c r="U46" s="715">
        <f t="shared" si="10"/>
        <v>100</v>
      </c>
      <c r="V46" s="714" t="s">
        <v>20</v>
      </c>
      <c r="W46" s="715">
        <f t="shared" si="11"/>
        <v>100</v>
      </c>
      <c r="X46" s="1539"/>
      <c r="Y46" s="3774"/>
      <c r="Z46" s="1540">
        <f t="shared" si="15"/>
        <v>111</v>
      </c>
      <c r="AA46" s="1537">
        <f t="shared" si="12"/>
        <v>1</v>
      </c>
      <c r="AB46" s="1537">
        <f t="shared" si="13"/>
        <v>1</v>
      </c>
      <c r="AC46" s="1537">
        <f t="shared" si="14"/>
        <v>1</v>
      </c>
    </row>
    <row r="47" spans="1:29" ht="15">
      <c r="A47" s="438" t="s">
        <v>2398</v>
      </c>
      <c r="B47" s="439"/>
      <c r="C47" s="1316" t="s">
        <v>19</v>
      </c>
      <c r="D47" s="1317"/>
      <c r="E47" s="1318"/>
      <c r="F47" s="1319"/>
      <c r="G47" s="1320"/>
      <c r="H47" s="1321"/>
      <c r="I47" s="1318"/>
      <c r="J47" s="1321"/>
      <c r="K47" s="2100"/>
      <c r="L47" s="2951"/>
      <c r="M47" s="2952"/>
      <c r="N47" s="2943"/>
      <c r="O47" s="2952"/>
      <c r="P47" s="3766" t="str">
        <f>A47</f>
        <v>成交单价（元/平方米）</v>
      </c>
      <c r="Q47" s="3766"/>
      <c r="R47" s="3767">
        <f>E47</f>
        <v>0</v>
      </c>
      <c r="S47" s="3767"/>
      <c r="T47" s="3767">
        <f>G47</f>
        <v>0</v>
      </c>
      <c r="U47" s="3767"/>
      <c r="V47" s="3767">
        <f>I47</f>
        <v>0</v>
      </c>
      <c r="W47" s="3767"/>
      <c r="X47" s="699"/>
      <c r="Y47" s="721"/>
      <c r="Z47" s="699"/>
      <c r="AA47" s="699"/>
      <c r="AB47" s="699"/>
      <c r="AC47" s="699"/>
    </row>
    <row r="48" spans="1:29" ht="15.75" thickBot="1">
      <c r="A48" s="445" t="s">
        <v>2399</v>
      </c>
      <c r="B48" s="446"/>
      <c r="C48" s="1322" t="e">
        <f>R49</f>
        <v>#DIV/0!</v>
      </c>
      <c r="D48" s="2538" t="s">
        <v>2877</v>
      </c>
      <c r="E48" s="1323" t="e">
        <f>R48</f>
        <v>#DIV/0!</v>
      </c>
      <c r="F48" s="2539"/>
      <c r="G48" s="1322" t="e">
        <f>T48</f>
        <v>#DIV/0!</v>
      </c>
      <c r="H48" s="2539"/>
      <c r="I48" s="1323" t="e">
        <f>V48</f>
        <v>#DIV/0!</v>
      </c>
      <c r="J48" s="2539"/>
      <c r="K48" s="2540">
        <f>F48+H48+J48</f>
        <v>0</v>
      </c>
      <c r="L48" s="2951"/>
      <c r="M48" s="2952"/>
      <c r="N48" s="2952"/>
      <c r="O48" s="2952"/>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2017-6</v>
      </c>
      <c r="D58" s="1347">
        <f>EDATE(C58,-1)</f>
        <v>42856</v>
      </c>
      <c r="E58" s="1347">
        <f>EDATE(D58,-1)</f>
        <v>42826</v>
      </c>
      <c r="F58" s="1347">
        <f t="shared" ref="F58:O58" si="16">EDATE(E58,-1)</f>
        <v>42795</v>
      </c>
      <c r="G58" s="1347">
        <f t="shared" si="16"/>
        <v>42767</v>
      </c>
      <c r="H58" s="1347">
        <f t="shared" si="16"/>
        <v>42736</v>
      </c>
      <c r="I58" s="1347">
        <f t="shared" si="16"/>
        <v>42705</v>
      </c>
      <c r="J58" s="1347">
        <f t="shared" si="16"/>
        <v>42675</v>
      </c>
      <c r="K58" s="1347">
        <f t="shared" si="16"/>
        <v>42644</v>
      </c>
      <c r="L58" s="1347">
        <f t="shared" si="16"/>
        <v>42614</v>
      </c>
      <c r="M58" s="1347">
        <f t="shared" si="16"/>
        <v>42583</v>
      </c>
      <c r="N58" s="1347">
        <f t="shared" si="16"/>
        <v>42552</v>
      </c>
      <c r="O58" s="1347">
        <f t="shared" si="16"/>
        <v>42522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2379</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8"/>
      <c r="Q101" s="461"/>
    </row>
    <row r="102" spans="1:17"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225" priority="19" stopIfTrue="1" operator="containsText" text="超过">
      <formula>NOT(ISERROR(SEARCH("超过",F52)))</formula>
    </cfRule>
  </conditionalFormatting>
  <conditionalFormatting sqref="J54">
    <cfRule type="containsText" dxfId="224" priority="18" stopIfTrue="1" operator="containsText" text="超过">
      <formula>NOT(ISERROR(SEARCH("超过",J54)))</formula>
    </cfRule>
  </conditionalFormatting>
  <conditionalFormatting sqref="H54">
    <cfRule type="containsText" dxfId="223" priority="17" stopIfTrue="1" operator="containsText" text="超过">
      <formula>NOT(ISERROR(SEARCH("超过",H54)))</formula>
    </cfRule>
  </conditionalFormatting>
  <conditionalFormatting sqref="F54">
    <cfRule type="containsText" dxfId="222" priority="16" stopIfTrue="1" operator="containsText" text="超过">
      <formula>NOT(ISERROR(SEARCH("超过",F54)))</formula>
    </cfRule>
  </conditionalFormatting>
  <conditionalFormatting sqref="F53 H53 J53">
    <cfRule type="containsText" dxfId="221" priority="15" stopIfTrue="1" operator="containsText" text="超过">
      <formula>NOT(ISERROR(SEARCH("超过",F53)))</formula>
    </cfRule>
  </conditionalFormatting>
  <conditionalFormatting sqref="E52">
    <cfRule type="expression" dxfId="220" priority="14" stopIfTrue="1">
      <formula>$F$52="超过30%"</formula>
    </cfRule>
  </conditionalFormatting>
  <conditionalFormatting sqref="G54">
    <cfRule type="expression" dxfId="219" priority="12" stopIfTrue="1">
      <formula>$H$54="超过30%"</formula>
    </cfRule>
  </conditionalFormatting>
  <conditionalFormatting sqref="E53">
    <cfRule type="expression" dxfId="218" priority="11" stopIfTrue="1">
      <formula>$F$53="超过20%"</formula>
    </cfRule>
  </conditionalFormatting>
  <conditionalFormatting sqref="E54">
    <cfRule type="expression" dxfId="217" priority="10" stopIfTrue="1">
      <formula>$F$54="超过30%"</formula>
    </cfRule>
  </conditionalFormatting>
  <conditionalFormatting sqref="G52">
    <cfRule type="expression" dxfId="216" priority="9" stopIfTrue="1">
      <formula>$H$52="超过30%"</formula>
    </cfRule>
  </conditionalFormatting>
  <conditionalFormatting sqref="G53">
    <cfRule type="expression" dxfId="215" priority="8" stopIfTrue="1">
      <formula>$H$53="超过20%"</formula>
    </cfRule>
  </conditionalFormatting>
  <conditionalFormatting sqref="I52">
    <cfRule type="expression" dxfId="214" priority="7" stopIfTrue="1">
      <formula>$J$52="超过30%"</formula>
    </cfRule>
  </conditionalFormatting>
  <conditionalFormatting sqref="I53">
    <cfRule type="expression" dxfId="213" priority="6" stopIfTrue="1">
      <formula>$J$53="超过20%"</formula>
    </cfRule>
  </conditionalFormatting>
  <conditionalFormatting sqref="I54">
    <cfRule type="expression" dxfId="212" priority="5" stopIfTrue="1">
      <formula>$J$54="超过30%"</formula>
    </cfRule>
  </conditionalFormatting>
  <conditionalFormatting sqref="F48">
    <cfRule type="expression" dxfId="211" priority="4">
      <formula>$D$48="简单平均"</formula>
    </cfRule>
  </conditionalFormatting>
  <conditionalFormatting sqref="H48">
    <cfRule type="expression" dxfId="210" priority="3">
      <formula>$D$48="简单平均"</formula>
    </cfRule>
  </conditionalFormatting>
  <conditionalFormatting sqref="J48">
    <cfRule type="expression" dxfId="209" priority="2">
      <formula>$D$48="简单平均"</formula>
    </cfRule>
  </conditionalFormatting>
  <conditionalFormatting sqref="F7:F46 H7:H46 J7:J46">
    <cfRule type="cellIs" dxfId="20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2522</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47689.05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1044"/>
      <c r="M4" s="1045"/>
      <c r="N4" s="1045"/>
      <c r="O4" s="1045"/>
      <c r="P4" s="3785" t="s">
        <v>2472</v>
      </c>
      <c r="Q4" s="3786"/>
      <c r="R4" s="3791" t="s">
        <v>2468</v>
      </c>
      <c r="S4" s="3792"/>
      <c r="T4" s="3791" t="s">
        <v>2469</v>
      </c>
      <c r="U4" s="3792"/>
      <c r="V4" s="3797" t="s">
        <v>2470</v>
      </c>
      <c r="W4" s="3797"/>
      <c r="X4" s="1539"/>
      <c r="Y4" s="3791" t="s">
        <v>2472</v>
      </c>
      <c r="Z4" s="3792"/>
      <c r="AA4" s="3778" t="s">
        <v>2468</v>
      </c>
      <c r="AB4" s="3779" t="s">
        <v>2469</v>
      </c>
      <c r="AC4" s="3778" t="s">
        <v>2470</v>
      </c>
    </row>
    <row r="5" spans="1:29" ht="15">
      <c r="A5" s="364"/>
      <c r="B5" s="365"/>
      <c r="C5" s="3800" t="s">
        <v>2363</v>
      </c>
      <c r="D5" s="3801"/>
      <c r="E5" s="3807" t="s">
        <v>2364</v>
      </c>
      <c r="F5" s="3808"/>
      <c r="G5" s="3800" t="s">
        <v>2365</v>
      </c>
      <c r="H5" s="3801"/>
      <c r="I5" s="3800" t="s">
        <v>2366</v>
      </c>
      <c r="J5" s="3801"/>
      <c r="K5" s="567"/>
      <c r="L5" s="1044"/>
      <c r="M5" s="1045"/>
      <c r="N5" s="1045"/>
      <c r="O5" s="1045"/>
      <c r="P5" s="3787"/>
      <c r="Q5" s="3788"/>
      <c r="R5" s="3793"/>
      <c r="S5" s="3794"/>
      <c r="T5" s="3793"/>
      <c r="U5" s="3794"/>
      <c r="V5" s="3797"/>
      <c r="W5" s="3797"/>
      <c r="X5" s="1539"/>
      <c r="Y5" s="3793"/>
      <c r="Z5" s="3794"/>
      <c r="AA5" s="3779"/>
      <c r="AB5" s="3779"/>
      <c r="AC5" s="3779"/>
    </row>
    <row r="6" spans="1:29" ht="15.75" thickBot="1">
      <c r="A6" s="366"/>
      <c r="B6" s="367"/>
      <c r="C6" s="3798" t="s">
        <v>2367</v>
      </c>
      <c r="D6" s="3799"/>
      <c r="E6" s="3805" t="s">
        <v>2367</v>
      </c>
      <c r="F6" s="3806"/>
      <c r="G6" s="3798" t="s">
        <v>2367</v>
      </c>
      <c r="H6" s="3799"/>
      <c r="I6" s="3798" t="s">
        <v>2367</v>
      </c>
      <c r="J6" s="3799"/>
      <c r="K6" s="567" t="s">
        <v>2368</v>
      </c>
      <c r="L6" s="1044"/>
      <c r="M6" s="1045"/>
      <c r="N6" s="1045"/>
      <c r="O6" s="1045"/>
      <c r="P6" s="3789"/>
      <c r="Q6" s="3790"/>
      <c r="R6" s="3793"/>
      <c r="S6" s="3794"/>
      <c r="T6" s="3795"/>
      <c r="U6" s="3796"/>
      <c r="V6" s="3797"/>
      <c r="W6" s="3797"/>
      <c r="X6" s="1539"/>
      <c r="Y6" s="3795"/>
      <c r="Z6" s="3796"/>
      <c r="AA6" s="3780"/>
      <c r="AB6" s="3780"/>
      <c r="AC6" s="3780"/>
    </row>
    <row r="7" spans="1:29" s="113" customFormat="1" ht="15.75" thickBot="1">
      <c r="A7" s="368" t="s">
        <v>2369</v>
      </c>
      <c r="B7" s="369"/>
      <c r="C7" s="370">
        <f>'数据-取费表'!B2</f>
        <v>42914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802" t="s">
        <v>2370</v>
      </c>
      <c r="Q7" s="3804"/>
      <c r="R7" s="710" t="s">
        <v>17</v>
      </c>
      <c r="S7" s="711">
        <f t="shared" ref="S7:S15" si="0">F7</f>
        <v>0</v>
      </c>
      <c r="T7" s="710" t="s">
        <v>17</v>
      </c>
      <c r="U7" s="711">
        <f t="shared" ref="U7:U15" si="1">H7</f>
        <v>0</v>
      </c>
      <c r="V7" s="710" t="s">
        <v>17</v>
      </c>
      <c r="W7" s="711">
        <f t="shared" ref="W7:W15" si="2">J7</f>
        <v>0</v>
      </c>
      <c r="X7" s="712"/>
      <c r="Y7" s="3802" t="s">
        <v>2370</v>
      </c>
      <c r="Z7" s="380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802" t="s">
        <v>2373</v>
      </c>
      <c r="Q8" s="3803"/>
      <c r="R8" s="710" t="s">
        <v>17</v>
      </c>
      <c r="S8" s="711">
        <f t="shared" si="0"/>
        <v>0</v>
      </c>
      <c r="T8" s="710" t="s">
        <v>17</v>
      </c>
      <c r="U8" s="711">
        <f t="shared" si="1"/>
        <v>0</v>
      </c>
      <c r="V8" s="710" t="s">
        <v>17</v>
      </c>
      <c r="W8" s="711">
        <f t="shared" si="2"/>
        <v>0</v>
      </c>
      <c r="X8" s="712"/>
      <c r="Y8" s="3802" t="s">
        <v>2373</v>
      </c>
      <c r="Z8" s="380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766" t="s">
        <v>2376</v>
      </c>
      <c r="Q9" s="1527" t="str">
        <f t="shared" ref="Q9:Q15" si="6">B9</f>
        <v>用途</v>
      </c>
      <c r="R9" s="710" t="s">
        <v>17</v>
      </c>
      <c r="S9" s="711">
        <f t="shared" si="0"/>
        <v>100</v>
      </c>
      <c r="T9" s="710" t="s">
        <v>17</v>
      </c>
      <c r="U9" s="711">
        <f t="shared" si="1"/>
        <v>100</v>
      </c>
      <c r="V9" s="710" t="s">
        <v>17</v>
      </c>
      <c r="W9" s="711">
        <f t="shared" si="2"/>
        <v>100</v>
      </c>
      <c r="X9" s="712"/>
      <c r="Y9" s="363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766"/>
      <c r="Q10" s="1527" t="str">
        <f t="shared" si="6"/>
        <v>土地使用年限（年）</v>
      </c>
      <c r="R10" s="710" t="s">
        <v>17</v>
      </c>
      <c r="S10" s="711">
        <f t="shared" si="0"/>
        <v>100</v>
      </c>
      <c r="T10" s="710" t="s">
        <v>17</v>
      </c>
      <c r="U10" s="711">
        <f t="shared" si="1"/>
        <v>100</v>
      </c>
      <c r="V10" s="710" t="s">
        <v>17</v>
      </c>
      <c r="W10" s="711">
        <f t="shared" si="2"/>
        <v>100</v>
      </c>
      <c r="X10" s="712"/>
      <c r="Y10" s="363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766"/>
      <c r="Q11" s="1527" t="str">
        <f t="shared" si="6"/>
        <v>容积率</v>
      </c>
      <c r="R11" s="710" t="s">
        <v>17</v>
      </c>
      <c r="S11" s="711" t="e">
        <f t="shared" si="0"/>
        <v>#N/A</v>
      </c>
      <c r="T11" s="710" t="s">
        <v>17</v>
      </c>
      <c r="U11" s="711" t="e">
        <f t="shared" si="1"/>
        <v>#N/A</v>
      </c>
      <c r="V11" s="710" t="s">
        <v>17</v>
      </c>
      <c r="W11" s="711" t="e">
        <f t="shared" si="2"/>
        <v>#N/A</v>
      </c>
      <c r="X11" s="712"/>
      <c r="Y11" s="363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766"/>
      <c r="Q12" s="1527">
        <f t="shared" si="6"/>
        <v>111</v>
      </c>
      <c r="R12" s="710" t="s">
        <v>17</v>
      </c>
      <c r="S12" s="711">
        <f t="shared" si="0"/>
        <v>100</v>
      </c>
      <c r="T12" s="710" t="s">
        <v>17</v>
      </c>
      <c r="U12" s="711">
        <f t="shared" si="1"/>
        <v>100</v>
      </c>
      <c r="V12" s="710" t="s">
        <v>17</v>
      </c>
      <c r="W12" s="711">
        <f t="shared" si="2"/>
        <v>100</v>
      </c>
      <c r="X12" s="712"/>
      <c r="Y12" s="363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766"/>
      <c r="Q13" s="1527">
        <f t="shared" si="6"/>
        <v>111</v>
      </c>
      <c r="R13" s="710" t="s">
        <v>17</v>
      </c>
      <c r="S13" s="711">
        <f t="shared" si="0"/>
        <v>100</v>
      </c>
      <c r="T13" s="710" t="s">
        <v>17</v>
      </c>
      <c r="U13" s="711">
        <f t="shared" si="1"/>
        <v>100</v>
      </c>
      <c r="V13" s="710" t="s">
        <v>17</v>
      </c>
      <c r="W13" s="711">
        <f t="shared" si="2"/>
        <v>100</v>
      </c>
      <c r="X13" s="712"/>
      <c r="Y13" s="363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766"/>
      <c r="Q14" s="1527">
        <f t="shared" si="6"/>
        <v>111</v>
      </c>
      <c r="R14" s="710" t="s">
        <v>17</v>
      </c>
      <c r="S14" s="711">
        <f t="shared" si="0"/>
        <v>100</v>
      </c>
      <c r="T14" s="710" t="s">
        <v>17</v>
      </c>
      <c r="U14" s="711">
        <f t="shared" si="1"/>
        <v>100</v>
      </c>
      <c r="V14" s="710" t="s">
        <v>17</v>
      </c>
      <c r="W14" s="711">
        <f t="shared" si="2"/>
        <v>100</v>
      </c>
      <c r="X14" s="712"/>
      <c r="Y14" s="3636"/>
      <c r="Z14" s="55">
        <f t="shared" si="7"/>
        <v>111</v>
      </c>
      <c r="AA14" s="713">
        <f t="shared" si="3"/>
        <v>1</v>
      </c>
      <c r="AB14" s="713">
        <f t="shared" si="4"/>
        <v>1</v>
      </c>
      <c r="AC14" s="713">
        <f t="shared" si="5"/>
        <v>1</v>
      </c>
    </row>
    <row r="15" spans="1:29" ht="57">
      <c r="A15" s="399" t="s">
        <v>2380</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768" t="s">
        <v>2381</v>
      </c>
      <c r="Q15" s="1536" t="str">
        <f t="shared" si="6"/>
        <v>产业集聚程度</v>
      </c>
      <c r="R15" s="714" t="s">
        <v>17</v>
      </c>
      <c r="S15" s="715">
        <f t="shared" si="0"/>
        <v>100</v>
      </c>
      <c r="T15" s="714" t="s">
        <v>17</v>
      </c>
      <c r="U15" s="715">
        <f t="shared" si="1"/>
        <v>100</v>
      </c>
      <c r="V15" s="714" t="s">
        <v>17</v>
      </c>
      <c r="W15" s="715">
        <f t="shared" si="2"/>
        <v>100</v>
      </c>
      <c r="X15" s="1539"/>
      <c r="Y15" s="376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769"/>
      <c r="Q16" s="1536"/>
      <c r="R16" s="714"/>
      <c r="S16" s="715"/>
      <c r="T16" s="714"/>
      <c r="U16" s="715"/>
      <c r="V16" s="714"/>
      <c r="W16" s="715"/>
      <c r="X16" s="1539"/>
      <c r="Y16" s="376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769"/>
      <c r="Q17" s="1536" t="str">
        <f>B17</f>
        <v>交通便捷度</v>
      </c>
      <c r="R17" s="714" t="s">
        <v>17</v>
      </c>
      <c r="S17" s="715">
        <f>F17</f>
        <v>100</v>
      </c>
      <c r="T17" s="714" t="s">
        <v>17</v>
      </c>
      <c r="U17" s="715">
        <f>H17</f>
        <v>100</v>
      </c>
      <c r="V17" s="714" t="s">
        <v>17</v>
      </c>
      <c r="W17" s="715">
        <f>J17</f>
        <v>100</v>
      </c>
      <c r="X17" s="1539"/>
      <c r="Y17" s="376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769"/>
      <c r="Q18" s="1536"/>
      <c r="R18" s="714"/>
      <c r="S18" s="715"/>
      <c r="T18" s="714"/>
      <c r="U18" s="715"/>
      <c r="V18" s="714"/>
      <c r="W18" s="715"/>
      <c r="X18" s="1539"/>
      <c r="Y18" s="376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769"/>
      <c r="Q19" s="1536" t="str">
        <f>B19</f>
        <v>公共配套设施</v>
      </c>
      <c r="R19" s="714" t="s">
        <v>17</v>
      </c>
      <c r="S19" s="715">
        <f>F19</f>
        <v>100</v>
      </c>
      <c r="T19" s="714" t="s">
        <v>17</v>
      </c>
      <c r="U19" s="715">
        <f>H19</f>
        <v>100</v>
      </c>
      <c r="V19" s="714" t="s">
        <v>17</v>
      </c>
      <c r="W19" s="715">
        <f>J19</f>
        <v>100</v>
      </c>
      <c r="X19" s="1539"/>
      <c r="Y19" s="376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769"/>
      <c r="Q20" s="1536"/>
      <c r="R20" s="714"/>
      <c r="S20" s="715"/>
      <c r="T20" s="714"/>
      <c r="U20" s="715"/>
      <c r="V20" s="714"/>
      <c r="W20" s="715"/>
      <c r="X20" s="1539"/>
      <c r="Y20" s="376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769"/>
      <c r="Q21" s="1536" t="str">
        <f>B21</f>
        <v>基础设施水平</v>
      </c>
      <c r="R21" s="714" t="s">
        <v>17</v>
      </c>
      <c r="S21" s="715">
        <f>F21</f>
        <v>100</v>
      </c>
      <c r="T21" s="714" t="s">
        <v>17</v>
      </c>
      <c r="U21" s="715">
        <f>H21</f>
        <v>100</v>
      </c>
      <c r="V21" s="714" t="s">
        <v>17</v>
      </c>
      <c r="W21" s="715">
        <f>J21</f>
        <v>100</v>
      </c>
      <c r="X21" s="1539"/>
      <c r="Y21" s="3769"/>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1054"/>
      <c r="M22" s="1045"/>
      <c r="N22" s="1045"/>
      <c r="O22" s="1053"/>
      <c r="P22" s="3769"/>
      <c r="Q22" s="1536"/>
      <c r="R22" s="714"/>
      <c r="S22" s="715"/>
      <c r="T22" s="714"/>
      <c r="U22" s="715"/>
      <c r="V22" s="714"/>
      <c r="W22" s="715"/>
      <c r="X22" s="1539"/>
      <c r="Y22" s="376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769"/>
      <c r="Q23" s="1536" t="str">
        <f>B23</f>
        <v>环境质量</v>
      </c>
      <c r="R23" s="714" t="s">
        <v>17</v>
      </c>
      <c r="S23" s="715">
        <f>F23</f>
        <v>100</v>
      </c>
      <c r="T23" s="714" t="s">
        <v>17</v>
      </c>
      <c r="U23" s="715">
        <f>H23</f>
        <v>100</v>
      </c>
      <c r="V23" s="714" t="s">
        <v>17</v>
      </c>
      <c r="W23" s="715">
        <f>J23</f>
        <v>100</v>
      </c>
      <c r="X23" s="1539"/>
      <c r="Y23" s="376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769"/>
      <c r="Q24" s="1536"/>
      <c r="R24" s="714"/>
      <c r="S24" s="715"/>
      <c r="T24" s="714"/>
      <c r="U24" s="715"/>
      <c r="V24" s="714"/>
      <c r="W24" s="715"/>
      <c r="X24" s="1539"/>
      <c r="Y24" s="376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769"/>
      <c r="Q25" s="1536">
        <f>B25</f>
        <v>111</v>
      </c>
      <c r="R25" s="714" t="s">
        <v>17</v>
      </c>
      <c r="S25" s="715">
        <f>F25</f>
        <v>100</v>
      </c>
      <c r="T25" s="714" t="s">
        <v>17</v>
      </c>
      <c r="U25" s="715">
        <f>H25</f>
        <v>100</v>
      </c>
      <c r="V25" s="714" t="s">
        <v>17</v>
      </c>
      <c r="W25" s="715">
        <f>J25</f>
        <v>100</v>
      </c>
      <c r="X25" s="1539"/>
      <c r="Y25" s="376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769"/>
      <c r="Q26" s="1536">
        <f t="shared" ref="Q26:Q40" si="8">B26</f>
        <v>111</v>
      </c>
      <c r="R26" s="714" t="s">
        <v>17</v>
      </c>
      <c r="S26" s="715">
        <f>F26</f>
        <v>100</v>
      </c>
      <c r="T26" s="714" t="s">
        <v>17</v>
      </c>
      <c r="U26" s="715">
        <f>H26</f>
        <v>100</v>
      </c>
      <c r="V26" s="714" t="s">
        <v>17</v>
      </c>
      <c r="W26" s="715">
        <f>J26</f>
        <v>100</v>
      </c>
      <c r="X26" s="1539"/>
      <c r="Y26" s="376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769"/>
      <c r="Q27" s="1527">
        <f t="shared" si="8"/>
        <v>111</v>
      </c>
      <c r="R27" s="710" t="s">
        <v>17</v>
      </c>
      <c r="S27" s="711">
        <f>F27</f>
        <v>100</v>
      </c>
      <c r="T27" s="710" t="s">
        <v>17</v>
      </c>
      <c r="U27" s="711">
        <f>H27</f>
        <v>100</v>
      </c>
      <c r="V27" s="710" t="s">
        <v>17</v>
      </c>
      <c r="W27" s="711">
        <f>J27</f>
        <v>100</v>
      </c>
      <c r="X27" s="712"/>
      <c r="Y27" s="376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769"/>
      <c r="Q28" s="1536">
        <f t="shared" si="8"/>
        <v>111</v>
      </c>
      <c r="R28" s="714" t="s">
        <v>17</v>
      </c>
      <c r="S28" s="715">
        <f t="shared" ref="S28:S40" si="9">F28</f>
        <v>100</v>
      </c>
      <c r="T28" s="714" t="s">
        <v>17</v>
      </c>
      <c r="U28" s="715">
        <f t="shared" ref="U28:U40" si="10">H28</f>
        <v>100</v>
      </c>
      <c r="V28" s="714" t="s">
        <v>17</v>
      </c>
      <c r="W28" s="715">
        <f t="shared" ref="W28:W40" si="11">J28</f>
        <v>100</v>
      </c>
      <c r="X28" s="1539"/>
      <c r="Y28" s="3769"/>
      <c r="Z28" s="1540">
        <f t="shared" ref="Z28:Z40" si="12">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809" t="s">
        <v>2386</v>
      </c>
      <c r="Q29" s="1536" t="str">
        <f t="shared" si="8"/>
        <v>建筑类型</v>
      </c>
      <c r="R29" s="714" t="s">
        <v>17</v>
      </c>
      <c r="S29" s="715">
        <f t="shared" si="9"/>
        <v>100</v>
      </c>
      <c r="T29" s="714" t="s">
        <v>17</v>
      </c>
      <c r="U29" s="715">
        <f t="shared" si="10"/>
        <v>100</v>
      </c>
      <c r="V29" s="714" t="s">
        <v>17</v>
      </c>
      <c r="W29" s="715">
        <f t="shared" si="11"/>
        <v>100</v>
      </c>
      <c r="X29" s="1539"/>
      <c r="Y29" s="3773" t="s">
        <v>2386</v>
      </c>
      <c r="Z29" s="1540" t="str">
        <f t="shared" si="12"/>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773"/>
      <c r="Q30" s="716" t="str">
        <f t="shared" si="8"/>
        <v>项目建筑规模</v>
      </c>
      <c r="R30" s="717" t="s">
        <v>17</v>
      </c>
      <c r="S30" s="718" t="e">
        <f t="shared" si="9"/>
        <v>#N/A</v>
      </c>
      <c r="T30" s="717" t="s">
        <v>17</v>
      </c>
      <c r="U30" s="718" t="e">
        <f t="shared" si="10"/>
        <v>#N/A</v>
      </c>
      <c r="V30" s="717" t="s">
        <v>17</v>
      </c>
      <c r="W30" s="718" t="e">
        <f t="shared" si="11"/>
        <v>#N/A</v>
      </c>
      <c r="X30" s="719"/>
      <c r="Y30" s="3773"/>
      <c r="Z30" s="720" t="str">
        <f t="shared" si="12"/>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773"/>
      <c r="Q31" s="1536" t="str">
        <f t="shared" si="8"/>
        <v>建筑结构</v>
      </c>
      <c r="R31" s="714" t="s">
        <v>17</v>
      </c>
      <c r="S31" s="715">
        <f t="shared" si="9"/>
        <v>100</v>
      </c>
      <c r="T31" s="714" t="s">
        <v>17</v>
      </c>
      <c r="U31" s="715">
        <f t="shared" si="10"/>
        <v>100</v>
      </c>
      <c r="V31" s="714" t="s">
        <v>17</v>
      </c>
      <c r="W31" s="715">
        <f t="shared" si="11"/>
        <v>100</v>
      </c>
      <c r="X31" s="1539"/>
      <c r="Y31" s="3773"/>
      <c r="Z31" s="1540" t="str">
        <f t="shared" si="12"/>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773"/>
      <c r="Q32" s="1536" t="str">
        <f t="shared" si="8"/>
        <v>公共部分装修</v>
      </c>
      <c r="R32" s="714" t="s">
        <v>17</v>
      </c>
      <c r="S32" s="715">
        <f t="shared" si="9"/>
        <v>100</v>
      </c>
      <c r="T32" s="714" t="s">
        <v>17</v>
      </c>
      <c r="U32" s="715">
        <f t="shared" si="10"/>
        <v>100</v>
      </c>
      <c r="V32" s="714" t="s">
        <v>17</v>
      </c>
      <c r="W32" s="715">
        <f t="shared" si="11"/>
        <v>100</v>
      </c>
      <c r="X32" s="1539"/>
      <c r="Y32" s="3773"/>
      <c r="Z32" s="1540" t="str">
        <f t="shared" si="12"/>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773"/>
      <c r="Q33" s="1536" t="str">
        <f t="shared" si="8"/>
        <v>成新度</v>
      </c>
      <c r="R33" s="714" t="s">
        <v>17</v>
      </c>
      <c r="S33" s="715" t="e">
        <f t="shared" si="9"/>
        <v>#N/A</v>
      </c>
      <c r="T33" s="714" t="s">
        <v>17</v>
      </c>
      <c r="U33" s="715" t="e">
        <f t="shared" si="10"/>
        <v>#N/A</v>
      </c>
      <c r="V33" s="714" t="s">
        <v>17</v>
      </c>
      <c r="W33" s="715" t="e">
        <f t="shared" si="11"/>
        <v>#N/A</v>
      </c>
      <c r="X33" s="1539"/>
      <c r="Y33" s="3773"/>
      <c r="Z33" s="1540" t="str">
        <f t="shared" si="12"/>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773"/>
      <c r="Q34" s="1527" t="str">
        <f t="shared" si="8"/>
        <v>物业管理</v>
      </c>
      <c r="R34" s="710" t="s">
        <v>17</v>
      </c>
      <c r="S34" s="711">
        <f t="shared" si="9"/>
        <v>100</v>
      </c>
      <c r="T34" s="710" t="s">
        <v>17</v>
      </c>
      <c r="U34" s="711">
        <f t="shared" si="10"/>
        <v>100</v>
      </c>
      <c r="V34" s="710" t="s">
        <v>17</v>
      </c>
      <c r="W34" s="711">
        <f t="shared" si="11"/>
        <v>100</v>
      </c>
      <c r="X34" s="712"/>
      <c r="Y34" s="3773"/>
      <c r="Z34" s="55" t="str">
        <f t="shared" si="12"/>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773" t="s">
        <v>2386</v>
      </c>
      <c r="Q35" s="1536" t="str">
        <f t="shared" si="8"/>
        <v>市政基础设施</v>
      </c>
      <c r="R35" s="714" t="s">
        <v>17</v>
      </c>
      <c r="S35" s="715">
        <f t="shared" si="9"/>
        <v>100</v>
      </c>
      <c r="T35" s="714" t="s">
        <v>17</v>
      </c>
      <c r="U35" s="715">
        <f t="shared" si="10"/>
        <v>100</v>
      </c>
      <c r="V35" s="714" t="s">
        <v>17</v>
      </c>
      <c r="W35" s="715">
        <f t="shared" si="11"/>
        <v>100</v>
      </c>
      <c r="X35" s="1539"/>
      <c r="Y35" s="3773" t="s">
        <v>2386</v>
      </c>
      <c r="Z35" s="1540" t="str">
        <f t="shared" si="12"/>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773"/>
      <c r="Q36" s="1536" t="str">
        <f t="shared" si="8"/>
        <v>内部装修</v>
      </c>
      <c r="R36" s="714" t="s">
        <v>17</v>
      </c>
      <c r="S36" s="715">
        <f t="shared" si="9"/>
        <v>100</v>
      </c>
      <c r="T36" s="714" t="s">
        <v>17</v>
      </c>
      <c r="U36" s="715">
        <f t="shared" si="10"/>
        <v>100</v>
      </c>
      <c r="V36" s="714" t="s">
        <v>17</v>
      </c>
      <c r="W36" s="715">
        <f t="shared" si="11"/>
        <v>100</v>
      </c>
      <c r="X36" s="1539"/>
      <c r="Y36" s="3773"/>
      <c r="Z36" s="1540" t="str">
        <f t="shared" si="12"/>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773"/>
      <c r="Q37" s="1536" t="str">
        <f t="shared" si="8"/>
        <v>内部装修状况</v>
      </c>
      <c r="R37" s="714" t="s">
        <v>17</v>
      </c>
      <c r="S37" s="715">
        <f t="shared" si="9"/>
        <v>100</v>
      </c>
      <c r="T37" s="714" t="s">
        <v>17</v>
      </c>
      <c r="U37" s="715">
        <f t="shared" si="10"/>
        <v>100</v>
      </c>
      <c r="V37" s="714" t="s">
        <v>17</v>
      </c>
      <c r="W37" s="715">
        <f t="shared" si="11"/>
        <v>100</v>
      </c>
      <c r="X37" s="1539"/>
      <c r="Y37" s="3773"/>
      <c r="Z37" s="1540" t="str">
        <f t="shared" si="12"/>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773"/>
      <c r="Q38" s="716">
        <f t="shared" si="8"/>
        <v>111</v>
      </c>
      <c r="R38" s="717" t="s">
        <v>17</v>
      </c>
      <c r="S38" s="718">
        <f t="shared" si="9"/>
        <v>100</v>
      </c>
      <c r="T38" s="717" t="s">
        <v>17</v>
      </c>
      <c r="U38" s="718">
        <f t="shared" si="10"/>
        <v>100</v>
      </c>
      <c r="V38" s="717" t="s">
        <v>17</v>
      </c>
      <c r="W38" s="718">
        <f t="shared" si="11"/>
        <v>100</v>
      </c>
      <c r="X38" s="719"/>
      <c r="Y38" s="3773"/>
      <c r="Z38" s="720">
        <f t="shared" si="12"/>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773"/>
      <c r="Q39" s="1536">
        <f t="shared" si="8"/>
        <v>111</v>
      </c>
      <c r="R39" s="714" t="s">
        <v>17</v>
      </c>
      <c r="S39" s="715">
        <f t="shared" si="9"/>
        <v>100</v>
      </c>
      <c r="T39" s="714" t="s">
        <v>17</v>
      </c>
      <c r="U39" s="715">
        <f t="shared" si="10"/>
        <v>100</v>
      </c>
      <c r="V39" s="714" t="s">
        <v>17</v>
      </c>
      <c r="W39" s="715">
        <f t="shared" si="11"/>
        <v>100</v>
      </c>
      <c r="X39" s="1539"/>
      <c r="Y39" s="3773"/>
      <c r="Z39" s="1540">
        <f t="shared" si="12"/>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774"/>
      <c r="Q40" s="1536">
        <f t="shared" si="8"/>
        <v>111</v>
      </c>
      <c r="R40" s="714" t="s">
        <v>17</v>
      </c>
      <c r="S40" s="715">
        <f t="shared" si="9"/>
        <v>100</v>
      </c>
      <c r="T40" s="714" t="s">
        <v>17</v>
      </c>
      <c r="U40" s="715">
        <f t="shared" si="10"/>
        <v>100</v>
      </c>
      <c r="V40" s="714" t="s">
        <v>17</v>
      </c>
      <c r="W40" s="715">
        <f t="shared" si="11"/>
        <v>100</v>
      </c>
      <c r="X40" s="1539"/>
      <c r="Y40" s="3774"/>
      <c r="Z40" s="1540">
        <f t="shared" si="12"/>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766" t="str">
        <f>A41</f>
        <v>成交单价（元/平方米）</v>
      </c>
      <c r="Q41" s="3766"/>
      <c r="R41" s="3767">
        <f>E41</f>
        <v>0</v>
      </c>
      <c r="S41" s="3767"/>
      <c r="T41" s="3767">
        <f>G41</f>
        <v>0</v>
      </c>
      <c r="U41" s="3767"/>
      <c r="V41" s="3767">
        <f>I41</f>
        <v>0</v>
      </c>
      <c r="W41" s="3767"/>
      <c r="X41" s="699"/>
      <c r="Y41" s="721"/>
      <c r="Z41" s="699"/>
      <c r="AA41" s="699"/>
      <c r="AB41" s="699"/>
      <c r="AC41" s="699"/>
    </row>
    <row r="42" spans="1:29" ht="15.75" thickBot="1">
      <c r="A42" s="445" t="s">
        <v>2490</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2017-6</v>
      </c>
      <c r="D52" s="1347">
        <f>EDATE(C52,-1)</f>
        <v>42856</v>
      </c>
      <c r="E52" s="1347">
        <f t="shared" ref="E52:O52" si="13">EDATE(D52,-1)</f>
        <v>42826</v>
      </c>
      <c r="F52" s="1347">
        <f t="shared" si="13"/>
        <v>42795</v>
      </c>
      <c r="G52" s="1347">
        <f t="shared" si="13"/>
        <v>42767</v>
      </c>
      <c r="H52" s="1347">
        <f t="shared" si="13"/>
        <v>42736</v>
      </c>
      <c r="I52" s="1347">
        <f t="shared" si="13"/>
        <v>42705</v>
      </c>
      <c r="J52" s="1347">
        <f t="shared" si="13"/>
        <v>42675</v>
      </c>
      <c r="K52" s="1347">
        <f t="shared" si="13"/>
        <v>42644</v>
      </c>
      <c r="L52" s="1347">
        <f t="shared" si="13"/>
        <v>42614</v>
      </c>
      <c r="M52" s="1347">
        <f t="shared" si="13"/>
        <v>42583</v>
      </c>
      <c r="N52" s="1347">
        <f t="shared" si="13"/>
        <v>42552</v>
      </c>
      <c r="O52" s="1347">
        <f t="shared" si="13"/>
        <v>42522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2434</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207" priority="20" stopIfTrue="1" operator="containsText" text="超过">
      <formula>NOT(ISERROR(SEARCH("超过",F46)))</formula>
    </cfRule>
  </conditionalFormatting>
  <conditionalFormatting sqref="H48">
    <cfRule type="containsText" dxfId="206" priority="19" stopIfTrue="1" operator="containsText" text="超过">
      <formula>NOT(ISERROR(SEARCH("超过",H48)))</formula>
    </cfRule>
  </conditionalFormatting>
  <conditionalFormatting sqref="F48">
    <cfRule type="containsText" dxfId="205" priority="18" stopIfTrue="1" operator="containsText" text="超过">
      <formula>NOT(ISERROR(SEARCH("超过",F48)))</formula>
    </cfRule>
  </conditionalFormatting>
  <conditionalFormatting sqref="F47 H47">
    <cfRule type="containsText" dxfId="204" priority="17" stopIfTrue="1" operator="containsText" text="超过">
      <formula>NOT(ISERROR(SEARCH("超过",F47)))</formula>
    </cfRule>
  </conditionalFormatting>
  <conditionalFormatting sqref="E46">
    <cfRule type="expression" dxfId="203" priority="16" stopIfTrue="1">
      <formula>$F$46="超过30%"</formula>
    </cfRule>
  </conditionalFormatting>
  <conditionalFormatting sqref="E47">
    <cfRule type="expression" dxfId="202" priority="15" stopIfTrue="1">
      <formula>$F$47="超过20%"</formula>
    </cfRule>
  </conditionalFormatting>
  <conditionalFormatting sqref="E48">
    <cfRule type="expression" dxfId="201" priority="14" stopIfTrue="1">
      <formula>$F$48="超过30%"</formula>
    </cfRule>
  </conditionalFormatting>
  <conditionalFormatting sqref="G48">
    <cfRule type="expression" dxfId="200" priority="13" stopIfTrue="1">
      <formula>$H$48="超过30%"</formula>
    </cfRule>
  </conditionalFormatting>
  <conditionalFormatting sqref="G46">
    <cfRule type="expression" dxfId="199" priority="12" stopIfTrue="1">
      <formula>$H$46="超过30%"</formula>
    </cfRule>
  </conditionalFormatting>
  <conditionalFormatting sqref="G47">
    <cfRule type="expression" dxfId="198" priority="11" stopIfTrue="1">
      <formula>$H$47="超过20%"</formula>
    </cfRule>
  </conditionalFormatting>
  <conditionalFormatting sqref="J46">
    <cfRule type="containsText" dxfId="197" priority="10" stopIfTrue="1" operator="containsText" text="超过">
      <formula>NOT(ISERROR(SEARCH("超过",J46)))</formula>
    </cfRule>
  </conditionalFormatting>
  <conditionalFormatting sqref="J48">
    <cfRule type="containsText" dxfId="196" priority="9" stopIfTrue="1" operator="containsText" text="超过">
      <formula>NOT(ISERROR(SEARCH("超过",J48)))</formula>
    </cfRule>
  </conditionalFormatting>
  <conditionalFormatting sqref="J47">
    <cfRule type="containsText" dxfId="195" priority="8" stopIfTrue="1" operator="containsText" text="超过">
      <formula>NOT(ISERROR(SEARCH("超过",J47)))</formula>
    </cfRule>
  </conditionalFormatting>
  <conditionalFormatting sqref="I46">
    <cfRule type="expression" dxfId="194" priority="7" stopIfTrue="1">
      <formula>$J$46="超过30%"</formula>
    </cfRule>
  </conditionalFormatting>
  <conditionalFormatting sqref="I47">
    <cfRule type="expression" dxfId="193" priority="6" stopIfTrue="1">
      <formula>$J$47="超过20%"</formula>
    </cfRule>
  </conditionalFormatting>
  <conditionalFormatting sqref="I48">
    <cfRule type="expression" dxfId="192" priority="5" stopIfTrue="1">
      <formula>$J$48="超过30%"</formula>
    </cfRule>
  </conditionalFormatting>
  <conditionalFormatting sqref="F42">
    <cfRule type="expression" dxfId="191" priority="4">
      <formula>$D$42="简单平均"</formula>
    </cfRule>
  </conditionalFormatting>
  <conditionalFormatting sqref="H42">
    <cfRule type="expression" dxfId="190" priority="3">
      <formula>$D$42="简单平均"</formula>
    </cfRule>
  </conditionalFormatting>
  <conditionalFormatting sqref="J42">
    <cfRule type="expression" dxfId="189" priority="2">
      <formula>$D$42="简单平均"</formula>
    </cfRule>
  </conditionalFormatting>
  <conditionalFormatting sqref="F7:F40 H7:H40 J7:J40">
    <cfRule type="cellIs" dxfId="18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20 G20 E20 I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29 E29 G29 I29" xr:uid="{00000000-0002-0000-1A00-000007000000}">
      <formula1>工业建筑类型</formula1>
    </dataValidation>
    <dataValidation type="list" allowBlank="1" showInputMessage="1" showErrorMessage="1" sqref="C31 E31 G31 I31" xr:uid="{00000000-0002-0000-1A00-000008000000}">
      <formula1>工业建筑结构</formula1>
    </dataValidation>
    <dataValidation type="list" allowBlank="1" showInputMessage="1" showErrorMessage="1" sqref="C32 E32 G32 I32" xr:uid="{00000000-0002-0000-1A00-000009000000}">
      <formula1>工业公共部分装修</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5 E35 G35 I35" xr:uid="{00000000-0002-0000-1A00-00000B000000}">
      <formula1>工业基础设施水平</formula1>
    </dataValidation>
    <dataValidation type="list" allowBlank="1" showInputMessage="1" showErrorMessage="1" sqref="C36 E36 G36 I36" xr:uid="{00000000-0002-0000-1A00-00000C000000}">
      <formula1>工业内部装修</formula1>
    </dataValidation>
    <dataValidation type="list" allowBlank="1" showInputMessage="1" showErrorMessage="1" sqref="C37 E37 G37 I37" xr:uid="{00000000-0002-0000-1A00-00000D000000}">
      <formula1>内部装修维护情况</formula1>
    </dataValidation>
    <dataValidation type="list" allowBlank="1" showInputMessage="1" showErrorMessage="1" sqref="C16 E16 G16 I16" xr:uid="{00000000-0002-0000-1A00-00000E000000}">
      <formula1>产业集聚程度</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F1" xr:uid="{00000000-0002-0000-1A00-000010000000}">
      <formula1>"售价,租金"</formula1>
    </dataValidation>
    <dataValidation type="list" allowBlank="1" showInputMessage="1" showErrorMessage="1" sqref="C2" xr:uid="{00000000-0002-0000-1A00-000011000000}">
      <formula1>"需扣减承租人权益,——"</formula1>
    </dataValidation>
    <dataValidation type="list" allowBlank="1" showInputMessage="1" showErrorMessage="1" sqref="F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91" t="s">
        <v>2468</v>
      </c>
      <c r="S4" s="3792"/>
      <c r="T4" s="3791" t="s">
        <v>2469</v>
      </c>
      <c r="U4" s="3792"/>
      <c r="V4" s="3797" t="s">
        <v>2470</v>
      </c>
      <c r="W4" s="3797"/>
      <c r="X4" s="1539"/>
      <c r="Y4" s="3791" t="s">
        <v>2472</v>
      </c>
      <c r="Z4" s="3792"/>
      <c r="AA4" s="3778" t="s">
        <v>2468</v>
      </c>
      <c r="AB4" s="3779" t="s">
        <v>2469</v>
      </c>
      <c r="AC4" s="3778" t="s">
        <v>2470</v>
      </c>
    </row>
    <row r="5" spans="1:29" ht="15">
      <c r="A5" s="364"/>
      <c r="B5" s="365"/>
      <c r="C5" s="3800" t="s">
        <v>2363</v>
      </c>
      <c r="D5" s="3801"/>
      <c r="E5" s="3807" t="s">
        <v>2364</v>
      </c>
      <c r="F5" s="3808"/>
      <c r="G5" s="3800" t="s">
        <v>2365</v>
      </c>
      <c r="H5" s="3801"/>
      <c r="I5" s="3800" t="s">
        <v>2366</v>
      </c>
      <c r="J5" s="3801"/>
      <c r="K5" s="567"/>
      <c r="L5" s="2942"/>
      <c r="M5" s="2943"/>
      <c r="N5" s="2943"/>
      <c r="O5" s="2943"/>
      <c r="P5" s="3787"/>
      <c r="Q5" s="3788"/>
      <c r="R5" s="3793"/>
      <c r="S5" s="3794"/>
      <c r="T5" s="3793"/>
      <c r="U5" s="3794"/>
      <c r="V5" s="3797"/>
      <c r="W5" s="3797"/>
      <c r="X5" s="1539"/>
      <c r="Y5" s="3793"/>
      <c r="Z5" s="3794"/>
      <c r="AA5" s="3779"/>
      <c r="AB5" s="3779"/>
      <c r="AC5" s="3779"/>
    </row>
    <row r="6" spans="1:29" ht="15.75" thickBot="1">
      <c r="A6" s="366"/>
      <c r="B6" s="367"/>
      <c r="C6" s="3798" t="s">
        <v>2367</v>
      </c>
      <c r="D6" s="3799"/>
      <c r="E6" s="3805" t="s">
        <v>2367</v>
      </c>
      <c r="F6" s="3806"/>
      <c r="G6" s="3798" t="s">
        <v>2367</v>
      </c>
      <c r="H6" s="3799"/>
      <c r="I6" s="3798" t="s">
        <v>2367</v>
      </c>
      <c r="J6" s="3799"/>
      <c r="K6" s="567" t="s">
        <v>2368</v>
      </c>
      <c r="L6" s="2942"/>
      <c r="M6" s="2943"/>
      <c r="N6" s="2943"/>
      <c r="O6" s="2943"/>
      <c r="P6" s="3789"/>
      <c r="Q6" s="3790"/>
      <c r="R6" s="3793"/>
      <c r="S6" s="3794"/>
      <c r="T6" s="3795"/>
      <c r="U6" s="3796"/>
      <c r="V6" s="3797"/>
      <c r="W6" s="3797"/>
      <c r="X6" s="1539"/>
      <c r="Y6" s="3795"/>
      <c r="Z6" s="3796"/>
      <c r="AA6" s="3780"/>
      <c r="AB6" s="3780"/>
      <c r="AC6" s="3780"/>
    </row>
    <row r="7" spans="1:29" s="113" customFormat="1" ht="15.75" thickBot="1">
      <c r="A7" s="368" t="s">
        <v>2369</v>
      </c>
      <c r="B7" s="369"/>
      <c r="C7" s="370">
        <f>'数据-取费表'!B2</f>
        <v>42914</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802" t="s">
        <v>2370</v>
      </c>
      <c r="Q7" s="3804"/>
      <c r="R7" s="710" t="s">
        <v>17</v>
      </c>
      <c r="S7" s="711">
        <f t="shared" ref="S7:S14" si="0">F7</f>
        <v>0</v>
      </c>
      <c r="T7" s="710" t="s">
        <v>17</v>
      </c>
      <c r="U7" s="711">
        <f t="shared" ref="U7:U14" si="1">H7</f>
        <v>0</v>
      </c>
      <c r="V7" s="710" t="s">
        <v>17</v>
      </c>
      <c r="W7" s="711">
        <f t="shared" ref="W7:W14" si="2">J7</f>
        <v>0</v>
      </c>
      <c r="X7" s="712"/>
      <c r="Y7" s="3802" t="s">
        <v>2370</v>
      </c>
      <c r="Z7" s="380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802" t="s">
        <v>2373</v>
      </c>
      <c r="Q8" s="3803"/>
      <c r="R8" s="710" t="s">
        <v>17</v>
      </c>
      <c r="S8" s="711">
        <f t="shared" si="0"/>
        <v>0</v>
      </c>
      <c r="T8" s="710" t="s">
        <v>17</v>
      </c>
      <c r="U8" s="711">
        <f t="shared" si="1"/>
        <v>0</v>
      </c>
      <c r="V8" s="710" t="s">
        <v>17</v>
      </c>
      <c r="W8" s="711">
        <f t="shared" si="2"/>
        <v>0</v>
      </c>
      <c r="X8" s="712"/>
      <c r="Y8" s="3802" t="s">
        <v>2373</v>
      </c>
      <c r="Z8" s="380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766" t="s">
        <v>2376</v>
      </c>
      <c r="Q9" s="1527" t="str">
        <f t="shared" ref="Q9:Q14" si="6">B9</f>
        <v>用途</v>
      </c>
      <c r="R9" s="710" t="s">
        <v>17</v>
      </c>
      <c r="S9" s="711">
        <f t="shared" si="0"/>
        <v>100</v>
      </c>
      <c r="T9" s="710" t="s">
        <v>17</v>
      </c>
      <c r="U9" s="711">
        <f t="shared" si="1"/>
        <v>100</v>
      </c>
      <c r="V9" s="710" t="s">
        <v>17</v>
      </c>
      <c r="W9" s="711">
        <f t="shared" si="2"/>
        <v>100</v>
      </c>
      <c r="X9" s="712"/>
      <c r="Y9" s="363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766"/>
      <c r="Q10" s="1527" t="str">
        <f t="shared" si="6"/>
        <v>土地使用年限（年）</v>
      </c>
      <c r="R10" s="710" t="s">
        <v>17</v>
      </c>
      <c r="S10" s="711">
        <f t="shared" si="0"/>
        <v>100</v>
      </c>
      <c r="T10" s="710" t="s">
        <v>17</v>
      </c>
      <c r="U10" s="711">
        <f t="shared" si="1"/>
        <v>100</v>
      </c>
      <c r="V10" s="710" t="s">
        <v>17</v>
      </c>
      <c r="W10" s="711">
        <f t="shared" si="2"/>
        <v>100</v>
      </c>
      <c r="X10" s="712"/>
      <c r="Y10" s="363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766"/>
      <c r="Q11" s="1527">
        <f t="shared" si="6"/>
        <v>111</v>
      </c>
      <c r="R11" s="710" t="s">
        <v>17</v>
      </c>
      <c r="S11" s="711">
        <f t="shared" si="0"/>
        <v>100</v>
      </c>
      <c r="T11" s="710" t="s">
        <v>17</v>
      </c>
      <c r="U11" s="711">
        <f t="shared" si="1"/>
        <v>100</v>
      </c>
      <c r="V11" s="710" t="s">
        <v>17</v>
      </c>
      <c r="W11" s="711">
        <f t="shared" si="2"/>
        <v>100</v>
      </c>
      <c r="X11" s="712"/>
      <c r="Y11" s="363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766"/>
      <c r="Q12" s="1527">
        <f t="shared" si="6"/>
        <v>111</v>
      </c>
      <c r="R12" s="710" t="s">
        <v>17</v>
      </c>
      <c r="S12" s="711">
        <f t="shared" si="0"/>
        <v>100</v>
      </c>
      <c r="T12" s="710" t="s">
        <v>17</v>
      </c>
      <c r="U12" s="711">
        <f t="shared" si="1"/>
        <v>100</v>
      </c>
      <c r="V12" s="710" t="s">
        <v>17</v>
      </c>
      <c r="W12" s="711">
        <f t="shared" si="2"/>
        <v>100</v>
      </c>
      <c r="X12" s="712"/>
      <c r="Y12" s="363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766"/>
      <c r="Q13" s="1527">
        <f t="shared" si="6"/>
        <v>111</v>
      </c>
      <c r="R13" s="710" t="s">
        <v>17</v>
      </c>
      <c r="S13" s="711">
        <f t="shared" si="0"/>
        <v>100</v>
      </c>
      <c r="T13" s="710" t="s">
        <v>17</v>
      </c>
      <c r="U13" s="711">
        <f t="shared" si="1"/>
        <v>100</v>
      </c>
      <c r="V13" s="710" t="s">
        <v>17</v>
      </c>
      <c r="W13" s="711">
        <f t="shared" si="2"/>
        <v>100</v>
      </c>
      <c r="X13" s="712"/>
      <c r="Y13" s="3636"/>
      <c r="Z13" s="55">
        <f t="shared" si="7"/>
        <v>111</v>
      </c>
      <c r="AA13" s="713">
        <f t="shared" si="3"/>
        <v>1</v>
      </c>
      <c r="AB13" s="713">
        <f t="shared" si="4"/>
        <v>1</v>
      </c>
      <c r="AC13" s="713">
        <f t="shared" si="5"/>
        <v>1</v>
      </c>
    </row>
    <row r="14" spans="1:29" ht="228">
      <c r="A14" s="399" t="s">
        <v>2380</v>
      </c>
      <c r="B14" s="65" t="s">
        <v>2529</v>
      </c>
      <c r="C14" s="2157"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768" t="s">
        <v>2381</v>
      </c>
      <c r="Q14" s="1536" t="str">
        <f t="shared" si="6"/>
        <v>交通便捷度</v>
      </c>
      <c r="R14" s="714" t="s">
        <v>17</v>
      </c>
      <c r="S14" s="715">
        <f t="shared" si="0"/>
        <v>100</v>
      </c>
      <c r="T14" s="714" t="s">
        <v>17</v>
      </c>
      <c r="U14" s="715">
        <f t="shared" si="1"/>
        <v>100</v>
      </c>
      <c r="V14" s="714" t="s">
        <v>17</v>
      </c>
      <c r="W14" s="715">
        <f t="shared" si="2"/>
        <v>100</v>
      </c>
      <c r="X14" s="1539"/>
      <c r="Y14" s="376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769"/>
      <c r="Q15" s="1536"/>
      <c r="R15" s="714"/>
      <c r="S15" s="715"/>
      <c r="T15" s="714"/>
      <c r="U15" s="715"/>
      <c r="V15" s="714"/>
      <c r="W15" s="715"/>
      <c r="X15" s="1539"/>
      <c r="Y15" s="3769"/>
      <c r="Z15" s="1540"/>
      <c r="AA15" s="1537">
        <v>1</v>
      </c>
      <c r="AB15" s="1537">
        <v>1</v>
      </c>
      <c r="AC15" s="1537">
        <v>1</v>
      </c>
    </row>
    <row r="16" spans="1:29" ht="285">
      <c r="A16" s="387"/>
      <c r="B16" s="410"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769"/>
      <c r="Q16" s="1536" t="str">
        <f>B16</f>
        <v>公共配套设施</v>
      </c>
      <c r="R16" s="714" t="s">
        <v>17</v>
      </c>
      <c r="S16" s="715">
        <f>F16</f>
        <v>100</v>
      </c>
      <c r="T16" s="714" t="s">
        <v>17</v>
      </c>
      <c r="U16" s="715">
        <f>H16</f>
        <v>100</v>
      </c>
      <c r="V16" s="714" t="s">
        <v>17</v>
      </c>
      <c r="W16" s="715">
        <f>J16</f>
        <v>100</v>
      </c>
      <c r="X16" s="1539"/>
      <c r="Y16" s="376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769"/>
      <c r="Q17" s="1536"/>
      <c r="R17" s="714"/>
      <c r="S17" s="715"/>
      <c r="T17" s="714"/>
      <c r="U17" s="715"/>
      <c r="V17" s="714"/>
      <c r="W17" s="715"/>
      <c r="X17" s="1539"/>
      <c r="Y17" s="3769"/>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769"/>
      <c r="Q18" s="1536" t="str">
        <f>B18</f>
        <v>基础设施水平</v>
      </c>
      <c r="R18" s="714" t="s">
        <v>17</v>
      </c>
      <c r="S18" s="715">
        <f>F18</f>
        <v>100</v>
      </c>
      <c r="T18" s="714" t="s">
        <v>17</v>
      </c>
      <c r="U18" s="715">
        <f>H18</f>
        <v>100</v>
      </c>
      <c r="V18" s="714" t="s">
        <v>17</v>
      </c>
      <c r="W18" s="715">
        <f>J18</f>
        <v>100</v>
      </c>
      <c r="X18" s="1539"/>
      <c r="Y18" s="3769"/>
      <c r="Z18" s="1540" t="str">
        <f>Q18</f>
        <v>基础设施水平</v>
      </c>
      <c r="AA18" s="1537">
        <f>D18/F18</f>
        <v>1</v>
      </c>
      <c r="AB18" s="1537">
        <f>D18/H18</f>
        <v>1</v>
      </c>
      <c r="AC18" s="1537">
        <f>D18/J18</f>
        <v>1</v>
      </c>
    </row>
    <row r="19" spans="1:29" ht="15">
      <c r="A19" s="387"/>
      <c r="B19" s="1293"/>
      <c r="C19" s="2087"/>
      <c r="D19" s="409"/>
      <c r="E19" s="2087"/>
      <c r="F19" s="412"/>
      <c r="G19" s="2087"/>
      <c r="H19" s="407"/>
      <c r="I19" s="406"/>
      <c r="J19" s="407"/>
      <c r="K19" s="1292"/>
      <c r="L19" s="2949"/>
      <c r="M19" s="2943"/>
      <c r="N19" s="2943"/>
      <c r="O19" s="3001"/>
      <c r="P19" s="3769"/>
      <c r="Q19" s="1536"/>
      <c r="R19" s="714"/>
      <c r="S19" s="715"/>
      <c r="T19" s="714"/>
      <c r="U19" s="715"/>
      <c r="V19" s="714"/>
      <c r="W19" s="715"/>
      <c r="X19" s="1539"/>
      <c r="Y19" s="3769"/>
      <c r="Z19" s="1540"/>
      <c r="AA19" s="1537">
        <v>1</v>
      </c>
      <c r="AB19" s="1537">
        <v>1</v>
      </c>
      <c r="AC19" s="1537">
        <v>1</v>
      </c>
    </row>
    <row r="20" spans="1:29" ht="57">
      <c r="A20" s="387"/>
      <c r="B20" s="410" t="s">
        <v>2530</v>
      </c>
      <c r="C20" s="2086" t="str">
        <f>IF(B1="工业",估价对象房地状况!G7,估价对象房地状况!C9)</f>
        <v>周边有隆福寺广场、东四清真寺等，自然及人文环境较好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769"/>
      <c r="Q20" s="1536" t="str">
        <f>B20</f>
        <v>自然及人文环境</v>
      </c>
      <c r="R20" s="714" t="s">
        <v>17</v>
      </c>
      <c r="S20" s="715">
        <f>F20</f>
        <v>100</v>
      </c>
      <c r="T20" s="714" t="s">
        <v>17</v>
      </c>
      <c r="U20" s="715">
        <f>H20</f>
        <v>100</v>
      </c>
      <c r="V20" s="714" t="s">
        <v>17</v>
      </c>
      <c r="W20" s="715">
        <f>J20</f>
        <v>100</v>
      </c>
      <c r="X20" s="1539"/>
      <c r="Y20" s="376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769"/>
      <c r="Q21" s="1536"/>
      <c r="R21" s="714"/>
      <c r="S21" s="715"/>
      <c r="T21" s="714"/>
      <c r="U21" s="715"/>
      <c r="V21" s="714"/>
      <c r="W21" s="715"/>
      <c r="X21" s="1539"/>
      <c r="Y21" s="376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769"/>
      <c r="Q22" s="1536" t="str">
        <f>B22</f>
        <v>楼层</v>
      </c>
      <c r="R22" s="714" t="s">
        <v>17</v>
      </c>
      <c r="S22" s="715">
        <f>F22</f>
        <v>100</v>
      </c>
      <c r="T22" s="714" t="s">
        <v>17</v>
      </c>
      <c r="U22" s="715">
        <f>H22</f>
        <v>100</v>
      </c>
      <c r="V22" s="714" t="s">
        <v>17</v>
      </c>
      <c r="W22" s="715">
        <f>J22</f>
        <v>100</v>
      </c>
      <c r="X22" s="1539"/>
      <c r="Y22" s="376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769"/>
      <c r="Q23" s="1536">
        <f>B23</f>
        <v>111</v>
      </c>
      <c r="R23" s="714" t="s">
        <v>17</v>
      </c>
      <c r="S23" s="715">
        <f>F23</f>
        <v>100</v>
      </c>
      <c r="T23" s="714" t="s">
        <v>17</v>
      </c>
      <c r="U23" s="715">
        <f>H23</f>
        <v>100</v>
      </c>
      <c r="V23" s="714" t="s">
        <v>17</v>
      </c>
      <c r="W23" s="715">
        <f>J23</f>
        <v>100</v>
      </c>
      <c r="X23" s="1539"/>
      <c r="Y23" s="376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769"/>
      <c r="Q24" s="1536">
        <f t="shared" ref="Q24:Q34" si="8">B24</f>
        <v>111</v>
      </c>
      <c r="R24" s="714" t="s">
        <v>17</v>
      </c>
      <c r="S24" s="715">
        <f>F24</f>
        <v>100</v>
      </c>
      <c r="T24" s="714" t="s">
        <v>17</v>
      </c>
      <c r="U24" s="715">
        <f>H24</f>
        <v>100</v>
      </c>
      <c r="V24" s="714" t="s">
        <v>17</v>
      </c>
      <c r="W24" s="715">
        <f>J24</f>
        <v>100</v>
      </c>
      <c r="X24" s="1539"/>
      <c r="Y24" s="376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769"/>
      <c r="Q25" s="1527">
        <f t="shared" si="8"/>
        <v>111</v>
      </c>
      <c r="R25" s="710" t="s">
        <v>17</v>
      </c>
      <c r="S25" s="711">
        <f>F25</f>
        <v>100</v>
      </c>
      <c r="T25" s="710" t="s">
        <v>17</v>
      </c>
      <c r="U25" s="711">
        <f>H25</f>
        <v>100</v>
      </c>
      <c r="V25" s="710" t="s">
        <v>17</v>
      </c>
      <c r="W25" s="711">
        <f>J25</f>
        <v>100</v>
      </c>
      <c r="X25" s="712"/>
      <c r="Y25" s="3769"/>
      <c r="Z25" s="55">
        <f>Q25</f>
        <v>111</v>
      </c>
      <c r="AA25" s="1537">
        <f>D25/F25</f>
        <v>1</v>
      </c>
      <c r="AB25" s="1537">
        <f>D25/H25</f>
        <v>1</v>
      </c>
      <c r="AC25" s="1537">
        <f>D25/J25</f>
        <v>1</v>
      </c>
    </row>
    <row r="26" spans="1:29" ht="28.5">
      <c r="A26" s="425" t="s">
        <v>2384</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809" t="s">
        <v>2386</v>
      </c>
      <c r="Q26" s="1536" t="str">
        <f t="shared" si="8"/>
        <v>公共部分装修</v>
      </c>
      <c r="R26" s="714" t="s">
        <v>17</v>
      </c>
      <c r="S26" s="715">
        <f t="shared" ref="S26:S34" si="9">F26</f>
        <v>100</v>
      </c>
      <c r="T26" s="714" t="s">
        <v>17</v>
      </c>
      <c r="U26" s="715">
        <f t="shared" ref="U26:U34" si="10">H26</f>
        <v>100</v>
      </c>
      <c r="V26" s="714" t="s">
        <v>17</v>
      </c>
      <c r="W26" s="715">
        <f t="shared" ref="W26:W34" si="11">J26</f>
        <v>100</v>
      </c>
      <c r="X26" s="1539"/>
      <c r="Y26" s="3773" t="s">
        <v>2386</v>
      </c>
      <c r="Z26" s="1540" t="str">
        <f t="shared" ref="Z26:Z34" si="12">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773"/>
      <c r="Q27" s="716" t="str">
        <f t="shared" si="8"/>
        <v>成新率</v>
      </c>
      <c r="R27" s="717" t="s">
        <v>17</v>
      </c>
      <c r="S27" s="718" t="e">
        <f t="shared" si="9"/>
        <v>#N/A</v>
      </c>
      <c r="T27" s="717" t="s">
        <v>17</v>
      </c>
      <c r="U27" s="718" t="e">
        <f t="shared" si="10"/>
        <v>#N/A</v>
      </c>
      <c r="V27" s="717" t="s">
        <v>17</v>
      </c>
      <c r="W27" s="718" t="e">
        <f t="shared" si="11"/>
        <v>#N/A</v>
      </c>
      <c r="X27" s="719"/>
      <c r="Y27" s="3773"/>
      <c r="Z27" s="720" t="str">
        <f t="shared" si="12"/>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773"/>
      <c r="Q28" s="1536" t="str">
        <f t="shared" si="8"/>
        <v>物业等级</v>
      </c>
      <c r="R28" s="714" t="s">
        <v>17</v>
      </c>
      <c r="S28" s="715">
        <f t="shared" si="9"/>
        <v>100</v>
      </c>
      <c r="T28" s="714" t="s">
        <v>17</v>
      </c>
      <c r="U28" s="715">
        <f t="shared" si="10"/>
        <v>100</v>
      </c>
      <c r="V28" s="714" t="s">
        <v>17</v>
      </c>
      <c r="W28" s="715">
        <f t="shared" si="11"/>
        <v>100</v>
      </c>
      <c r="X28" s="1539"/>
      <c r="Y28" s="3773"/>
      <c r="Z28" s="1540" t="str">
        <f t="shared" si="12"/>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773"/>
      <c r="Q29" s="1536" t="str">
        <f t="shared" si="8"/>
        <v>有无电梯</v>
      </c>
      <c r="R29" s="714" t="s">
        <v>17</v>
      </c>
      <c r="S29" s="715">
        <f t="shared" si="9"/>
        <v>100</v>
      </c>
      <c r="T29" s="714" t="s">
        <v>17</v>
      </c>
      <c r="U29" s="715">
        <f t="shared" si="10"/>
        <v>100</v>
      </c>
      <c r="V29" s="714" t="s">
        <v>17</v>
      </c>
      <c r="W29" s="715">
        <f t="shared" si="11"/>
        <v>100</v>
      </c>
      <c r="X29" s="1539"/>
      <c r="Y29" s="3773"/>
      <c r="Z29" s="1540" t="str">
        <f t="shared" si="12"/>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773"/>
      <c r="Q30" s="1536" t="str">
        <f t="shared" si="8"/>
        <v>建筑面积</v>
      </c>
      <c r="R30" s="714" t="s">
        <v>17</v>
      </c>
      <c r="S30" s="715" t="e">
        <f t="shared" si="9"/>
        <v>#N/A</v>
      </c>
      <c r="T30" s="714" t="s">
        <v>17</v>
      </c>
      <c r="U30" s="715" t="e">
        <f t="shared" si="10"/>
        <v>#N/A</v>
      </c>
      <c r="V30" s="714" t="s">
        <v>17</v>
      </c>
      <c r="W30" s="715" t="e">
        <f t="shared" si="11"/>
        <v>#N/A</v>
      </c>
      <c r="X30" s="1539"/>
      <c r="Y30" s="3773"/>
      <c r="Z30" s="1540" t="str">
        <f t="shared" si="12"/>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773"/>
      <c r="Q31" s="1527" t="str">
        <f t="shared" si="8"/>
        <v>是否封闭</v>
      </c>
      <c r="R31" s="710" t="s">
        <v>17</v>
      </c>
      <c r="S31" s="711">
        <f t="shared" si="9"/>
        <v>100</v>
      </c>
      <c r="T31" s="710" t="s">
        <v>17</v>
      </c>
      <c r="U31" s="711">
        <f t="shared" si="10"/>
        <v>100</v>
      </c>
      <c r="V31" s="710" t="s">
        <v>17</v>
      </c>
      <c r="W31" s="711">
        <f t="shared" si="11"/>
        <v>100</v>
      </c>
      <c r="X31" s="712"/>
      <c r="Y31" s="3773"/>
      <c r="Z31" s="55" t="str">
        <f t="shared" si="12"/>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773" t="s">
        <v>2386</v>
      </c>
      <c r="Q32" s="1536">
        <f t="shared" si="8"/>
        <v>111</v>
      </c>
      <c r="R32" s="714" t="s">
        <v>17</v>
      </c>
      <c r="S32" s="715">
        <f t="shared" si="9"/>
        <v>100</v>
      </c>
      <c r="T32" s="714" t="s">
        <v>17</v>
      </c>
      <c r="U32" s="715">
        <f t="shared" si="10"/>
        <v>100</v>
      </c>
      <c r="V32" s="714" t="s">
        <v>17</v>
      </c>
      <c r="W32" s="715">
        <f t="shared" si="11"/>
        <v>100</v>
      </c>
      <c r="X32" s="1539"/>
      <c r="Y32" s="3773" t="s">
        <v>2386</v>
      </c>
      <c r="Z32" s="1540">
        <f t="shared" si="12"/>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773"/>
      <c r="Q33" s="1536">
        <f t="shared" si="8"/>
        <v>111</v>
      </c>
      <c r="R33" s="714" t="s">
        <v>17</v>
      </c>
      <c r="S33" s="715">
        <f t="shared" si="9"/>
        <v>100</v>
      </c>
      <c r="T33" s="714" t="s">
        <v>17</v>
      </c>
      <c r="U33" s="715">
        <f t="shared" si="10"/>
        <v>100</v>
      </c>
      <c r="V33" s="714" t="s">
        <v>17</v>
      </c>
      <c r="W33" s="715">
        <f t="shared" si="11"/>
        <v>100</v>
      </c>
      <c r="X33" s="1539"/>
      <c r="Y33" s="3773"/>
      <c r="Z33" s="1540">
        <f t="shared" si="12"/>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773"/>
      <c r="Q34" s="1536">
        <f t="shared" si="8"/>
        <v>111</v>
      </c>
      <c r="R34" s="714" t="s">
        <v>17</v>
      </c>
      <c r="S34" s="715">
        <f t="shared" si="9"/>
        <v>100</v>
      </c>
      <c r="T34" s="714" t="s">
        <v>17</v>
      </c>
      <c r="U34" s="715">
        <f t="shared" si="10"/>
        <v>100</v>
      </c>
      <c r="V34" s="714" t="s">
        <v>17</v>
      </c>
      <c r="W34" s="715">
        <f t="shared" si="11"/>
        <v>100</v>
      </c>
      <c r="X34" s="1539"/>
      <c r="Y34" s="3773"/>
      <c r="Z34" s="1540">
        <f t="shared" si="12"/>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766" t="str">
        <f>A35</f>
        <v>成交单价（元/平方米）</v>
      </c>
      <c r="Q35" s="3766"/>
      <c r="R35" s="3767">
        <f>E35</f>
        <v>0</v>
      </c>
      <c r="S35" s="3767"/>
      <c r="T35" s="3767">
        <f>G35</f>
        <v>0</v>
      </c>
      <c r="U35" s="3767"/>
      <c r="V35" s="3767">
        <f>I35</f>
        <v>0</v>
      </c>
      <c r="W35" s="3767"/>
      <c r="X35" s="699"/>
      <c r="Y35" s="721"/>
      <c r="Z35" s="699"/>
      <c r="AA35" s="699"/>
      <c r="AB35" s="699"/>
      <c r="AC35" s="699"/>
    </row>
    <row r="36" spans="1:30" ht="15.75" thickBot="1">
      <c r="A36" s="445" t="s">
        <v>2490</v>
      </c>
      <c r="B36" s="446"/>
      <c r="C36" s="1322" t="e">
        <f>R37</f>
        <v>#DIV/0!</v>
      </c>
      <c r="D36" s="2538" t="s">
        <v>2877</v>
      </c>
      <c r="E36" s="1323" t="e">
        <f>R36</f>
        <v>#DIV/0!</v>
      </c>
      <c r="F36" s="2539"/>
      <c r="G36" s="1322" t="e">
        <f>T36</f>
        <v>#DIV/0!</v>
      </c>
      <c r="H36" s="2539"/>
      <c r="I36" s="1323" t="e">
        <f>V36</f>
        <v>#DIV/0!</v>
      </c>
      <c r="J36" s="2539"/>
      <c r="K36" s="2541">
        <f>F36+H36+J36</f>
        <v>0</v>
      </c>
      <c r="L36" s="2951"/>
      <c r="M36" s="2952"/>
      <c r="N36" s="2943"/>
      <c r="O36" s="2952"/>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763" t="str">
        <f>A37</f>
        <v>估价对象XX用房的比较价值（楼面单价，元/平方米）</v>
      </c>
      <c r="Q37" s="3764"/>
      <c r="R37" s="3810" t="e">
        <f>IF(F1="售价",ROUND(IF(D36="简单平均",AVERAGE(R36:W36),R36*F36+T36*H36+V36*J36),0),ROUND(IF(D36="简单平均",AVERAGE(R36:V36),R36*F36+T36*H36+V36*J36),1))</f>
        <v>#DIV/0!</v>
      </c>
      <c r="S37" s="3810"/>
      <c r="T37" s="3810"/>
      <c r="U37" s="3810"/>
      <c r="V37" s="3810"/>
      <c r="W37" s="381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2017-6</v>
      </c>
      <c r="D46" s="1347">
        <f>EDATE(C46,-1)</f>
        <v>42856</v>
      </c>
      <c r="E46" s="1347">
        <f t="shared" ref="E46:O46" si="13">EDATE(D46,-1)</f>
        <v>42826</v>
      </c>
      <c r="F46" s="1347">
        <f t="shared" si="13"/>
        <v>42795</v>
      </c>
      <c r="G46" s="1347">
        <f t="shared" si="13"/>
        <v>42767</v>
      </c>
      <c r="H46" s="1347">
        <f t="shared" si="13"/>
        <v>42736</v>
      </c>
      <c r="I46" s="1347">
        <f t="shared" si="13"/>
        <v>42705</v>
      </c>
      <c r="J46" s="1347">
        <f t="shared" si="13"/>
        <v>42675</v>
      </c>
      <c r="K46" s="1347">
        <f t="shared" si="13"/>
        <v>42644</v>
      </c>
      <c r="L46" s="1347">
        <f t="shared" si="13"/>
        <v>42614</v>
      </c>
      <c r="M46" s="1347">
        <f t="shared" si="13"/>
        <v>42583</v>
      </c>
      <c r="N46" s="1347">
        <f t="shared" si="13"/>
        <v>42552</v>
      </c>
      <c r="O46" s="1347">
        <f t="shared" si="13"/>
        <v>42522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187" priority="18" stopIfTrue="1" operator="containsText" text="超过">
      <formula>NOT(ISERROR(SEARCH("超过",F40)))</formula>
    </cfRule>
  </conditionalFormatting>
  <conditionalFormatting sqref="J42">
    <cfRule type="containsText" dxfId="186" priority="17" stopIfTrue="1" operator="containsText" text="超过">
      <formula>NOT(ISERROR(SEARCH("超过",J42)))</formula>
    </cfRule>
  </conditionalFormatting>
  <conditionalFormatting sqref="H42">
    <cfRule type="containsText" dxfId="185" priority="16" stopIfTrue="1" operator="containsText" text="超过">
      <formula>NOT(ISERROR(SEARCH("超过",H42)))</formula>
    </cfRule>
  </conditionalFormatting>
  <conditionalFormatting sqref="F42">
    <cfRule type="containsText" dxfId="184" priority="15" stopIfTrue="1" operator="containsText" text="超过">
      <formula>NOT(ISERROR(SEARCH("超过",F42)))</formula>
    </cfRule>
  </conditionalFormatting>
  <conditionalFormatting sqref="F41 H41 J41">
    <cfRule type="containsText" dxfId="183" priority="14" stopIfTrue="1" operator="containsText" text="超过">
      <formula>NOT(ISERROR(SEARCH("超过",F41)))</formula>
    </cfRule>
  </conditionalFormatting>
  <conditionalFormatting sqref="E40">
    <cfRule type="expression" dxfId="182" priority="13" stopIfTrue="1">
      <formula>$F$40="超过30%"</formula>
    </cfRule>
  </conditionalFormatting>
  <conditionalFormatting sqref="G42">
    <cfRule type="expression" dxfId="181" priority="12" stopIfTrue="1">
      <formula>$H$54+$H$42="超过30%"</formula>
    </cfRule>
  </conditionalFormatting>
  <conditionalFormatting sqref="E41">
    <cfRule type="expression" dxfId="180" priority="11" stopIfTrue="1">
      <formula>$F$41="超过20%"</formula>
    </cfRule>
  </conditionalFormatting>
  <conditionalFormatting sqref="E42">
    <cfRule type="expression" dxfId="179" priority="10" stopIfTrue="1">
      <formula>$F$42="超过30%"</formula>
    </cfRule>
  </conditionalFormatting>
  <conditionalFormatting sqref="G40">
    <cfRule type="expression" dxfId="178" priority="9" stopIfTrue="1">
      <formula>$H$52+$H$40="超过30%"</formula>
    </cfRule>
  </conditionalFormatting>
  <conditionalFormatting sqref="G41">
    <cfRule type="expression" dxfId="177" priority="8" stopIfTrue="1">
      <formula>$H$53+$H$41="超过20%"</formula>
    </cfRule>
  </conditionalFormatting>
  <conditionalFormatting sqref="I40">
    <cfRule type="expression" dxfId="176" priority="7" stopIfTrue="1">
      <formula>$J$40="超过30%"</formula>
    </cfRule>
  </conditionalFormatting>
  <conditionalFormatting sqref="I41">
    <cfRule type="expression" dxfId="175" priority="6" stopIfTrue="1">
      <formula>$J$41="超过20%"</formula>
    </cfRule>
  </conditionalFormatting>
  <conditionalFormatting sqref="I42">
    <cfRule type="expression" dxfId="174" priority="5" stopIfTrue="1">
      <formula>$J$42="超过30%"</formula>
    </cfRule>
  </conditionalFormatting>
  <conditionalFormatting sqref="F36">
    <cfRule type="expression" dxfId="173" priority="4">
      <formula>$D$36="简单平均"</formula>
    </cfRule>
  </conditionalFormatting>
  <conditionalFormatting sqref="H36">
    <cfRule type="expression" dxfId="172" priority="3">
      <formula>$D$36="简单平均"</formula>
    </cfRule>
  </conditionalFormatting>
  <conditionalFormatting sqref="J36">
    <cfRule type="expression" dxfId="171" priority="2">
      <formula>$D$36="简单平均"</formula>
    </cfRule>
  </conditionalFormatting>
  <conditionalFormatting sqref="F7:F34 H7:H34 J7:J34">
    <cfRule type="cellIs" dxfId="170"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10 E10 G10 I10" xr:uid="{00000000-0002-0000-1B00-000003000000}">
      <formula1>土地年限区间</formula1>
    </dataValidation>
    <dataValidation type="list" allowBlank="1" showInputMessage="1" showErrorMessage="1" sqref="C8 E8 G8 I8" xr:uid="{00000000-0002-0000-1B00-000004000000}">
      <formula1>仓储交易情况</formula1>
    </dataValidation>
    <dataValidation type="list" allowBlank="1" showInputMessage="1" showErrorMessage="1" sqref="E9 G9 I9" xr:uid="{00000000-0002-0000-1B00-000005000000}">
      <formula1>仓储用途</formula1>
    </dataValidation>
    <dataValidation type="list" allowBlank="1" showInputMessage="1" showErrorMessage="1" sqref="C21 E21 G21 I21" xr:uid="{00000000-0002-0000-1B00-000006000000}">
      <formula1>环境</formula1>
    </dataValidation>
    <dataValidation type="list" allowBlank="1" showInputMessage="1" showErrorMessage="1" sqref="C22 E22 G22 I22" xr:uid="{00000000-0002-0000-1B00-000007000000}">
      <formula1>仓储楼层</formula1>
    </dataValidation>
    <dataValidation type="list" allowBlank="1" showInputMessage="1" showErrorMessage="1" sqref="C26 E26 G26 I26" xr:uid="{00000000-0002-0000-1B00-000008000000}">
      <formula1>仓储公共部分装修</formula1>
    </dataValidation>
    <dataValidation type="list" allowBlank="1" showInputMessage="1" showErrorMessage="1" sqref="C29 E29 G29 I29" xr:uid="{00000000-0002-0000-1B00-000009000000}">
      <formula1>有无电梯</formula1>
    </dataValidation>
    <dataValidation type="list" allowBlank="1" showInputMessage="1" showErrorMessage="1" sqref="C31 E31 G31 I31" xr:uid="{00000000-0002-0000-1B00-00000A000000}">
      <formula1>是否封闭</formula1>
    </dataValidation>
    <dataValidation type="list" allowBlank="1" showInputMessage="1" showErrorMessage="1" sqref="B1" xr:uid="{00000000-0002-0000-1B00-00000B000000}">
      <formula1>地类判定</formula1>
    </dataValidation>
    <dataValidation type="list" allowBlank="1" showInputMessage="1" showErrorMessage="1" sqref="C28 E28 G28 I28" xr:uid="{00000000-0002-0000-1B00-00000C000000}">
      <formula1>仓储物业等级</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F1" xr:uid="{00000000-0002-0000-1B00-00000E000000}">
      <formula1>"售价,租金"</formula1>
    </dataValidation>
    <dataValidation type="list" allowBlank="1" showInputMessage="1" showErrorMessage="1" sqref="C2" xr:uid="{00000000-0002-0000-1B00-00000F000000}">
      <formula1>"需扣减承租人权益,——"</formula1>
    </dataValidation>
    <dataValidation type="list" allowBlank="1" showInputMessage="1" showErrorMessage="1" sqref="F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91" t="s">
        <v>2468</v>
      </c>
      <c r="S4" s="3792"/>
      <c r="T4" s="3791" t="s">
        <v>2469</v>
      </c>
      <c r="U4" s="3792"/>
      <c r="V4" s="3797" t="s">
        <v>2470</v>
      </c>
      <c r="W4" s="3797"/>
      <c r="X4" s="1539"/>
      <c r="Y4" s="3791" t="s">
        <v>2472</v>
      </c>
      <c r="Z4" s="3792"/>
      <c r="AA4" s="3778" t="s">
        <v>2468</v>
      </c>
      <c r="AB4" s="3779" t="s">
        <v>2469</v>
      </c>
      <c r="AC4" s="3778" t="s">
        <v>2470</v>
      </c>
    </row>
    <row r="5" spans="1:30" ht="15">
      <c r="A5" s="364"/>
      <c r="B5" s="365"/>
      <c r="C5" s="3800" t="s">
        <v>2363</v>
      </c>
      <c r="D5" s="3801"/>
      <c r="E5" s="3807" t="s">
        <v>2364</v>
      </c>
      <c r="F5" s="3808"/>
      <c r="G5" s="3800" t="s">
        <v>2365</v>
      </c>
      <c r="H5" s="3801"/>
      <c r="I5" s="3800" t="s">
        <v>2366</v>
      </c>
      <c r="J5" s="3801"/>
      <c r="K5" s="567"/>
      <c r="L5" s="2942"/>
      <c r="M5" s="2943"/>
      <c r="N5" s="2943"/>
      <c r="O5" s="2943"/>
      <c r="P5" s="3787"/>
      <c r="Q5" s="3788"/>
      <c r="R5" s="3793"/>
      <c r="S5" s="3794"/>
      <c r="T5" s="3793"/>
      <c r="U5" s="3794"/>
      <c r="V5" s="3797"/>
      <c r="W5" s="3797"/>
      <c r="X5" s="1539"/>
      <c r="Y5" s="3793"/>
      <c r="Z5" s="3794"/>
      <c r="AA5" s="3779"/>
      <c r="AB5" s="3779"/>
      <c r="AC5" s="3779"/>
    </row>
    <row r="6" spans="1:30" ht="15.75" thickBot="1">
      <c r="A6" s="366"/>
      <c r="B6" s="367"/>
      <c r="C6" s="3798" t="s">
        <v>2367</v>
      </c>
      <c r="D6" s="3799"/>
      <c r="E6" s="3805" t="s">
        <v>2367</v>
      </c>
      <c r="F6" s="3806"/>
      <c r="G6" s="3798" t="s">
        <v>2367</v>
      </c>
      <c r="H6" s="3799"/>
      <c r="I6" s="3798" t="s">
        <v>2367</v>
      </c>
      <c r="J6" s="3799"/>
      <c r="K6" s="567" t="s">
        <v>2368</v>
      </c>
      <c r="L6" s="2942"/>
      <c r="M6" s="2943"/>
      <c r="N6" s="2943"/>
      <c r="O6" s="2943"/>
      <c r="P6" s="3789"/>
      <c r="Q6" s="3790"/>
      <c r="R6" s="3793"/>
      <c r="S6" s="3794"/>
      <c r="T6" s="3795"/>
      <c r="U6" s="3796"/>
      <c r="V6" s="3797"/>
      <c r="W6" s="3797"/>
      <c r="X6" s="1539"/>
      <c r="Y6" s="3795"/>
      <c r="Z6" s="3796"/>
      <c r="AA6" s="3780"/>
      <c r="AB6" s="3780"/>
      <c r="AC6" s="3780"/>
    </row>
    <row r="7" spans="1:30" s="113" customFormat="1" ht="15.75" thickBot="1">
      <c r="A7" s="368" t="s">
        <v>2369</v>
      </c>
      <c r="B7" s="369"/>
      <c r="C7" s="370">
        <f>'数据-取费表'!B2</f>
        <v>42914</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802" t="s">
        <v>2370</v>
      </c>
      <c r="Q7" s="3804"/>
      <c r="R7" s="710" t="s">
        <v>17</v>
      </c>
      <c r="S7" s="711">
        <f t="shared" ref="S7:S15" si="0">F7</f>
        <v>0</v>
      </c>
      <c r="T7" s="710" t="s">
        <v>17</v>
      </c>
      <c r="U7" s="711">
        <f t="shared" ref="U7:U15" si="1">H7</f>
        <v>0</v>
      </c>
      <c r="V7" s="710" t="s">
        <v>17</v>
      </c>
      <c r="W7" s="711">
        <f t="shared" ref="W7:W15" si="2">J7</f>
        <v>0</v>
      </c>
      <c r="X7" s="712"/>
      <c r="Y7" s="3802" t="s">
        <v>2370</v>
      </c>
      <c r="Z7" s="380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802" t="s">
        <v>2373</v>
      </c>
      <c r="Q8" s="3803"/>
      <c r="R8" s="710" t="s">
        <v>17</v>
      </c>
      <c r="S8" s="711">
        <f t="shared" si="0"/>
        <v>0</v>
      </c>
      <c r="T8" s="710" t="s">
        <v>17</v>
      </c>
      <c r="U8" s="711">
        <f t="shared" si="1"/>
        <v>0</v>
      </c>
      <c r="V8" s="710" t="s">
        <v>17</v>
      </c>
      <c r="W8" s="711">
        <f t="shared" si="2"/>
        <v>0</v>
      </c>
      <c r="X8" s="712"/>
      <c r="Y8" s="3802" t="s">
        <v>2373</v>
      </c>
      <c r="Z8" s="380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766" t="s">
        <v>2376</v>
      </c>
      <c r="Q9" s="1527" t="str">
        <f t="shared" ref="Q9:Q15" si="6">B9</f>
        <v>用途</v>
      </c>
      <c r="R9" s="710" t="s">
        <v>17</v>
      </c>
      <c r="S9" s="711">
        <f t="shared" si="0"/>
        <v>100</v>
      </c>
      <c r="T9" s="710" t="s">
        <v>17</v>
      </c>
      <c r="U9" s="711">
        <f t="shared" si="1"/>
        <v>100</v>
      </c>
      <c r="V9" s="710" t="s">
        <v>17</v>
      </c>
      <c r="W9" s="711">
        <f t="shared" si="2"/>
        <v>100</v>
      </c>
      <c r="X9" s="712"/>
      <c r="Y9" s="363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123</v>
      </c>
      <c r="G10" s="422"/>
      <c r="H10" s="132">
        <f>ROUND(100/'数据-取费表'!G16,0)</f>
        <v>123</v>
      </c>
      <c r="I10" s="422"/>
      <c r="J10" s="132">
        <f>ROUND(100/'数据-取费表'!G16,0)</f>
        <v>123</v>
      </c>
      <c r="K10" s="628"/>
      <c r="L10" s="2946"/>
      <c r="M10" s="2947"/>
      <c r="N10" s="2947"/>
      <c r="O10" s="3000"/>
      <c r="P10" s="3766"/>
      <c r="Q10" s="1527" t="str">
        <f t="shared" si="6"/>
        <v>土地使用年限（年）</v>
      </c>
      <c r="R10" s="710" t="s">
        <v>17</v>
      </c>
      <c r="S10" s="711">
        <f t="shared" si="0"/>
        <v>123</v>
      </c>
      <c r="T10" s="710" t="s">
        <v>17</v>
      </c>
      <c r="U10" s="711">
        <f t="shared" si="1"/>
        <v>123</v>
      </c>
      <c r="V10" s="710" t="s">
        <v>17</v>
      </c>
      <c r="W10" s="711">
        <f t="shared" si="2"/>
        <v>123</v>
      </c>
      <c r="X10" s="712"/>
      <c r="Y10" s="3636"/>
      <c r="Z10" s="55" t="str">
        <f t="shared" si="7"/>
        <v>土地使用年限（年）</v>
      </c>
      <c r="AA10" s="713">
        <f t="shared" si="3"/>
        <v>0.81300813008130079</v>
      </c>
      <c r="AB10" s="713">
        <f t="shared" si="4"/>
        <v>0.81300813008130079</v>
      </c>
      <c r="AC10" s="713">
        <f t="shared" si="5"/>
        <v>0.81300813008130079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766"/>
      <c r="Q11" s="1527" t="str">
        <f t="shared" si="6"/>
        <v>容积率</v>
      </c>
      <c r="R11" s="710" t="s">
        <v>17</v>
      </c>
      <c r="S11" s="711" t="e">
        <f t="shared" si="0"/>
        <v>#N/A</v>
      </c>
      <c r="T11" s="710" t="s">
        <v>17</v>
      </c>
      <c r="U11" s="711" t="e">
        <f t="shared" si="1"/>
        <v>#N/A</v>
      </c>
      <c r="V11" s="710" t="s">
        <v>17</v>
      </c>
      <c r="W11" s="711" t="e">
        <f t="shared" si="2"/>
        <v>#N/A</v>
      </c>
      <c r="X11" s="712"/>
      <c r="Y11" s="3636"/>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766"/>
      <c r="Q12" s="1527" t="str">
        <f t="shared" si="6"/>
        <v>配建</v>
      </c>
      <c r="R12" s="710" t="s">
        <v>17</v>
      </c>
      <c r="S12" s="711">
        <f t="shared" si="0"/>
        <v>100</v>
      </c>
      <c r="T12" s="710" t="s">
        <v>17</v>
      </c>
      <c r="U12" s="711">
        <f t="shared" si="1"/>
        <v>100</v>
      </c>
      <c r="V12" s="710" t="s">
        <v>17</v>
      </c>
      <c r="W12" s="711">
        <f t="shared" si="2"/>
        <v>100</v>
      </c>
      <c r="X12" s="712"/>
      <c r="Y12" s="363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766"/>
      <c r="Q13" s="1527">
        <f t="shared" si="6"/>
        <v>111</v>
      </c>
      <c r="R13" s="710" t="s">
        <v>17</v>
      </c>
      <c r="S13" s="711">
        <f t="shared" si="0"/>
        <v>100</v>
      </c>
      <c r="T13" s="710" t="s">
        <v>17</v>
      </c>
      <c r="U13" s="711">
        <f t="shared" si="1"/>
        <v>100</v>
      </c>
      <c r="V13" s="710" t="s">
        <v>17</v>
      </c>
      <c r="W13" s="711">
        <f t="shared" si="2"/>
        <v>100</v>
      </c>
      <c r="X13" s="712"/>
      <c r="Y13" s="363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766"/>
      <c r="Q14" s="1527">
        <f t="shared" si="6"/>
        <v>111</v>
      </c>
      <c r="R14" s="710" t="s">
        <v>17</v>
      </c>
      <c r="S14" s="711">
        <f t="shared" si="0"/>
        <v>100</v>
      </c>
      <c r="T14" s="710" t="s">
        <v>17</v>
      </c>
      <c r="U14" s="711">
        <f t="shared" si="1"/>
        <v>100</v>
      </c>
      <c r="V14" s="710" t="s">
        <v>17</v>
      </c>
      <c r="W14" s="711">
        <f t="shared" si="2"/>
        <v>100</v>
      </c>
      <c r="X14" s="712"/>
      <c r="Y14" s="363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768" t="s">
        <v>2381</v>
      </c>
      <c r="Q15" s="1536" t="str">
        <f t="shared" si="6"/>
        <v>居住社区成熟度</v>
      </c>
      <c r="R15" s="714" t="s">
        <v>17</v>
      </c>
      <c r="S15" s="715">
        <f t="shared" si="0"/>
        <v>100</v>
      </c>
      <c r="T15" s="714" t="s">
        <v>17</v>
      </c>
      <c r="U15" s="715">
        <f t="shared" si="1"/>
        <v>100</v>
      </c>
      <c r="V15" s="714" t="s">
        <v>17</v>
      </c>
      <c r="W15" s="715">
        <f t="shared" si="2"/>
        <v>100</v>
      </c>
      <c r="X15" s="1539"/>
      <c r="Y15" s="376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769"/>
      <c r="Q16" s="1536"/>
      <c r="R16" s="714"/>
      <c r="S16" s="715"/>
      <c r="T16" s="714"/>
      <c r="U16" s="715"/>
      <c r="V16" s="714"/>
      <c r="W16" s="715"/>
      <c r="X16" s="1539"/>
      <c r="Y16" s="3769"/>
      <c r="Z16" s="1540"/>
      <c r="AA16" s="1537">
        <v>1</v>
      </c>
      <c r="AB16" s="1537">
        <v>1</v>
      </c>
      <c r="AC16" s="1537">
        <v>1</v>
      </c>
    </row>
    <row r="17" spans="1:29" ht="156.75">
      <c r="A17" s="387"/>
      <c r="B17" s="410" t="s">
        <v>2474</v>
      </c>
      <c r="C17" s="2141" t="str">
        <f>估价对象房地状况!C16</f>
        <v>估价对象位于东四商圈，位于商业类一级地价区，周边有隆福大厦、隆福广场、物美超市，东四大街、朝内大街沿街商业氛围成熟，人流量大，商业繁华度较好。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769"/>
      <c r="Q17" s="1536" t="str">
        <f>B17</f>
        <v>商业繁华度</v>
      </c>
      <c r="R17" s="714" t="s">
        <v>17</v>
      </c>
      <c r="S17" s="715">
        <f>F17</f>
        <v>100</v>
      </c>
      <c r="T17" s="714" t="s">
        <v>17</v>
      </c>
      <c r="U17" s="715">
        <f>H17</f>
        <v>100</v>
      </c>
      <c r="V17" s="714" t="s">
        <v>17</v>
      </c>
      <c r="W17" s="715">
        <f>J17</f>
        <v>100</v>
      </c>
      <c r="X17" s="1539"/>
      <c r="Y17" s="376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769"/>
      <c r="Q18" s="1536"/>
      <c r="R18" s="714"/>
      <c r="S18" s="715"/>
      <c r="T18" s="714"/>
      <c r="U18" s="715"/>
      <c r="V18" s="714"/>
      <c r="W18" s="715"/>
      <c r="X18" s="1539"/>
      <c r="Y18" s="3769"/>
      <c r="Z18" s="1540"/>
      <c r="AA18" s="1537">
        <v>1</v>
      </c>
      <c r="AB18" s="1537">
        <v>1</v>
      </c>
      <c r="AC18" s="1537">
        <v>1</v>
      </c>
    </row>
    <row r="19" spans="1:29" ht="199.5">
      <c r="A19" s="387"/>
      <c r="B19" s="410" t="s">
        <v>2508</v>
      </c>
      <c r="C19" s="2141"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769"/>
      <c r="Q19" s="1536" t="str">
        <f>B19</f>
        <v>办公集聚程度</v>
      </c>
      <c r="R19" s="714" t="s">
        <v>17</v>
      </c>
      <c r="S19" s="715">
        <f>F19</f>
        <v>100</v>
      </c>
      <c r="T19" s="714" t="s">
        <v>17</v>
      </c>
      <c r="U19" s="715">
        <f>H19</f>
        <v>100</v>
      </c>
      <c r="V19" s="714" t="s">
        <v>17</v>
      </c>
      <c r="W19" s="715">
        <f>J19</f>
        <v>100</v>
      </c>
      <c r="X19" s="1539"/>
      <c r="Y19" s="376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769"/>
      <c r="Q20" s="1536"/>
      <c r="R20" s="714"/>
      <c r="S20" s="715"/>
      <c r="T20" s="714"/>
      <c r="U20" s="715"/>
      <c r="V20" s="714"/>
      <c r="W20" s="715"/>
      <c r="X20" s="1539"/>
      <c r="Y20" s="3769"/>
      <c r="Z20" s="1540"/>
      <c r="AA20" s="1537">
        <v>1</v>
      </c>
      <c r="AB20" s="1537">
        <v>1</v>
      </c>
      <c r="AC20" s="1537">
        <v>1</v>
      </c>
    </row>
    <row r="21" spans="1:29" ht="228">
      <c r="A21" s="387"/>
      <c r="B21" s="410" t="s">
        <v>2529</v>
      </c>
      <c r="C21" s="2086"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769"/>
      <c r="Q21" s="1536" t="str">
        <f>B21</f>
        <v>交通便捷度</v>
      </c>
      <c r="R21" s="714" t="s">
        <v>17</v>
      </c>
      <c r="S21" s="715">
        <f>F21</f>
        <v>100</v>
      </c>
      <c r="T21" s="714" t="s">
        <v>17</v>
      </c>
      <c r="U21" s="715">
        <f>H21</f>
        <v>100</v>
      </c>
      <c r="V21" s="714" t="s">
        <v>17</v>
      </c>
      <c r="W21" s="715">
        <f>J21</f>
        <v>100</v>
      </c>
      <c r="X21" s="1539"/>
      <c r="Y21" s="376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769"/>
      <c r="Q22" s="1536"/>
      <c r="R22" s="714"/>
      <c r="S22" s="715"/>
      <c r="T22" s="714"/>
      <c r="U22" s="715"/>
      <c r="V22" s="714"/>
      <c r="W22" s="715"/>
      <c r="X22" s="1539"/>
      <c r="Y22" s="3769"/>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769"/>
      <c r="Q23" s="1536" t="str">
        <f t="shared" ref="Q23:Q37" si="8">B23</f>
        <v>区域土地利用方向</v>
      </c>
      <c r="R23" s="714" t="s">
        <v>17</v>
      </c>
      <c r="S23" s="715">
        <f>F23</f>
        <v>100</v>
      </c>
      <c r="T23" s="714" t="s">
        <v>17</v>
      </c>
      <c r="U23" s="715">
        <f>H23</f>
        <v>100</v>
      </c>
      <c r="V23" s="714" t="s">
        <v>17</v>
      </c>
      <c r="W23" s="715">
        <f>J23</f>
        <v>100</v>
      </c>
      <c r="X23" s="1539"/>
      <c r="Y23" s="376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769"/>
      <c r="Q24" s="1536"/>
      <c r="R24" s="714"/>
      <c r="S24" s="715"/>
      <c r="T24" s="714"/>
      <c r="U24" s="715"/>
      <c r="V24" s="714"/>
      <c r="W24" s="715"/>
      <c r="X24" s="1539"/>
      <c r="Y24" s="3769"/>
      <c r="Z24" s="1540"/>
      <c r="AA24" s="1537"/>
      <c r="AB24" s="1537"/>
      <c r="AC24" s="1537"/>
    </row>
    <row r="25" spans="1:29" ht="57">
      <c r="A25" s="364"/>
      <c r="B25" s="1293" t="s">
        <v>2568</v>
      </c>
      <c r="C25" s="2141" t="str">
        <f>估价对象房地状况!C20</f>
        <v>周边有隆福寺广场、东四清真寺等，自然及人文环境较好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769"/>
      <c r="Q25" s="1536" t="str">
        <f t="shared" si="8"/>
        <v>自然及人文环境状况</v>
      </c>
      <c r="R25" s="714" t="s">
        <v>17</v>
      </c>
      <c r="S25" s="715">
        <f>F25</f>
        <v>100</v>
      </c>
      <c r="T25" s="714" t="s">
        <v>17</v>
      </c>
      <c r="U25" s="715">
        <f>H25</f>
        <v>100</v>
      </c>
      <c r="V25" s="714" t="s">
        <v>17</v>
      </c>
      <c r="W25" s="715">
        <f>J25</f>
        <v>100</v>
      </c>
      <c r="X25" s="1539"/>
      <c r="Y25" s="376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769"/>
      <c r="Q26" s="1536"/>
      <c r="R26" s="714"/>
      <c r="S26" s="715"/>
      <c r="T26" s="714"/>
      <c r="U26" s="715"/>
      <c r="V26" s="714"/>
      <c r="W26" s="715"/>
      <c r="X26" s="1539"/>
      <c r="Y26" s="3769"/>
      <c r="Z26" s="1540"/>
      <c r="AA26" s="1537">
        <v>1</v>
      </c>
      <c r="AB26" s="1537">
        <v>1</v>
      </c>
      <c r="AC26" s="1537">
        <v>1</v>
      </c>
    </row>
    <row r="27" spans="1:29" s="113" customFormat="1" ht="285">
      <c r="A27" s="605"/>
      <c r="B27" s="1293" t="s">
        <v>2475</v>
      </c>
      <c r="C27" s="2086"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769"/>
      <c r="Q27" s="1527" t="str">
        <f t="shared" si="8"/>
        <v>公共配套设施</v>
      </c>
      <c r="R27" s="710" t="s">
        <v>17</v>
      </c>
      <c r="S27" s="711">
        <f>F27</f>
        <v>100</v>
      </c>
      <c r="T27" s="710" t="s">
        <v>17</v>
      </c>
      <c r="U27" s="711">
        <f>H27</f>
        <v>100</v>
      </c>
      <c r="V27" s="710" t="s">
        <v>17</v>
      </c>
      <c r="W27" s="711">
        <f>J27</f>
        <v>100</v>
      </c>
      <c r="X27" s="712"/>
      <c r="Y27" s="376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769"/>
      <c r="Q28" s="1527"/>
      <c r="R28" s="710"/>
      <c r="S28" s="711"/>
      <c r="T28" s="710"/>
      <c r="U28" s="711"/>
      <c r="V28" s="710"/>
      <c r="W28" s="711"/>
      <c r="X28" s="712"/>
      <c r="Y28" s="3769"/>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769"/>
      <c r="Q29" s="1527" t="str">
        <f>B29</f>
        <v>基础设施水平</v>
      </c>
      <c r="R29" s="710" t="s">
        <v>17</v>
      </c>
      <c r="S29" s="711">
        <f>F29</f>
        <v>100</v>
      </c>
      <c r="T29" s="710" t="s">
        <v>17</v>
      </c>
      <c r="U29" s="711">
        <f>H29</f>
        <v>100</v>
      </c>
      <c r="V29" s="710" t="s">
        <v>17</v>
      </c>
      <c r="W29" s="711">
        <f>J29</f>
        <v>100</v>
      </c>
      <c r="X29" s="712"/>
      <c r="Y29" s="376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769"/>
      <c r="Q30" s="1527"/>
      <c r="R30" s="710"/>
      <c r="S30" s="711"/>
      <c r="T30" s="710"/>
      <c r="U30" s="711"/>
      <c r="V30" s="710"/>
      <c r="W30" s="711"/>
      <c r="X30" s="712"/>
      <c r="Y30" s="376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769"/>
      <c r="Q31" s="1536" t="str">
        <f t="shared" si="8"/>
        <v>临街状况</v>
      </c>
      <c r="R31" s="714" t="s">
        <v>17</v>
      </c>
      <c r="S31" s="715">
        <f t="shared" ref="S31:S45" si="9">F31</f>
        <v>100</v>
      </c>
      <c r="T31" s="714" t="s">
        <v>17</v>
      </c>
      <c r="U31" s="715">
        <f t="shared" ref="U31:U45" si="10">H31</f>
        <v>100</v>
      </c>
      <c r="V31" s="714" t="s">
        <v>17</v>
      </c>
      <c r="W31" s="715">
        <f t="shared" ref="W31:W45" si="11">J31</f>
        <v>100</v>
      </c>
      <c r="X31" s="1539"/>
      <c r="Y31" s="3769"/>
      <c r="Z31" s="1540" t="str">
        <f t="shared" ref="Z31:Z45" si="12">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769"/>
      <c r="Q32" s="1536" t="str">
        <f t="shared" si="8"/>
        <v>毗邻道路的类型与等级</v>
      </c>
      <c r="R32" s="714" t="s">
        <v>17</v>
      </c>
      <c r="S32" s="715">
        <f t="shared" si="9"/>
        <v>100</v>
      </c>
      <c r="T32" s="714" t="s">
        <v>17</v>
      </c>
      <c r="U32" s="715">
        <f t="shared" si="10"/>
        <v>100</v>
      </c>
      <c r="V32" s="714" t="s">
        <v>17</v>
      </c>
      <c r="W32" s="715">
        <f t="shared" si="11"/>
        <v>100</v>
      </c>
      <c r="X32" s="1539"/>
      <c r="Y32" s="3769"/>
      <c r="Z32" s="1540" t="str">
        <f t="shared" si="12"/>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769"/>
      <c r="Q33" s="1536"/>
      <c r="R33" s="714"/>
      <c r="S33" s="715"/>
      <c r="T33" s="714"/>
      <c r="U33" s="715"/>
      <c r="V33" s="714"/>
      <c r="W33" s="715"/>
      <c r="X33" s="1539"/>
      <c r="Y33" s="3769"/>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769"/>
      <c r="Q34" s="1536" t="str">
        <f t="shared" si="8"/>
        <v>土地级别</v>
      </c>
      <c r="R34" s="714" t="s">
        <v>17</v>
      </c>
      <c r="S34" s="715">
        <f t="shared" si="9"/>
        <v>100</v>
      </c>
      <c r="T34" s="714" t="s">
        <v>17</v>
      </c>
      <c r="U34" s="715">
        <f t="shared" si="10"/>
        <v>100</v>
      </c>
      <c r="V34" s="714" t="s">
        <v>17</v>
      </c>
      <c r="W34" s="715">
        <f t="shared" si="11"/>
        <v>100</v>
      </c>
      <c r="X34" s="1539"/>
      <c r="Y34" s="3769"/>
      <c r="Z34" s="1540" t="str">
        <f t="shared" si="12"/>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769"/>
      <c r="Q35" s="1536">
        <f t="shared" si="8"/>
        <v>111</v>
      </c>
      <c r="R35" s="714" t="s">
        <v>17</v>
      </c>
      <c r="S35" s="715">
        <f t="shared" si="9"/>
        <v>100</v>
      </c>
      <c r="T35" s="714" t="s">
        <v>17</v>
      </c>
      <c r="U35" s="715">
        <f t="shared" si="10"/>
        <v>100</v>
      </c>
      <c r="V35" s="714" t="s">
        <v>17</v>
      </c>
      <c r="W35" s="715">
        <f t="shared" si="11"/>
        <v>100</v>
      </c>
      <c r="X35" s="1539"/>
      <c r="Y35" s="3769"/>
      <c r="Z35" s="1540">
        <f t="shared" si="12"/>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809" t="s">
        <v>2386</v>
      </c>
      <c r="Q36" s="1536">
        <f t="shared" si="8"/>
        <v>111</v>
      </c>
      <c r="R36" s="714" t="s">
        <v>17</v>
      </c>
      <c r="S36" s="715">
        <f t="shared" si="9"/>
        <v>100</v>
      </c>
      <c r="T36" s="714" t="s">
        <v>17</v>
      </c>
      <c r="U36" s="715">
        <f t="shared" si="10"/>
        <v>100</v>
      </c>
      <c r="V36" s="714" t="s">
        <v>17</v>
      </c>
      <c r="W36" s="715">
        <f t="shared" si="11"/>
        <v>100</v>
      </c>
      <c r="X36" s="1539"/>
      <c r="Y36" s="3773" t="s">
        <v>2386</v>
      </c>
      <c r="Z36" s="1540">
        <f t="shared" si="12"/>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773"/>
      <c r="Q37" s="1536">
        <f t="shared" si="8"/>
        <v>111</v>
      </c>
      <c r="R37" s="717" t="s">
        <v>17</v>
      </c>
      <c r="S37" s="718">
        <f t="shared" si="9"/>
        <v>100</v>
      </c>
      <c r="T37" s="717" t="s">
        <v>17</v>
      </c>
      <c r="U37" s="718">
        <f t="shared" si="10"/>
        <v>100</v>
      </c>
      <c r="V37" s="717" t="s">
        <v>17</v>
      </c>
      <c r="W37" s="718">
        <f t="shared" si="11"/>
        <v>100</v>
      </c>
      <c r="X37" s="719"/>
      <c r="Y37" s="3773"/>
      <c r="Z37" s="720">
        <f t="shared" si="12"/>
        <v>111</v>
      </c>
      <c r="AA37" s="1537">
        <f t="shared" si="3"/>
        <v>1</v>
      </c>
      <c r="AB37" s="1537">
        <f t="shared" si="4"/>
        <v>1</v>
      </c>
      <c r="AC37" s="1537">
        <f t="shared" si="5"/>
        <v>1</v>
      </c>
    </row>
    <row r="38" spans="1:29" ht="15">
      <c r="A38" s="431" t="s">
        <v>2384</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773"/>
      <c r="Q38" s="1536" t="str">
        <f>B38</f>
        <v>宗地面积</v>
      </c>
      <c r="R38" s="714" t="s">
        <v>17</v>
      </c>
      <c r="S38" s="715" t="e">
        <f t="shared" si="9"/>
        <v>#N/A</v>
      </c>
      <c r="T38" s="714" t="s">
        <v>17</v>
      </c>
      <c r="U38" s="715" t="e">
        <f t="shared" si="10"/>
        <v>#N/A</v>
      </c>
      <c r="V38" s="714" t="s">
        <v>17</v>
      </c>
      <c r="W38" s="715" t="e">
        <f t="shared" si="11"/>
        <v>#N/A</v>
      </c>
      <c r="X38" s="1539"/>
      <c r="Y38" s="3773"/>
      <c r="Z38" s="1540" t="str">
        <f t="shared" si="12"/>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773"/>
      <c r="Q39" s="1536" t="str">
        <f t="shared" ref="Q39:Q45" si="13">B39</f>
        <v>宗地形状</v>
      </c>
      <c r="R39" s="714" t="s">
        <v>17</v>
      </c>
      <c r="S39" s="715">
        <f t="shared" si="9"/>
        <v>100</v>
      </c>
      <c r="T39" s="714" t="s">
        <v>17</v>
      </c>
      <c r="U39" s="715">
        <f t="shared" si="10"/>
        <v>100</v>
      </c>
      <c r="V39" s="714" t="s">
        <v>17</v>
      </c>
      <c r="W39" s="715">
        <f t="shared" si="11"/>
        <v>100</v>
      </c>
      <c r="X39" s="1539"/>
      <c r="Y39" s="3773"/>
      <c r="Z39" s="1540" t="str">
        <f t="shared" si="12"/>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773"/>
      <c r="Q40" s="1536" t="str">
        <f t="shared" si="13"/>
        <v>临街宽度及深度</v>
      </c>
      <c r="R40" s="714" t="s">
        <v>17</v>
      </c>
      <c r="S40" s="715">
        <f t="shared" si="9"/>
        <v>100</v>
      </c>
      <c r="T40" s="714" t="s">
        <v>17</v>
      </c>
      <c r="U40" s="715">
        <f t="shared" si="10"/>
        <v>100</v>
      </c>
      <c r="V40" s="714" t="s">
        <v>17</v>
      </c>
      <c r="W40" s="715">
        <f t="shared" si="11"/>
        <v>100</v>
      </c>
      <c r="X40" s="1539"/>
      <c r="Y40" s="3773"/>
      <c r="Z40" s="1540" t="str">
        <f t="shared" si="12"/>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773"/>
      <c r="Q41" s="1536" t="str">
        <f t="shared" si="13"/>
        <v>宗地开发程度</v>
      </c>
      <c r="R41" s="710" t="s">
        <v>17</v>
      </c>
      <c r="S41" s="711">
        <f t="shared" si="9"/>
        <v>100</v>
      </c>
      <c r="T41" s="710" t="s">
        <v>17</v>
      </c>
      <c r="U41" s="711">
        <f t="shared" si="10"/>
        <v>100</v>
      </c>
      <c r="V41" s="710" t="s">
        <v>17</v>
      </c>
      <c r="W41" s="711">
        <f t="shared" si="11"/>
        <v>100</v>
      </c>
      <c r="X41" s="712"/>
      <c r="Y41" s="3773"/>
      <c r="Z41" s="55" t="str">
        <f t="shared" si="12"/>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773" t="s">
        <v>2386</v>
      </c>
      <c r="Q42" s="1536" t="str">
        <f t="shared" si="13"/>
        <v>工程地质条件</v>
      </c>
      <c r="R42" s="714" t="s">
        <v>17</v>
      </c>
      <c r="S42" s="715">
        <f t="shared" si="9"/>
        <v>100</v>
      </c>
      <c r="T42" s="714" t="s">
        <v>17</v>
      </c>
      <c r="U42" s="715">
        <f t="shared" si="10"/>
        <v>100</v>
      </c>
      <c r="V42" s="714" t="s">
        <v>17</v>
      </c>
      <c r="W42" s="715">
        <f t="shared" si="11"/>
        <v>100</v>
      </c>
      <c r="X42" s="1539"/>
      <c r="Y42" s="3773" t="s">
        <v>2386</v>
      </c>
      <c r="Z42" s="1540" t="str">
        <f t="shared" si="12"/>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773"/>
      <c r="Q43" s="1536">
        <f t="shared" si="13"/>
        <v>111</v>
      </c>
      <c r="R43" s="714" t="s">
        <v>17</v>
      </c>
      <c r="S43" s="715">
        <f t="shared" si="9"/>
        <v>100</v>
      </c>
      <c r="T43" s="714" t="s">
        <v>17</v>
      </c>
      <c r="U43" s="715">
        <f t="shared" si="10"/>
        <v>100</v>
      </c>
      <c r="V43" s="714" t="s">
        <v>17</v>
      </c>
      <c r="W43" s="715">
        <f t="shared" si="11"/>
        <v>100</v>
      </c>
      <c r="X43" s="1539"/>
      <c r="Y43" s="3773"/>
      <c r="Z43" s="1540">
        <f t="shared" si="12"/>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773"/>
      <c r="Q44" s="1536">
        <f t="shared" si="13"/>
        <v>111</v>
      </c>
      <c r="R44" s="714" t="s">
        <v>17</v>
      </c>
      <c r="S44" s="715">
        <f t="shared" si="9"/>
        <v>100</v>
      </c>
      <c r="T44" s="714" t="s">
        <v>17</v>
      </c>
      <c r="U44" s="715">
        <f t="shared" si="10"/>
        <v>100</v>
      </c>
      <c r="V44" s="714" t="s">
        <v>17</v>
      </c>
      <c r="W44" s="715">
        <f t="shared" si="11"/>
        <v>100</v>
      </c>
      <c r="X44" s="1539"/>
      <c r="Y44" s="3773"/>
      <c r="Z44" s="1540">
        <f t="shared" si="12"/>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773"/>
      <c r="Q45" s="1536">
        <f t="shared" si="13"/>
        <v>111</v>
      </c>
      <c r="R45" s="717" t="s">
        <v>17</v>
      </c>
      <c r="S45" s="718">
        <f t="shared" si="9"/>
        <v>100</v>
      </c>
      <c r="T45" s="717" t="s">
        <v>17</v>
      </c>
      <c r="U45" s="718">
        <f t="shared" si="10"/>
        <v>100</v>
      </c>
      <c r="V45" s="717" t="s">
        <v>17</v>
      </c>
      <c r="W45" s="718">
        <f t="shared" si="11"/>
        <v>100</v>
      </c>
      <c r="X45" s="719"/>
      <c r="Y45" s="3773"/>
      <c r="Z45" s="720">
        <f t="shared" si="12"/>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1"/>
      <c r="M46" s="2952"/>
      <c r="N46" s="2943"/>
      <c r="O46" s="2952"/>
      <c r="P46" s="3766" t="str">
        <f>A46</f>
        <v>成交单价</v>
      </c>
      <c r="Q46" s="3766"/>
      <c r="R46" s="3797">
        <f>E46</f>
        <v>0</v>
      </c>
      <c r="S46" s="3797"/>
      <c r="T46" s="3797">
        <f>G46</f>
        <v>0</v>
      </c>
      <c r="U46" s="3797"/>
      <c r="V46" s="3797">
        <f>I46</f>
        <v>0</v>
      </c>
      <c r="W46" s="3797"/>
      <c r="X46" s="699"/>
      <c r="Y46" s="721"/>
      <c r="Z46" s="699"/>
      <c r="AA46" s="699"/>
      <c r="AB46" s="699"/>
      <c r="AC46" s="699"/>
    </row>
    <row r="47" spans="1:29" ht="15.75" thickBot="1">
      <c r="A47" s="445" t="s">
        <v>2490</v>
      </c>
      <c r="B47" s="639"/>
      <c r="C47" s="448" t="e">
        <f>R48</f>
        <v>#DIV/0!</v>
      </c>
      <c r="D47" s="2538" t="s">
        <v>2877</v>
      </c>
      <c r="E47" s="448" t="e">
        <f>R47</f>
        <v>#DIV/0!</v>
      </c>
      <c r="F47" s="2539"/>
      <c r="G47" s="447" t="e">
        <f>T47</f>
        <v>#DIV/0!</v>
      </c>
      <c r="H47" s="2539"/>
      <c r="I47" s="448" t="e">
        <f>V47</f>
        <v>#DIV/0!</v>
      </c>
      <c r="J47" s="2539"/>
      <c r="K47" s="2541">
        <f>F47+H47+J47</f>
        <v>0</v>
      </c>
      <c r="L47" s="2951"/>
      <c r="M47" s="2952"/>
      <c r="N47" s="2952"/>
      <c r="O47" s="2952"/>
      <c r="P47" s="3766" t="str">
        <f>A47</f>
        <v>比较价值（元/平方米）</v>
      </c>
      <c r="Q47" s="3766"/>
      <c r="R47" s="3811" t="e">
        <f>ROUND(PRODUCT(R46,AA7:AA45),0)</f>
        <v>#DIV/0!</v>
      </c>
      <c r="S47" s="3811"/>
      <c r="T47" s="3811" t="e">
        <f>ROUND(PRODUCT(T46,AB7:AB45),0)</f>
        <v>#DIV/0!</v>
      </c>
      <c r="U47" s="3811"/>
      <c r="V47" s="3811" t="e">
        <f>ROUND(PRODUCT(V46,AC7:AC45),0)</f>
        <v>#DIV/0!</v>
      </c>
      <c r="W47" s="381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763" t="str">
        <f>A48</f>
        <v>估价对象XX用房的比较价值（楼面单价，元/平方米）</v>
      </c>
      <c r="Q48" s="3764"/>
      <c r="R48" s="3812" t="e">
        <f>ROUND(IF(D47="简单平均",AVERAGE(R47:W47),R47*F47+T47*H47+V47*J47),0)</f>
        <v>#DIV/0!</v>
      </c>
      <c r="S48" s="3812"/>
      <c r="T48" s="3812"/>
      <c r="U48" s="3812"/>
      <c r="V48" s="3812"/>
      <c r="W48" s="381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781" t="s">
        <v>2583</v>
      </c>
      <c r="H55" s="3813"/>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32313.11</v>
      </c>
      <c r="F56" s="1017" t="e">
        <f t="shared" ref="F56:F65" si="14">ROUND(B56*E56/10000,0)</f>
        <v>#DIV/0!</v>
      </c>
      <c r="G56" s="3777"/>
      <c r="H56" s="3766"/>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5">IF($C$55="北京市系数",I57,J57)</f>
        <v>0.8</v>
      </c>
      <c r="D57" s="1076">
        <v>0.25</v>
      </c>
      <c r="E57" s="650"/>
      <c r="F57" s="1017" t="e">
        <f t="shared" si="14"/>
        <v>#DIV/0!</v>
      </c>
      <c r="G57" s="3814" t="s">
        <v>2588</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6">ROUND($C$48*C58*D58,0)</f>
        <v>#DIV/0!</v>
      </c>
      <c r="C58" s="176">
        <f t="shared" si="15"/>
        <v>0.5</v>
      </c>
      <c r="D58" s="1076">
        <v>0.25</v>
      </c>
      <c r="E58" s="650"/>
      <c r="F58" s="1017" t="e">
        <f t="shared" si="14"/>
        <v>#DIV/0!</v>
      </c>
      <c r="G58" s="3814"/>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6"/>
        <v>#DIV/0!</v>
      </c>
      <c r="C59" s="176">
        <f t="shared" si="15"/>
        <v>0.36</v>
      </c>
      <c r="D59" s="1076">
        <v>0.25</v>
      </c>
      <c r="E59" s="650"/>
      <c r="F59" s="1017" t="e">
        <f t="shared" si="14"/>
        <v>#DIV/0!</v>
      </c>
      <c r="G59" s="3814"/>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6"/>
        <v>#DIV/0!</v>
      </c>
      <c r="C60" s="176">
        <f t="shared" si="15"/>
        <v>0.3</v>
      </c>
      <c r="D60" s="1076">
        <v>0.25</v>
      </c>
      <c r="E60" s="650"/>
      <c r="F60" s="1017" t="e">
        <f t="shared" si="14"/>
        <v>#DIV/0!</v>
      </c>
      <c r="G60" s="3814"/>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6"/>
        <v>#DIV/0!</v>
      </c>
      <c r="C61" s="176">
        <f t="shared" si="15"/>
        <v>0.3</v>
      </c>
      <c r="D61" s="1076">
        <v>0.25</v>
      </c>
      <c r="E61" s="223">
        <f>'数据-汇总表'!E11</f>
        <v>9931.119999999999</v>
      </c>
      <c r="F61" s="1017" t="e">
        <f t="shared" si="14"/>
        <v>#DIV/0!</v>
      </c>
      <c r="G61" s="2173" t="s">
        <v>2593</v>
      </c>
      <c r="H61" s="1018" t="str">
        <f>项目基本情况!C37</f>
        <v>一级</v>
      </c>
      <c r="I61" s="1022">
        <f>SUMIF(修正!A45:A56,H61,修正!F45:F56)</f>
        <v>0.3</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6"/>
        <v>#DIV/0!</v>
      </c>
      <c r="C62" s="176">
        <f t="shared" si="15"/>
        <v>0.3</v>
      </c>
      <c r="D62" s="1076">
        <v>0.25</v>
      </c>
      <c r="E62" s="223">
        <f>'数据-汇总表'!E12</f>
        <v>0</v>
      </c>
      <c r="F62" s="1017" t="e">
        <f t="shared" si="14"/>
        <v>#DIV/0!</v>
      </c>
      <c r="G62" s="1023" t="s">
        <v>2595</v>
      </c>
      <c r="H62" s="1018" t="str">
        <f>IF(G62="商业",项目基本情况!B37,IF(G62="办公",项目基本情况!C37,IF(G62="住宅",项目基本情况!D37,项目基本情况!E37)))</f>
        <v>一级</v>
      </c>
      <c r="I62" s="1022">
        <f>SUMIF(修正!A45:A56,H62,修正!G45:G56)</f>
        <v>0.3</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6"/>
        <v>#DIV/0!</v>
      </c>
      <c r="C63" s="176">
        <f t="shared" si="15"/>
        <v>0</v>
      </c>
      <c r="D63" s="1076">
        <v>0.25</v>
      </c>
      <c r="E63" s="223">
        <f>'数据-汇总表'!E13</f>
        <v>5444.8200000000006</v>
      </c>
      <c r="F63" s="1017" t="e">
        <f t="shared" si="14"/>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6"/>
        <v>#DIV/0!</v>
      </c>
      <c r="C64" s="176">
        <f t="shared" si="15"/>
        <v>0.25</v>
      </c>
      <c r="D64" s="1076">
        <v>0.25</v>
      </c>
      <c r="E64" s="223">
        <f>'数据-汇总表'!E14</f>
        <v>0</v>
      </c>
      <c r="F64" s="1017" t="e">
        <f t="shared" si="14"/>
        <v>#DIV/0!</v>
      </c>
      <c r="G64" s="2173" t="s">
        <v>2588</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6"/>
        <v>#DIV/0!</v>
      </c>
      <c r="C65" s="176">
        <f t="shared" si="15"/>
        <v>0.25</v>
      </c>
      <c r="D65" s="1076">
        <v>0.25</v>
      </c>
      <c r="E65" s="223">
        <f>'数据-汇总表'!E15</f>
        <v>0</v>
      </c>
      <c r="F65" s="1017" t="e">
        <f t="shared" si="14"/>
        <v>#DIV/0!</v>
      </c>
      <c r="G65" s="2174" t="s">
        <v>2593</v>
      </c>
      <c r="H65" s="1028" t="str">
        <f>项目基本情况!C37</f>
        <v>一级</v>
      </c>
      <c r="I65" s="1024">
        <f>SUMIF(修正!A45:A56,H65,修正!H45:H56)</f>
        <v>0.25</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47689.049999999996</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2017-6-1</v>
      </c>
      <c r="D68" s="701">
        <f>EDATE(C68,-3)</f>
        <v>42795</v>
      </c>
      <c r="E68" s="701">
        <f>EDATE(D68,-3)</f>
        <v>42705</v>
      </c>
      <c r="F68" s="701">
        <f t="shared" ref="F68:O68" si="17">EDATE(E68,-3)</f>
        <v>42614</v>
      </c>
      <c r="G68" s="701">
        <f t="shared" si="17"/>
        <v>42522</v>
      </c>
      <c r="H68" s="701">
        <f t="shared" si="17"/>
        <v>42430</v>
      </c>
      <c r="I68" s="701">
        <f t="shared" si="17"/>
        <v>42339</v>
      </c>
      <c r="J68" s="701">
        <f t="shared" si="17"/>
        <v>42248</v>
      </c>
      <c r="K68" s="701">
        <f t="shared" si="17"/>
        <v>42156</v>
      </c>
      <c r="L68" s="701">
        <f t="shared" si="17"/>
        <v>42064</v>
      </c>
      <c r="M68" s="701">
        <f t="shared" si="17"/>
        <v>41974</v>
      </c>
      <c r="N68" s="701">
        <f t="shared" si="17"/>
        <v>41883</v>
      </c>
      <c r="O68" s="701">
        <f t="shared" si="17"/>
        <v>41791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2601</v>
      </c>
      <c r="B70" s="1269"/>
      <c r="C70" s="1344" t="str">
        <f>YEAR(C68)&amp;"-"&amp;ROUNDUP(MONTH(C68)/3,0)</f>
        <v>2017-2</v>
      </c>
      <c r="D70" s="1344" t="str">
        <f>YEAR(D68)&amp;"-"&amp;ROUNDUP(MONTH(D68)/3,0)</f>
        <v>2017-1</v>
      </c>
      <c r="E70" s="1344" t="str">
        <f t="shared" ref="E70:O70" si="18">YEAR(E68)&amp;"-"&amp;ROUNDUP(MONTH(E68)/3,0)</f>
        <v>2016-4</v>
      </c>
      <c r="F70" s="1344" t="str">
        <f t="shared" si="18"/>
        <v>2016-3</v>
      </c>
      <c r="G70" s="1344" t="str">
        <f t="shared" si="18"/>
        <v>2016-2</v>
      </c>
      <c r="H70" s="1344" t="str">
        <f t="shared" si="18"/>
        <v>2016-1</v>
      </c>
      <c r="I70" s="1344" t="str">
        <f t="shared" si="18"/>
        <v>2015-4</v>
      </c>
      <c r="J70" s="1344" t="str">
        <f t="shared" si="18"/>
        <v>2015-3</v>
      </c>
      <c r="K70" s="1344" t="str">
        <f t="shared" si="18"/>
        <v>2015-2</v>
      </c>
      <c r="L70" s="1344" t="str">
        <f t="shared" si="18"/>
        <v>2015-1</v>
      </c>
      <c r="M70" s="1344" t="str">
        <f t="shared" si="18"/>
        <v>2014-4</v>
      </c>
      <c r="N70" s="1344" t="str">
        <f t="shared" si="18"/>
        <v>2014-3</v>
      </c>
      <c r="O70" s="1344" t="str">
        <f t="shared" si="18"/>
        <v>2014-2</v>
      </c>
      <c r="P70" s="3003"/>
      <c r="Q70" s="2968"/>
      <c r="R70" s="2968"/>
      <c r="S70" s="2968"/>
      <c r="T70" s="2968"/>
      <c r="U70" s="2968"/>
      <c r="V70" s="2968"/>
      <c r="W70" s="2968"/>
      <c r="X70" s="2968"/>
      <c r="Y70" s="2968"/>
      <c r="Z70" s="2968"/>
      <c r="AA70" s="2968"/>
      <c r="AB70" s="2968"/>
      <c r="AC70" s="2968"/>
    </row>
    <row r="71" spans="1:29" s="113" customFormat="1" ht="30" customHeight="1">
      <c r="A71" s="2176" t="s">
        <v>2602</v>
      </c>
      <c r="B71" s="294" t="str">
        <f>"北京市平均增长率"&amp;TEXT(SUMIF('基准地价修正-办公'!N21:N25,A71,'基准地价修正-办公'!P21:P25),"0.00%")</f>
        <v>北京市平均增长率2.75%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19">D80&amp;"（含）"&amp;"-"&amp;E80</f>
        <v>（含）-</v>
      </c>
      <c r="E79" s="504" t="str">
        <f t="shared" si="19"/>
        <v>（含）-</v>
      </c>
      <c r="F79" s="504" t="str">
        <f t="shared" si="19"/>
        <v>（含）-</v>
      </c>
      <c r="G79" s="504" t="str">
        <f t="shared" si="19"/>
        <v>（含）-</v>
      </c>
      <c r="H79" s="504" t="str">
        <f t="shared" si="19"/>
        <v>（含）-</v>
      </c>
      <c r="I79" s="504" t="str">
        <f t="shared" si="19"/>
        <v>（含）-</v>
      </c>
      <c r="J79" s="504" t="str">
        <f t="shared" si="19"/>
        <v>（含）-</v>
      </c>
      <c r="K79" s="504" t="str">
        <f t="shared" si="19"/>
        <v>（含）-</v>
      </c>
      <c r="L79" s="504" t="str">
        <f t="shared" si="19"/>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0">IF($B$46="单位面积地价",C81+$K11,C81-$K11)</f>
        <v>100</v>
      </c>
      <c r="E81" s="501">
        <f t="shared" si="20"/>
        <v>100</v>
      </c>
      <c r="F81" s="501">
        <f t="shared" si="20"/>
        <v>100</v>
      </c>
      <c r="G81" s="501">
        <f t="shared" si="20"/>
        <v>100</v>
      </c>
      <c r="H81" s="501">
        <f t="shared" si="20"/>
        <v>100</v>
      </c>
      <c r="I81" s="501">
        <f t="shared" si="20"/>
        <v>100</v>
      </c>
      <c r="J81" s="501">
        <f t="shared" si="20"/>
        <v>100</v>
      </c>
      <c r="K81" s="501">
        <f t="shared" si="20"/>
        <v>100</v>
      </c>
      <c r="L81" s="501">
        <f t="shared" si="20"/>
        <v>100</v>
      </c>
      <c r="M81" s="501">
        <f t="shared" si="20"/>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2610</v>
      </c>
      <c r="C116" s="486" t="str">
        <f>C117&amp;"(含)"&amp;"-"&amp;D117</f>
        <v>(含)-</v>
      </c>
      <c r="D116" s="486" t="str">
        <f t="shared" ref="D116:M116" si="24">D117&amp;"(含)"&amp;"-"&amp;E117</f>
        <v>(含)-</v>
      </c>
      <c r="E116" s="486" t="str">
        <f t="shared" si="24"/>
        <v>(含)-</v>
      </c>
      <c r="F116" s="486" t="str">
        <f t="shared" si="24"/>
        <v>(含)-</v>
      </c>
      <c r="G116" s="486" t="str">
        <f t="shared" si="24"/>
        <v>(含)-</v>
      </c>
      <c r="H116" s="486" t="str">
        <f t="shared" si="24"/>
        <v>(含)-</v>
      </c>
      <c r="I116" s="486" t="str">
        <f t="shared" si="24"/>
        <v>(含)-</v>
      </c>
      <c r="J116" s="486" t="str">
        <f t="shared" si="24"/>
        <v>(含)-</v>
      </c>
      <c r="K116" s="486" t="str">
        <f t="shared" si="24"/>
        <v>(含)-</v>
      </c>
      <c r="L116" s="486" t="str">
        <f t="shared" si="24"/>
        <v>(含)-</v>
      </c>
      <c r="M116" s="486" t="str">
        <f t="shared" si="24"/>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9" priority="18" stopIfTrue="1" operator="containsText" text="超过">
      <formula>NOT(ISERROR(SEARCH("超过",F51)))</formula>
    </cfRule>
  </conditionalFormatting>
  <conditionalFormatting sqref="J53">
    <cfRule type="containsText" dxfId="168" priority="17" stopIfTrue="1" operator="containsText" text="超过">
      <formula>NOT(ISERROR(SEARCH("超过",J53)))</formula>
    </cfRule>
  </conditionalFormatting>
  <conditionalFormatting sqref="H53">
    <cfRule type="containsText" dxfId="167" priority="16" stopIfTrue="1" operator="containsText" text="超过">
      <formula>NOT(ISERROR(SEARCH("超过",H53)))</formula>
    </cfRule>
  </conditionalFormatting>
  <conditionalFormatting sqref="F53">
    <cfRule type="containsText" dxfId="166" priority="15" stopIfTrue="1" operator="containsText" text="超过">
      <formula>NOT(ISERROR(SEARCH("超过",F53)))</formula>
    </cfRule>
  </conditionalFormatting>
  <conditionalFormatting sqref="F52 H52 J52">
    <cfRule type="containsText" dxfId="165" priority="14" stopIfTrue="1" operator="containsText" text="超过">
      <formula>NOT(ISERROR(SEARCH("超过",F52)))</formula>
    </cfRule>
  </conditionalFormatting>
  <conditionalFormatting sqref="E51">
    <cfRule type="expression" dxfId="164" priority="13" stopIfTrue="1">
      <formula>$F$51="超过30%"</formula>
    </cfRule>
  </conditionalFormatting>
  <conditionalFormatting sqref="G53">
    <cfRule type="expression" dxfId="163" priority="12" stopIfTrue="1">
      <formula>$H$53="超过30%"</formula>
    </cfRule>
  </conditionalFormatting>
  <conditionalFormatting sqref="E52">
    <cfRule type="expression" dxfId="162" priority="11" stopIfTrue="1">
      <formula>$F$52="超过20%"</formula>
    </cfRule>
  </conditionalFormatting>
  <conditionalFormatting sqref="E53">
    <cfRule type="expression" dxfId="161" priority="10" stopIfTrue="1">
      <formula>$F$53="超过30%"</formula>
    </cfRule>
  </conditionalFormatting>
  <conditionalFormatting sqref="G51">
    <cfRule type="expression" dxfId="160" priority="9" stopIfTrue="1">
      <formula>$H$53+$H$51="超过30%"</formula>
    </cfRule>
  </conditionalFormatting>
  <conditionalFormatting sqref="G52">
    <cfRule type="expression" dxfId="159" priority="8" stopIfTrue="1">
      <formula>$H$52="超过20%"</formula>
    </cfRule>
  </conditionalFormatting>
  <conditionalFormatting sqref="I51">
    <cfRule type="expression" dxfId="158" priority="7" stopIfTrue="1">
      <formula>$J$51="超过30%"</formula>
    </cfRule>
  </conditionalFormatting>
  <conditionalFormatting sqref="I52">
    <cfRule type="expression" dxfId="157" priority="6" stopIfTrue="1">
      <formula>$J$52="超过20%"</formula>
    </cfRule>
  </conditionalFormatting>
  <conditionalFormatting sqref="I53">
    <cfRule type="expression" dxfId="156" priority="5" stopIfTrue="1">
      <formula>$J$53="超过30%"</formula>
    </cfRule>
  </conditionalFormatting>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F7:F45 H7:H45 J7:J45">
    <cfRule type="cellIs" dxfId="152" priority="1" operator="notEqual">
      <formula>100</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2" xr:uid="{00000000-0002-0000-1C00-000013000000}">
      <formula1>"商业,办公,住宅,工业"</formula1>
    </dataValidation>
    <dataValidation type="list" allowBlank="1" showInputMessage="1" showErrorMessage="1" sqref="G63" xr:uid="{00000000-0002-0000-1C00-000014000000}">
      <formula1>"住宅,工业"</formula1>
    </dataValidation>
    <dataValidation type="list" allowBlank="1" showInputMessage="1" showErrorMessage="1" sqref="D57:D65" xr:uid="{00000000-0002-0000-1C00-000015000000}">
      <formula1>"25%,1"</formula1>
    </dataValidation>
    <dataValidation type="list" allowBlank="1" showInputMessage="1" showErrorMessage="1" sqref="C30 E30 G30 I30" xr:uid="{00000000-0002-0000-1C00-000016000000}">
      <formula1>基础设施水平</formula1>
    </dataValidation>
    <dataValidation type="list" allowBlank="1" showInputMessage="1" showErrorMessage="1" sqref="A71" xr:uid="{00000000-0002-0000-1C00-000017000000}">
      <formula1>"综合,商业,办公,住宅"</formula1>
    </dataValidation>
    <dataValidation type="list" allowBlank="1" showInputMessage="1" showErrorMessage="1" sqref="D47"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估价对象为北京市房地产，为所有。根据《国有土地使用证》[]，估价对象（分摊）出让国有建设用地使用权面积为5933.24平方米，建筑面积为47689.05平方米。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估价对象为北京市房地产,属开发建设的，该项目尚在开发建设中。根据《国有土地使用证》[]，估价对象（分摊）出让国有建设用地使用权面积为5933.24平方米，规划建筑面积为47689.05平方米。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2017年6月28日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91" t="s">
        <v>2468</v>
      </c>
      <c r="S4" s="3792"/>
      <c r="T4" s="3791" t="s">
        <v>2469</v>
      </c>
      <c r="U4" s="3792"/>
      <c r="V4" s="3797" t="s">
        <v>2470</v>
      </c>
      <c r="W4" s="3797"/>
      <c r="X4" s="1539"/>
      <c r="Y4" s="3791" t="s">
        <v>2472</v>
      </c>
      <c r="Z4" s="3792"/>
      <c r="AA4" s="3778" t="s">
        <v>2468</v>
      </c>
      <c r="AB4" s="3779" t="s">
        <v>2469</v>
      </c>
      <c r="AC4" s="3778" t="s">
        <v>2470</v>
      </c>
    </row>
    <row r="5" spans="1:29" ht="15">
      <c r="A5" s="364"/>
      <c r="B5" s="365"/>
      <c r="C5" s="3800" t="s">
        <v>2363</v>
      </c>
      <c r="D5" s="3801"/>
      <c r="E5" s="3807" t="s">
        <v>2364</v>
      </c>
      <c r="F5" s="3808"/>
      <c r="G5" s="3800" t="s">
        <v>2365</v>
      </c>
      <c r="H5" s="3801"/>
      <c r="I5" s="3800" t="s">
        <v>2366</v>
      </c>
      <c r="J5" s="3801"/>
      <c r="K5" s="567"/>
      <c r="L5" s="2942"/>
      <c r="M5" s="2943"/>
      <c r="N5" s="2943"/>
      <c r="O5" s="2943"/>
      <c r="P5" s="3787"/>
      <c r="Q5" s="3788"/>
      <c r="R5" s="3793"/>
      <c r="S5" s="3794"/>
      <c r="T5" s="3793"/>
      <c r="U5" s="3794"/>
      <c r="V5" s="3797"/>
      <c r="W5" s="3797"/>
      <c r="X5" s="1539"/>
      <c r="Y5" s="3793"/>
      <c r="Z5" s="3794"/>
      <c r="AA5" s="3779"/>
      <c r="AB5" s="3779"/>
      <c r="AC5" s="3779"/>
    </row>
    <row r="6" spans="1:29" ht="15.75" thickBot="1">
      <c r="A6" s="366"/>
      <c r="B6" s="367"/>
      <c r="C6" s="3815" t="s">
        <v>2616</v>
      </c>
      <c r="D6" s="3816"/>
      <c r="E6" s="3817" t="s">
        <v>2616</v>
      </c>
      <c r="F6" s="3818"/>
      <c r="G6" s="3815" t="s">
        <v>2616</v>
      </c>
      <c r="H6" s="3816"/>
      <c r="I6" s="3815" t="s">
        <v>2616</v>
      </c>
      <c r="J6" s="3816"/>
      <c r="K6" s="567" t="s">
        <v>2368</v>
      </c>
      <c r="L6" s="2942"/>
      <c r="M6" s="2943"/>
      <c r="N6" s="2943"/>
      <c r="O6" s="2943"/>
      <c r="P6" s="3789"/>
      <c r="Q6" s="3790"/>
      <c r="R6" s="3793"/>
      <c r="S6" s="3794"/>
      <c r="T6" s="3795"/>
      <c r="U6" s="3796"/>
      <c r="V6" s="3797"/>
      <c r="W6" s="3797"/>
      <c r="X6" s="1539"/>
      <c r="Y6" s="3795"/>
      <c r="Z6" s="3796"/>
      <c r="AA6" s="3780"/>
      <c r="AB6" s="3780"/>
      <c r="AC6" s="3780"/>
    </row>
    <row r="7" spans="1:29" s="113" customFormat="1" ht="15.75" thickBot="1">
      <c r="A7" s="368" t="s">
        <v>2369</v>
      </c>
      <c r="B7" s="369"/>
      <c r="C7" s="370">
        <f>'数据-取费表'!B2</f>
        <v>42914</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802" t="s">
        <v>2370</v>
      </c>
      <c r="Q7" s="3804"/>
      <c r="R7" s="710" t="s">
        <v>17</v>
      </c>
      <c r="S7" s="711">
        <f t="shared" ref="S7:S15" si="0">F7</f>
        <v>0</v>
      </c>
      <c r="T7" s="710" t="s">
        <v>17</v>
      </c>
      <c r="U7" s="711">
        <f t="shared" ref="U7:U15" si="1">H7</f>
        <v>0</v>
      </c>
      <c r="V7" s="710" t="s">
        <v>17</v>
      </c>
      <c r="W7" s="711">
        <f t="shared" ref="W7:W15" si="2">J7</f>
        <v>0</v>
      </c>
      <c r="X7" s="712"/>
      <c r="Y7" s="3802" t="s">
        <v>2370</v>
      </c>
      <c r="Z7" s="380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802" t="s">
        <v>2373</v>
      </c>
      <c r="Q8" s="3803"/>
      <c r="R8" s="710" t="s">
        <v>17</v>
      </c>
      <c r="S8" s="711">
        <f t="shared" si="0"/>
        <v>0</v>
      </c>
      <c r="T8" s="710" t="s">
        <v>17</v>
      </c>
      <c r="U8" s="711">
        <f t="shared" si="1"/>
        <v>0</v>
      </c>
      <c r="V8" s="710" t="s">
        <v>17</v>
      </c>
      <c r="W8" s="711">
        <f t="shared" si="2"/>
        <v>0</v>
      </c>
      <c r="X8" s="712"/>
      <c r="Y8" s="3802" t="s">
        <v>2373</v>
      </c>
      <c r="Z8" s="380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766" t="s">
        <v>2376</v>
      </c>
      <c r="Q9" s="1527" t="str">
        <f t="shared" ref="Q9:Q15" si="6">B9</f>
        <v>用途</v>
      </c>
      <c r="R9" s="710" t="s">
        <v>17</v>
      </c>
      <c r="S9" s="711">
        <f t="shared" si="0"/>
        <v>100</v>
      </c>
      <c r="T9" s="710" t="s">
        <v>17</v>
      </c>
      <c r="U9" s="711">
        <f t="shared" si="1"/>
        <v>100</v>
      </c>
      <c r="V9" s="710" t="s">
        <v>17</v>
      </c>
      <c r="W9" s="711">
        <f t="shared" si="2"/>
        <v>100</v>
      </c>
      <c r="X9" s="712"/>
      <c r="Y9" s="363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123</v>
      </c>
      <c r="G10" s="391"/>
      <c r="H10" s="132">
        <f>ROUND(100/'数据-取费表'!G16,0)</f>
        <v>123</v>
      </c>
      <c r="I10" s="391"/>
      <c r="J10" s="132">
        <f>ROUND(100/'数据-取费表'!G16,0)</f>
        <v>123</v>
      </c>
      <c r="K10" s="628"/>
      <c r="L10" s="2946"/>
      <c r="M10" s="2947"/>
      <c r="N10" s="2947"/>
      <c r="O10" s="3000"/>
      <c r="P10" s="3766"/>
      <c r="Q10" s="1527" t="str">
        <f t="shared" si="6"/>
        <v>土地使用年限（年）</v>
      </c>
      <c r="R10" s="710" t="s">
        <v>17</v>
      </c>
      <c r="S10" s="711">
        <f t="shared" si="0"/>
        <v>123</v>
      </c>
      <c r="T10" s="710" t="s">
        <v>17</v>
      </c>
      <c r="U10" s="711">
        <f t="shared" si="1"/>
        <v>123</v>
      </c>
      <c r="V10" s="710" t="s">
        <v>17</v>
      </c>
      <c r="W10" s="711">
        <f t="shared" si="2"/>
        <v>123</v>
      </c>
      <c r="X10" s="712"/>
      <c r="Y10" s="3636"/>
      <c r="Z10" s="55" t="str">
        <f t="shared" si="7"/>
        <v>土地使用年限（年）</v>
      </c>
      <c r="AA10" s="713">
        <f t="shared" si="3"/>
        <v>0.81300813008130079</v>
      </c>
      <c r="AB10" s="713">
        <f t="shared" si="4"/>
        <v>0.81300813008130079</v>
      </c>
      <c r="AC10" s="713">
        <f t="shared" si="5"/>
        <v>0.81300813008130079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766"/>
      <c r="Q11" s="1527" t="str">
        <f t="shared" si="6"/>
        <v>容积率</v>
      </c>
      <c r="R11" s="710" t="s">
        <v>17</v>
      </c>
      <c r="S11" s="711" t="e">
        <f t="shared" si="0"/>
        <v>#N/A</v>
      </c>
      <c r="T11" s="710" t="s">
        <v>17</v>
      </c>
      <c r="U11" s="711" t="e">
        <f t="shared" si="1"/>
        <v>#N/A</v>
      </c>
      <c r="V11" s="710" t="s">
        <v>17</v>
      </c>
      <c r="W11" s="711" t="e">
        <f t="shared" si="2"/>
        <v>#N/A</v>
      </c>
      <c r="X11" s="712"/>
      <c r="Y11" s="363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766"/>
      <c r="Q12" s="1527">
        <f t="shared" si="6"/>
        <v>111</v>
      </c>
      <c r="R12" s="710" t="s">
        <v>17</v>
      </c>
      <c r="S12" s="711">
        <f t="shared" si="0"/>
        <v>100</v>
      </c>
      <c r="T12" s="710" t="s">
        <v>17</v>
      </c>
      <c r="U12" s="711">
        <f t="shared" si="1"/>
        <v>100</v>
      </c>
      <c r="V12" s="710" t="s">
        <v>17</v>
      </c>
      <c r="W12" s="711">
        <f t="shared" si="2"/>
        <v>100</v>
      </c>
      <c r="X12" s="712"/>
      <c r="Y12" s="363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766"/>
      <c r="Q13" s="1527">
        <f t="shared" si="6"/>
        <v>111</v>
      </c>
      <c r="R13" s="710" t="s">
        <v>17</v>
      </c>
      <c r="S13" s="711">
        <f t="shared" si="0"/>
        <v>100</v>
      </c>
      <c r="T13" s="710" t="s">
        <v>17</v>
      </c>
      <c r="U13" s="711">
        <f t="shared" si="1"/>
        <v>100</v>
      </c>
      <c r="V13" s="710" t="s">
        <v>17</v>
      </c>
      <c r="W13" s="711">
        <f t="shared" si="2"/>
        <v>100</v>
      </c>
      <c r="X13" s="712"/>
      <c r="Y13" s="363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766"/>
      <c r="Q14" s="1527">
        <f t="shared" si="6"/>
        <v>111</v>
      </c>
      <c r="R14" s="710" t="s">
        <v>17</v>
      </c>
      <c r="S14" s="711">
        <f t="shared" si="0"/>
        <v>100</v>
      </c>
      <c r="T14" s="710" t="s">
        <v>17</v>
      </c>
      <c r="U14" s="711">
        <f t="shared" si="1"/>
        <v>100</v>
      </c>
      <c r="V14" s="710" t="s">
        <v>17</v>
      </c>
      <c r="W14" s="711">
        <f t="shared" si="2"/>
        <v>100</v>
      </c>
      <c r="X14" s="712"/>
      <c r="Y14" s="3636"/>
      <c r="Z14" s="55">
        <f t="shared" si="7"/>
        <v>111</v>
      </c>
      <c r="AA14" s="713">
        <f t="shared" si="3"/>
        <v>1</v>
      </c>
      <c r="AB14" s="713">
        <f t="shared" si="4"/>
        <v>1</v>
      </c>
      <c r="AC14" s="713">
        <f t="shared" si="5"/>
        <v>1</v>
      </c>
    </row>
    <row r="15" spans="1:29" ht="57">
      <c r="A15" s="399" t="s">
        <v>2380</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768" t="s">
        <v>2381</v>
      </c>
      <c r="Q15" s="1536" t="str">
        <f t="shared" si="6"/>
        <v>产业集聚程度</v>
      </c>
      <c r="R15" s="714" t="s">
        <v>17</v>
      </c>
      <c r="S15" s="715">
        <f t="shared" si="0"/>
        <v>100</v>
      </c>
      <c r="T15" s="714" t="s">
        <v>17</v>
      </c>
      <c r="U15" s="715">
        <f t="shared" si="1"/>
        <v>100</v>
      </c>
      <c r="V15" s="714" t="s">
        <v>17</v>
      </c>
      <c r="W15" s="715">
        <f t="shared" si="2"/>
        <v>100</v>
      </c>
      <c r="X15" s="1539"/>
      <c r="Y15" s="376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769"/>
      <c r="Q16" s="1536"/>
      <c r="R16" s="714"/>
      <c r="S16" s="715"/>
      <c r="T16" s="714"/>
      <c r="U16" s="715"/>
      <c r="V16" s="714"/>
      <c r="W16" s="715"/>
      <c r="X16" s="1539"/>
      <c r="Y16" s="3769"/>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769"/>
      <c r="Q17" s="1536" t="str">
        <f>B17</f>
        <v>交通便捷度</v>
      </c>
      <c r="R17" s="714" t="s">
        <v>17</v>
      </c>
      <c r="S17" s="715">
        <f>F17</f>
        <v>100</v>
      </c>
      <c r="T17" s="714" t="s">
        <v>17</v>
      </c>
      <c r="U17" s="715">
        <f>H17</f>
        <v>100</v>
      </c>
      <c r="V17" s="714" t="s">
        <v>17</v>
      </c>
      <c r="W17" s="715">
        <f>J17</f>
        <v>100</v>
      </c>
      <c r="X17" s="1539"/>
      <c r="Y17" s="376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769"/>
      <c r="Q18" s="1536"/>
      <c r="R18" s="714"/>
      <c r="S18" s="715"/>
      <c r="T18" s="714"/>
      <c r="U18" s="715"/>
      <c r="V18" s="714"/>
      <c r="W18" s="715"/>
      <c r="X18" s="1539"/>
      <c r="Y18" s="3769"/>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769"/>
      <c r="Q19" s="1536" t="str">
        <f t="shared" ref="Q19:Q33" si="8">B19</f>
        <v>区域土地利用方向</v>
      </c>
      <c r="R19" s="714" t="s">
        <v>17</v>
      </c>
      <c r="S19" s="715">
        <f>F19</f>
        <v>100</v>
      </c>
      <c r="T19" s="714" t="s">
        <v>17</v>
      </c>
      <c r="U19" s="715">
        <f>H19</f>
        <v>100</v>
      </c>
      <c r="V19" s="714" t="s">
        <v>17</v>
      </c>
      <c r="W19" s="715">
        <f>J19</f>
        <v>100</v>
      </c>
      <c r="X19" s="1539"/>
      <c r="Y19" s="376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769"/>
      <c r="Q20" s="1536"/>
      <c r="R20" s="714"/>
      <c r="S20" s="715"/>
      <c r="T20" s="714"/>
      <c r="U20" s="715"/>
      <c r="V20" s="714"/>
      <c r="W20" s="715"/>
      <c r="X20" s="1539"/>
      <c r="Y20" s="3769"/>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769"/>
      <c r="Q21" s="1536" t="str">
        <f t="shared" si="8"/>
        <v>环境状况</v>
      </c>
      <c r="R21" s="714" t="s">
        <v>17</v>
      </c>
      <c r="S21" s="715">
        <f>F21</f>
        <v>100</v>
      </c>
      <c r="T21" s="714" t="s">
        <v>17</v>
      </c>
      <c r="U21" s="715">
        <f>H21</f>
        <v>100</v>
      </c>
      <c r="V21" s="714" t="s">
        <v>17</v>
      </c>
      <c r="W21" s="715">
        <f>J21</f>
        <v>100</v>
      </c>
      <c r="X21" s="1539"/>
      <c r="Y21" s="376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769"/>
      <c r="Q22" s="1536"/>
      <c r="R22" s="714"/>
      <c r="S22" s="715"/>
      <c r="T22" s="714"/>
      <c r="U22" s="715"/>
      <c r="V22" s="714"/>
      <c r="W22" s="715"/>
      <c r="X22" s="1539"/>
      <c r="Y22" s="376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769"/>
      <c r="Q23" s="1527" t="str">
        <f t="shared" si="8"/>
        <v>公共配套设施</v>
      </c>
      <c r="R23" s="710" t="s">
        <v>17</v>
      </c>
      <c r="S23" s="711">
        <f>F23</f>
        <v>100</v>
      </c>
      <c r="T23" s="710" t="s">
        <v>17</v>
      </c>
      <c r="U23" s="711">
        <f>H23</f>
        <v>100</v>
      </c>
      <c r="V23" s="710" t="s">
        <v>17</v>
      </c>
      <c r="W23" s="711">
        <f>J23</f>
        <v>100</v>
      </c>
      <c r="X23" s="712"/>
      <c r="Y23" s="376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769"/>
      <c r="Q24" s="1527"/>
      <c r="R24" s="710"/>
      <c r="S24" s="711"/>
      <c r="T24" s="710"/>
      <c r="U24" s="711"/>
      <c r="V24" s="710"/>
      <c r="W24" s="711"/>
      <c r="X24" s="712"/>
      <c r="Y24" s="376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769"/>
      <c r="Q25" s="1527" t="str">
        <f>B25</f>
        <v>基础设施水平</v>
      </c>
      <c r="R25" s="710" t="s">
        <v>17</v>
      </c>
      <c r="S25" s="711">
        <f>F25</f>
        <v>100</v>
      </c>
      <c r="T25" s="710" t="s">
        <v>17</v>
      </c>
      <c r="U25" s="711">
        <f>H25</f>
        <v>100</v>
      </c>
      <c r="V25" s="710" t="s">
        <v>17</v>
      </c>
      <c r="W25" s="711">
        <f>J25</f>
        <v>100</v>
      </c>
      <c r="X25" s="712"/>
      <c r="Y25" s="376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769"/>
      <c r="Q26" s="1527"/>
      <c r="R26" s="710"/>
      <c r="S26" s="711"/>
      <c r="T26" s="710"/>
      <c r="U26" s="711"/>
      <c r="V26" s="710"/>
      <c r="W26" s="711"/>
      <c r="X26" s="712"/>
      <c r="Y26" s="376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769"/>
      <c r="Q27" s="1536" t="str">
        <f t="shared" si="8"/>
        <v>临街状况</v>
      </c>
      <c r="R27" s="714" t="s">
        <v>17</v>
      </c>
      <c r="S27" s="715">
        <f t="shared" ref="S27:S40" si="9">F27</f>
        <v>100</v>
      </c>
      <c r="T27" s="714" t="s">
        <v>17</v>
      </c>
      <c r="U27" s="715">
        <f t="shared" ref="U27:U40" si="10">H27</f>
        <v>100</v>
      </c>
      <c r="V27" s="714" t="s">
        <v>17</v>
      </c>
      <c r="W27" s="715">
        <f t="shared" ref="W27:W40" si="11">J27</f>
        <v>100</v>
      </c>
      <c r="X27" s="1539"/>
      <c r="Y27" s="3769"/>
      <c r="Z27" s="1540" t="str">
        <f t="shared" ref="Z27:Z40" si="12">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769"/>
      <c r="Q28" s="1536" t="str">
        <f t="shared" si="8"/>
        <v>毗邻道路的类型与等级</v>
      </c>
      <c r="R28" s="714" t="s">
        <v>17</v>
      </c>
      <c r="S28" s="715">
        <f t="shared" si="9"/>
        <v>100</v>
      </c>
      <c r="T28" s="714" t="s">
        <v>17</v>
      </c>
      <c r="U28" s="715">
        <f t="shared" si="10"/>
        <v>100</v>
      </c>
      <c r="V28" s="714" t="s">
        <v>17</v>
      </c>
      <c r="W28" s="715">
        <f t="shared" si="11"/>
        <v>100</v>
      </c>
      <c r="X28" s="1539"/>
      <c r="Y28" s="3769"/>
      <c r="Z28" s="1540" t="str">
        <f t="shared" si="12"/>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769"/>
      <c r="Q29" s="1536"/>
      <c r="R29" s="714"/>
      <c r="S29" s="715"/>
      <c r="T29" s="714"/>
      <c r="U29" s="715"/>
      <c r="V29" s="714"/>
      <c r="W29" s="715"/>
      <c r="X29" s="1539"/>
      <c r="Y29" s="3769"/>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769"/>
      <c r="Q30" s="1536" t="str">
        <f t="shared" si="8"/>
        <v>土地级别</v>
      </c>
      <c r="R30" s="714" t="s">
        <v>17</v>
      </c>
      <c r="S30" s="715">
        <f t="shared" si="9"/>
        <v>100</v>
      </c>
      <c r="T30" s="714" t="s">
        <v>17</v>
      </c>
      <c r="U30" s="715">
        <f t="shared" si="10"/>
        <v>100</v>
      </c>
      <c r="V30" s="714" t="s">
        <v>17</v>
      </c>
      <c r="W30" s="715">
        <f t="shared" si="11"/>
        <v>100</v>
      </c>
      <c r="X30" s="1539"/>
      <c r="Y30" s="3769"/>
      <c r="Z30" s="1540" t="str">
        <f t="shared" si="12"/>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769"/>
      <c r="Q31" s="1536">
        <f t="shared" si="8"/>
        <v>111</v>
      </c>
      <c r="R31" s="714" t="s">
        <v>17</v>
      </c>
      <c r="S31" s="715">
        <f t="shared" si="9"/>
        <v>100</v>
      </c>
      <c r="T31" s="714" t="s">
        <v>17</v>
      </c>
      <c r="U31" s="715">
        <f t="shared" si="10"/>
        <v>100</v>
      </c>
      <c r="V31" s="714" t="s">
        <v>17</v>
      </c>
      <c r="W31" s="715">
        <f t="shared" si="11"/>
        <v>100</v>
      </c>
      <c r="X31" s="1539"/>
      <c r="Y31" s="3769"/>
      <c r="Z31" s="1540">
        <f t="shared" si="12"/>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809" t="s">
        <v>2386</v>
      </c>
      <c r="Q32" s="1536">
        <f t="shared" si="8"/>
        <v>111</v>
      </c>
      <c r="R32" s="714" t="s">
        <v>17</v>
      </c>
      <c r="S32" s="715">
        <f t="shared" si="9"/>
        <v>100</v>
      </c>
      <c r="T32" s="714" t="s">
        <v>17</v>
      </c>
      <c r="U32" s="715">
        <f t="shared" si="10"/>
        <v>100</v>
      </c>
      <c r="V32" s="714" t="s">
        <v>17</v>
      </c>
      <c r="W32" s="715">
        <f t="shared" si="11"/>
        <v>100</v>
      </c>
      <c r="X32" s="1539"/>
      <c r="Y32" s="3773" t="s">
        <v>2386</v>
      </c>
      <c r="Z32" s="1540">
        <f t="shared" si="12"/>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773"/>
      <c r="Q33" s="1536">
        <f t="shared" si="8"/>
        <v>111</v>
      </c>
      <c r="R33" s="717" t="s">
        <v>17</v>
      </c>
      <c r="S33" s="718">
        <f t="shared" si="9"/>
        <v>100</v>
      </c>
      <c r="T33" s="717" t="s">
        <v>17</v>
      </c>
      <c r="U33" s="718">
        <f t="shared" si="10"/>
        <v>100</v>
      </c>
      <c r="V33" s="717" t="s">
        <v>17</v>
      </c>
      <c r="W33" s="718">
        <f t="shared" si="11"/>
        <v>100</v>
      </c>
      <c r="X33" s="719"/>
      <c r="Y33" s="3773"/>
      <c r="Z33" s="720">
        <f t="shared" si="12"/>
        <v>111</v>
      </c>
      <c r="AA33" s="1537">
        <f t="shared" si="3"/>
        <v>1</v>
      </c>
      <c r="AB33" s="1537">
        <f t="shared" si="4"/>
        <v>1</v>
      </c>
      <c r="AC33" s="1537">
        <f t="shared" si="5"/>
        <v>1</v>
      </c>
    </row>
    <row r="34" spans="1:31" ht="15">
      <c r="A34" s="399" t="s">
        <v>2384</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773"/>
      <c r="Q34" s="1536" t="str">
        <f>B34</f>
        <v>宗地面积</v>
      </c>
      <c r="R34" s="714" t="s">
        <v>17</v>
      </c>
      <c r="S34" s="715" t="e">
        <f t="shared" si="9"/>
        <v>#N/A</v>
      </c>
      <c r="T34" s="714" t="s">
        <v>17</v>
      </c>
      <c r="U34" s="715" t="e">
        <f t="shared" si="10"/>
        <v>#N/A</v>
      </c>
      <c r="V34" s="714" t="s">
        <v>17</v>
      </c>
      <c r="W34" s="715" t="e">
        <f t="shared" si="11"/>
        <v>#N/A</v>
      </c>
      <c r="X34" s="1539"/>
      <c r="Y34" s="3773"/>
      <c r="Z34" s="1540" t="str">
        <f t="shared" si="12"/>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773"/>
      <c r="Q35" s="1536" t="str">
        <f t="shared" ref="Q35:Q40" si="13">B35</f>
        <v>宗地形状</v>
      </c>
      <c r="R35" s="714" t="s">
        <v>17</v>
      </c>
      <c r="S35" s="715">
        <f t="shared" si="9"/>
        <v>100</v>
      </c>
      <c r="T35" s="714" t="s">
        <v>17</v>
      </c>
      <c r="U35" s="715">
        <f t="shared" si="10"/>
        <v>100</v>
      </c>
      <c r="V35" s="714" t="s">
        <v>17</v>
      </c>
      <c r="W35" s="715">
        <f t="shared" si="11"/>
        <v>100</v>
      </c>
      <c r="X35" s="1539"/>
      <c r="Y35" s="3773"/>
      <c r="Z35" s="1540" t="str">
        <f t="shared" si="12"/>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773"/>
      <c r="Q36" s="1536" t="str">
        <f t="shared" si="13"/>
        <v>宗地开发程度</v>
      </c>
      <c r="R36" s="710" t="s">
        <v>17</v>
      </c>
      <c r="S36" s="711">
        <f t="shared" si="9"/>
        <v>100</v>
      </c>
      <c r="T36" s="710" t="s">
        <v>17</v>
      </c>
      <c r="U36" s="711">
        <f t="shared" si="10"/>
        <v>100</v>
      </c>
      <c r="V36" s="710" t="s">
        <v>17</v>
      </c>
      <c r="W36" s="711">
        <f t="shared" si="11"/>
        <v>100</v>
      </c>
      <c r="X36" s="712"/>
      <c r="Y36" s="3773"/>
      <c r="Z36" s="55" t="str">
        <f t="shared" si="12"/>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773" t="s">
        <v>2386</v>
      </c>
      <c r="Q37" s="1536" t="str">
        <f t="shared" si="13"/>
        <v>工程地质条件</v>
      </c>
      <c r="R37" s="714" t="s">
        <v>17</v>
      </c>
      <c r="S37" s="715">
        <f t="shared" si="9"/>
        <v>100</v>
      </c>
      <c r="T37" s="714" t="s">
        <v>17</v>
      </c>
      <c r="U37" s="715">
        <f t="shared" si="10"/>
        <v>100</v>
      </c>
      <c r="V37" s="714" t="s">
        <v>17</v>
      </c>
      <c r="W37" s="715">
        <f t="shared" si="11"/>
        <v>100</v>
      </c>
      <c r="X37" s="1539"/>
      <c r="Y37" s="3773" t="s">
        <v>2386</v>
      </c>
      <c r="Z37" s="1540" t="str">
        <f t="shared" si="12"/>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773"/>
      <c r="Q38" s="1536">
        <f t="shared" si="13"/>
        <v>111</v>
      </c>
      <c r="R38" s="714" t="s">
        <v>17</v>
      </c>
      <c r="S38" s="715">
        <f t="shared" si="9"/>
        <v>100</v>
      </c>
      <c r="T38" s="714" t="s">
        <v>17</v>
      </c>
      <c r="U38" s="715">
        <f t="shared" si="10"/>
        <v>100</v>
      </c>
      <c r="V38" s="714" t="s">
        <v>17</v>
      </c>
      <c r="W38" s="715">
        <f t="shared" si="11"/>
        <v>100</v>
      </c>
      <c r="X38" s="1539"/>
      <c r="Y38" s="3773"/>
      <c r="Z38" s="1540">
        <f t="shared" si="12"/>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773"/>
      <c r="Q39" s="1536">
        <f t="shared" si="13"/>
        <v>111</v>
      </c>
      <c r="R39" s="714" t="s">
        <v>17</v>
      </c>
      <c r="S39" s="715">
        <f t="shared" si="9"/>
        <v>100</v>
      </c>
      <c r="T39" s="714" t="s">
        <v>17</v>
      </c>
      <c r="U39" s="715">
        <f t="shared" si="10"/>
        <v>100</v>
      </c>
      <c r="V39" s="714" t="s">
        <v>17</v>
      </c>
      <c r="W39" s="715">
        <f t="shared" si="11"/>
        <v>100</v>
      </c>
      <c r="X39" s="1539"/>
      <c r="Y39" s="3773"/>
      <c r="Z39" s="1540">
        <f t="shared" si="12"/>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773"/>
      <c r="Q40" s="1536">
        <f t="shared" si="13"/>
        <v>111</v>
      </c>
      <c r="R40" s="717" t="s">
        <v>17</v>
      </c>
      <c r="S40" s="718">
        <f t="shared" si="9"/>
        <v>100</v>
      </c>
      <c r="T40" s="717" t="s">
        <v>17</v>
      </c>
      <c r="U40" s="718">
        <f t="shared" si="10"/>
        <v>100</v>
      </c>
      <c r="V40" s="717" t="s">
        <v>17</v>
      </c>
      <c r="W40" s="718">
        <f t="shared" si="11"/>
        <v>100</v>
      </c>
      <c r="X40" s="719"/>
      <c r="Y40" s="3773"/>
      <c r="Z40" s="720">
        <f t="shared" si="12"/>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1"/>
      <c r="M41" s="2943"/>
      <c r="N41" s="2943"/>
      <c r="O41" s="2952"/>
      <c r="P41" s="3766" t="str">
        <f>A41</f>
        <v>成交单价</v>
      </c>
      <c r="Q41" s="3766"/>
      <c r="R41" s="3797">
        <f>E41</f>
        <v>0</v>
      </c>
      <c r="S41" s="3797"/>
      <c r="T41" s="3797">
        <f>G41</f>
        <v>0</v>
      </c>
      <c r="U41" s="3797"/>
      <c r="V41" s="3797">
        <f>I41</f>
        <v>0</v>
      </c>
      <c r="W41" s="3797"/>
      <c r="X41" s="699"/>
      <c r="Y41" s="721"/>
      <c r="Z41" s="699"/>
      <c r="AA41" s="699"/>
      <c r="AB41" s="699"/>
      <c r="AC41" s="699"/>
    </row>
    <row r="42" spans="1:31" ht="15.75" thickBot="1">
      <c r="A42" s="445" t="s">
        <v>2490</v>
      </c>
      <c r="B42" s="639"/>
      <c r="C42" s="448" t="e">
        <f>R43</f>
        <v>#DIV/0!</v>
      </c>
      <c r="D42" s="2538" t="s">
        <v>2877</v>
      </c>
      <c r="E42" s="448" t="e">
        <f>R42</f>
        <v>#DIV/0!</v>
      </c>
      <c r="F42" s="2539"/>
      <c r="G42" s="447" t="e">
        <f>T42</f>
        <v>#DIV/0!</v>
      </c>
      <c r="H42" s="2539"/>
      <c r="I42" s="448" t="e">
        <f>V42</f>
        <v>#DIV/0!</v>
      </c>
      <c r="J42" s="2539"/>
      <c r="K42" s="2541">
        <f>F42+H42+J42</f>
        <v>0</v>
      </c>
      <c r="L42" s="2951"/>
      <c r="M42" s="2943"/>
      <c r="N42" s="2943"/>
      <c r="O42" s="2952"/>
      <c r="P42" s="3766" t="str">
        <f>A42</f>
        <v>比较价值（元/平方米）</v>
      </c>
      <c r="Q42" s="3766"/>
      <c r="R42" s="3811" t="e">
        <f>ROUND(PRODUCT(R41,AA7:AA40),0)</f>
        <v>#DIV/0!</v>
      </c>
      <c r="S42" s="3811"/>
      <c r="T42" s="3811" t="e">
        <f>ROUND(PRODUCT(T41,AB7:AB40),0)</f>
        <v>#DIV/0!</v>
      </c>
      <c r="U42" s="3811"/>
      <c r="V42" s="3811" t="e">
        <f>ROUND(PRODUCT(V41,AC7:AC40),0)</f>
        <v>#DIV/0!</v>
      </c>
      <c r="W42" s="381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763" t="str">
        <f>A43</f>
        <v>估价对象XX用房的比较价值（楼面单价，元/平方米）</v>
      </c>
      <c r="Q43" s="3764"/>
      <c r="R43" s="3812" t="e">
        <f>ROUND(IF(D42="简单平均",AVERAGE(R42:W42),R42*F42+T42*H42+V42*J42),0)</f>
        <v>#DIV/0!</v>
      </c>
      <c r="S43" s="3812"/>
      <c r="T43" s="3812"/>
      <c r="U43" s="3812"/>
      <c r="V43" s="3812"/>
      <c r="W43" s="381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781" t="s">
        <v>2583</v>
      </c>
      <c r="H50" s="3813"/>
      <c r="I50" s="1540" t="s">
        <v>2620</v>
      </c>
      <c r="J50" s="1540">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32313.11</v>
      </c>
      <c r="F51" s="647" t="e">
        <f t="shared" ref="F51:F60" si="14">ROUND(B51*E51/10000,0)</f>
        <v>#DIV/0!</v>
      </c>
      <c r="G51" s="3777"/>
      <c r="H51" s="3766"/>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5">IF($C$50="北京市系数",I52,J52)</f>
        <v>0.8</v>
      </c>
      <c r="D52" s="1076">
        <v>0.25</v>
      </c>
      <c r="E52" s="650"/>
      <c r="F52" s="647" t="e">
        <f t="shared" si="14"/>
        <v>#DIV/0!</v>
      </c>
      <c r="G52" s="3814" t="s">
        <v>2588</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6">ROUND($C$43*C53*D53,0)</f>
        <v>#DIV/0!</v>
      </c>
      <c r="C53" s="176">
        <f t="shared" si="15"/>
        <v>0.5</v>
      </c>
      <c r="D53" s="1076">
        <v>0.25</v>
      </c>
      <c r="E53" s="650"/>
      <c r="F53" s="647" t="e">
        <f t="shared" si="14"/>
        <v>#DIV/0!</v>
      </c>
      <c r="G53" s="3814"/>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6"/>
        <v>#DIV/0!</v>
      </c>
      <c r="C54" s="176">
        <f t="shared" si="15"/>
        <v>0.36</v>
      </c>
      <c r="D54" s="1076">
        <v>0.25</v>
      </c>
      <c r="E54" s="650"/>
      <c r="F54" s="647" t="e">
        <f t="shared" si="14"/>
        <v>#DIV/0!</v>
      </c>
      <c r="G54" s="3814"/>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6"/>
        <v>#DIV/0!</v>
      </c>
      <c r="C55" s="176">
        <f t="shared" si="15"/>
        <v>0.3</v>
      </c>
      <c r="D55" s="1076">
        <v>0.25</v>
      </c>
      <c r="E55" s="650"/>
      <c r="F55" s="647" t="e">
        <f t="shared" si="14"/>
        <v>#DIV/0!</v>
      </c>
      <c r="G55" s="3814"/>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6"/>
        <v>#DIV/0!</v>
      </c>
      <c r="C56" s="176">
        <f t="shared" si="15"/>
        <v>0.3</v>
      </c>
      <c r="D56" s="1076">
        <v>0.25</v>
      </c>
      <c r="E56" s="223">
        <f>'数据-汇总表'!E11</f>
        <v>9931.119999999999</v>
      </c>
      <c r="F56" s="647" t="e">
        <f t="shared" si="14"/>
        <v>#DIV/0!</v>
      </c>
      <c r="G56" s="2173" t="s">
        <v>2593</v>
      </c>
      <c r="H56" s="1018" t="str">
        <f>项目基本情况!C37</f>
        <v>一级</v>
      </c>
      <c r="I56" s="879">
        <f>SUMIF(修正!A45:A56,H56,修正!F45:F56)</f>
        <v>0.3</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6"/>
        <v>#DIV/0!</v>
      </c>
      <c r="C57" s="176">
        <f t="shared" si="15"/>
        <v>0.3</v>
      </c>
      <c r="D57" s="1076">
        <v>0.25</v>
      </c>
      <c r="E57" s="223">
        <f>'数据-汇总表'!E12</f>
        <v>0</v>
      </c>
      <c r="F57" s="647" t="e">
        <f t="shared" si="14"/>
        <v>#DIV/0!</v>
      </c>
      <c r="G57" s="1023" t="s">
        <v>2595</v>
      </c>
      <c r="H57" s="1018" t="str">
        <f>IF(G57="商业",项目基本情况!B37,IF(G57="办公",项目基本情况!C37,IF(G57="住宅",项目基本情况!D37,项目基本情况!E37)))</f>
        <v>一级</v>
      </c>
      <c r="I57" s="879">
        <f>SUMIF(修正!A45:A56,H57,修正!G45:G56)</f>
        <v>0.3</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6"/>
        <v>#DIV/0!</v>
      </c>
      <c r="C58" s="176">
        <f t="shared" si="15"/>
        <v>0</v>
      </c>
      <c r="D58" s="1076">
        <v>0.25</v>
      </c>
      <c r="E58" s="223">
        <f>'数据-汇总表'!E13</f>
        <v>5444.8200000000006</v>
      </c>
      <c r="F58" s="647" t="e">
        <f t="shared" si="14"/>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6"/>
        <v>#DIV/0!</v>
      </c>
      <c r="C59" s="176">
        <f t="shared" si="15"/>
        <v>0.25</v>
      </c>
      <c r="D59" s="1076">
        <v>0.25</v>
      </c>
      <c r="E59" s="223">
        <f>'数据-汇总表'!E14</f>
        <v>0</v>
      </c>
      <c r="F59" s="647" t="e">
        <f t="shared" si="14"/>
        <v>#DIV/0!</v>
      </c>
      <c r="G59" s="2173" t="s">
        <v>2588</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6"/>
        <v>#DIV/0!</v>
      </c>
      <c r="C60" s="176">
        <f t="shared" si="15"/>
        <v>0.25</v>
      </c>
      <c r="D60" s="1076">
        <v>0.25</v>
      </c>
      <c r="E60" s="223">
        <f>'数据-汇总表'!E15</f>
        <v>0</v>
      </c>
      <c r="F60" s="647" t="e">
        <f t="shared" si="14"/>
        <v>#DIV/0!</v>
      </c>
      <c r="G60" s="2174" t="s">
        <v>2593</v>
      </c>
      <c r="H60" s="1028" t="str">
        <f>项目基本情况!C37</f>
        <v>一级</v>
      </c>
      <c r="I60" s="879">
        <f>SUMIF(修正!A45:A56,H60,修正!H45:H56)</f>
        <v>0.25</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5933.24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2017-6-1</v>
      </c>
      <c r="D63" s="701">
        <f>EDATE(C63,-3)</f>
        <v>42795</v>
      </c>
      <c r="E63" s="701">
        <f>EDATE(D63,-3)</f>
        <v>42705</v>
      </c>
      <c r="F63" s="701">
        <f t="shared" ref="F63:O63" si="17">EDATE(E63,-3)</f>
        <v>42614</v>
      </c>
      <c r="G63" s="701">
        <f t="shared" si="17"/>
        <v>42522</v>
      </c>
      <c r="H63" s="701">
        <f t="shared" si="17"/>
        <v>42430</v>
      </c>
      <c r="I63" s="701">
        <f t="shared" si="17"/>
        <v>42339</v>
      </c>
      <c r="J63" s="701">
        <f t="shared" si="17"/>
        <v>42248</v>
      </c>
      <c r="K63" s="701">
        <f t="shared" si="17"/>
        <v>42156</v>
      </c>
      <c r="L63" s="701">
        <f t="shared" si="17"/>
        <v>42064</v>
      </c>
      <c r="M63" s="701">
        <f t="shared" si="17"/>
        <v>41974</v>
      </c>
      <c r="N63" s="701">
        <f t="shared" si="17"/>
        <v>41883</v>
      </c>
      <c r="O63" s="701">
        <f t="shared" si="17"/>
        <v>41791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4" t="str">
        <f>YEAR(C63)&amp;"-"&amp;ROUNDUP(MONTH(C63)/3,0)</f>
        <v>2017-2</v>
      </c>
      <c r="D65" s="1344" t="str">
        <f t="shared" ref="D65:O65" si="18">YEAR(D63)&amp;"-"&amp;ROUNDUP(MONTH(D63)/3,0)</f>
        <v>2017-1</v>
      </c>
      <c r="E65" s="1344" t="str">
        <f t="shared" si="18"/>
        <v>2016-4</v>
      </c>
      <c r="F65" s="1344" t="str">
        <f t="shared" si="18"/>
        <v>2016-3</v>
      </c>
      <c r="G65" s="1344" t="str">
        <f t="shared" si="18"/>
        <v>2016-2</v>
      </c>
      <c r="H65" s="1344" t="str">
        <f t="shared" si="18"/>
        <v>2016-1</v>
      </c>
      <c r="I65" s="1344" t="str">
        <f t="shared" si="18"/>
        <v>2015-4</v>
      </c>
      <c r="J65" s="1344" t="str">
        <f t="shared" si="18"/>
        <v>2015-3</v>
      </c>
      <c r="K65" s="1344" t="str">
        <f t="shared" si="18"/>
        <v>2015-2</v>
      </c>
      <c r="L65" s="1344" t="str">
        <f t="shared" si="18"/>
        <v>2015-1</v>
      </c>
      <c r="M65" s="1344" t="str">
        <f t="shared" si="18"/>
        <v>2014-4</v>
      </c>
      <c r="N65" s="1344" t="str">
        <f t="shared" si="18"/>
        <v>2014-3</v>
      </c>
      <c r="O65" s="1344" t="str">
        <f t="shared" si="18"/>
        <v>2014-2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"北京市平均增长率"&amp;TEXT('基准地价修正-办公'!P24,"0.00%")</f>
        <v>北京市平均增长率1.37%</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2610</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3" t="str">
        <f t="shared" si="24"/>
        <v>(含)-</v>
      </c>
      <c r="L107" s="1503" t="str">
        <f t="shared" si="24"/>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51" priority="18" stopIfTrue="1" operator="containsText" text="超过">
      <formula>NOT(ISERROR(SEARCH("超过",F46)))</formula>
    </cfRule>
  </conditionalFormatting>
  <conditionalFormatting sqref="J48">
    <cfRule type="containsText" dxfId="150" priority="17" stopIfTrue="1" operator="containsText" text="超过">
      <formula>NOT(ISERROR(SEARCH("超过",J48)))</formula>
    </cfRule>
  </conditionalFormatting>
  <conditionalFormatting sqref="H48">
    <cfRule type="containsText" dxfId="149" priority="16" stopIfTrue="1" operator="containsText" text="超过">
      <formula>NOT(ISERROR(SEARCH("超过",H48)))</formula>
    </cfRule>
  </conditionalFormatting>
  <conditionalFormatting sqref="F48">
    <cfRule type="containsText" dxfId="148" priority="15" stopIfTrue="1" operator="containsText" text="超过">
      <formula>NOT(ISERROR(SEARCH("超过",F48)))</formula>
    </cfRule>
  </conditionalFormatting>
  <conditionalFormatting sqref="F47 H47 J47">
    <cfRule type="containsText" dxfId="147" priority="14" stopIfTrue="1" operator="containsText" text="超过">
      <formula>NOT(ISERROR(SEARCH("超过",F47)))</formula>
    </cfRule>
  </conditionalFormatting>
  <conditionalFormatting sqref="E46">
    <cfRule type="expression" dxfId="146" priority="13" stopIfTrue="1">
      <formula>$F$46="超过30%"</formula>
    </cfRule>
  </conditionalFormatting>
  <conditionalFormatting sqref="G48">
    <cfRule type="expression" dxfId="145" priority="12" stopIfTrue="1">
      <formula>$H$48="超过30%"</formula>
    </cfRule>
  </conditionalFormatting>
  <conditionalFormatting sqref="E48">
    <cfRule type="expression" dxfId="144" priority="10" stopIfTrue="1">
      <formula>$F$48="超过30%"</formula>
    </cfRule>
  </conditionalFormatting>
  <conditionalFormatting sqref="G46">
    <cfRule type="expression" dxfId="143" priority="9" stopIfTrue="1">
      <formula>$H$46="超过30%"</formula>
    </cfRule>
  </conditionalFormatting>
  <conditionalFormatting sqref="G47">
    <cfRule type="expression" dxfId="142" priority="8" stopIfTrue="1">
      <formula>$H$47="超过20%"</formula>
    </cfRule>
  </conditionalFormatting>
  <conditionalFormatting sqref="I46">
    <cfRule type="expression" dxfId="141" priority="7" stopIfTrue="1">
      <formula>$J$46="超过30%"</formula>
    </cfRule>
  </conditionalFormatting>
  <conditionalFormatting sqref="I47">
    <cfRule type="expression" dxfId="140" priority="6" stopIfTrue="1">
      <formula>$J$47="超过20%"</formula>
    </cfRule>
  </conditionalFormatting>
  <conditionalFormatting sqref="I48">
    <cfRule type="expression" dxfId="139" priority="5" stopIfTrue="1">
      <formula>$J$48="超过30%"</formula>
    </cfRule>
  </conditionalFormatting>
  <conditionalFormatting sqref="E47">
    <cfRule type="expression" dxfId="138" priority="53" stopIfTrue="1">
      <formula>#REF!+$F$47="超过20%"</formula>
    </cfRule>
  </conditionalFormatting>
  <conditionalFormatting sqref="F42">
    <cfRule type="expression" dxfId="137" priority="4">
      <formula>$D$42="简单平均"</formula>
    </cfRule>
  </conditionalFormatting>
  <conditionalFormatting sqref="H42">
    <cfRule type="expression" dxfId="136" priority="3">
      <formula>$D$42="简单平均"</formula>
    </cfRule>
  </conditionalFormatting>
  <conditionalFormatting sqref="J42">
    <cfRule type="expression" dxfId="135" priority="2">
      <formula>$D$42="简单平均"</formula>
    </cfRule>
  </conditionalFormatting>
  <conditionalFormatting sqref="F7:F40 H7:H40 J7:J40">
    <cfRule type="cellIs" dxfId="134" priority="1" operator="notEqual">
      <formula>100</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E8" sqref="E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2"/>
      <c r="G1" s="3022"/>
      <c r="H1" s="3022"/>
      <c r="I1" s="3022"/>
      <c r="J1" s="3022"/>
      <c r="K1" s="3022"/>
      <c r="L1" s="3022"/>
      <c r="M1" s="3022"/>
      <c r="N1" s="3022"/>
      <c r="O1" s="3022"/>
      <c r="P1" s="3022"/>
    </row>
    <row r="2" spans="1:16" ht="15.75">
      <c r="A2" s="2361" t="s">
        <v>2812</v>
      </c>
      <c r="B2" s="2826">
        <f ca="1">SUMIF(B6:B13,"&lt;&gt;#ref!",B6:B13)</f>
        <v>114083</v>
      </c>
      <c r="C2" s="2361" t="s">
        <v>2813</v>
      </c>
      <c r="D2" s="2361" t="s">
        <v>2814</v>
      </c>
      <c r="E2" s="2836">
        <f ca="1">SUMIF(E6:E13,"&lt;&gt;#ref!",E6:E13)</f>
        <v>47689.05</v>
      </c>
      <c r="F2" s="3022"/>
      <c r="G2" s="3022"/>
      <c r="H2" s="3022"/>
      <c r="I2" s="3022"/>
      <c r="J2" s="3022"/>
      <c r="K2" s="3022"/>
      <c r="L2" s="3022"/>
      <c r="M2" s="3022"/>
      <c r="N2" s="3022"/>
      <c r="O2" s="3022"/>
      <c r="P2" s="3022"/>
    </row>
    <row r="3" spans="1:16" ht="15.75">
      <c r="A3" s="2361" t="s">
        <v>2815</v>
      </c>
      <c r="B3" s="2826">
        <f ca="1">ROUND(B2*10000/E2,0)</f>
        <v>23922</v>
      </c>
      <c r="C3" s="2361"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2"/>
      <c r="D5" s="3022"/>
      <c r="E5" s="2835" t="s">
        <v>2818</v>
      </c>
      <c r="F5" s="3022"/>
      <c r="G5" s="3022"/>
      <c r="H5" s="3022"/>
      <c r="I5" s="3022"/>
      <c r="J5" s="3022"/>
      <c r="K5" s="3022"/>
      <c r="L5" s="3022"/>
      <c r="M5" s="3022"/>
      <c r="N5" s="3022"/>
      <c r="O5" s="3022"/>
      <c r="P5" s="3022"/>
    </row>
    <row r="6" spans="1:16" ht="15.75">
      <c r="A6" s="2833" t="s">
        <v>3100</v>
      </c>
      <c r="B6" s="2826">
        <f ca="1">SUMIF(INDIRECT("'"&amp;A6&amp;"'"&amp;"!A:A"),"总价",INDIRECT("'"&amp;A6&amp;"'"&amp;"!B:B"))</f>
        <v>73017</v>
      </c>
      <c r="C6" s="2361" t="s">
        <v>2813</v>
      </c>
      <c r="D6" s="3022"/>
      <c r="E6" s="2836">
        <f ca="1">SUMIF(INDIRECT("'"&amp;A6&amp;"'"&amp;"!C:C"),"建筑面积",INDIRECT("'"&amp;A6&amp;"'"&amp;"!D:D"))</f>
        <v>35063.26</v>
      </c>
      <c r="F6" s="3022"/>
      <c r="G6" s="3022"/>
      <c r="H6" s="3022"/>
      <c r="I6" s="3022"/>
      <c r="J6" s="3022"/>
      <c r="K6" s="3022"/>
      <c r="L6" s="3022"/>
      <c r="M6" s="3022"/>
      <c r="N6" s="3022"/>
      <c r="O6" s="3022"/>
      <c r="P6" s="3022"/>
    </row>
    <row r="7" spans="1:16" ht="15.75">
      <c r="A7" s="2833" t="s">
        <v>3102</v>
      </c>
      <c r="B7" s="2826">
        <f ca="1">SUMIF(INDIRECT("'"&amp;A7&amp;"'"&amp;"!A:A"),"总价",INDIRECT("'"&amp;A7&amp;"'"&amp;"!B:B"))</f>
        <v>41066</v>
      </c>
      <c r="C7" s="2361" t="s">
        <v>2813</v>
      </c>
      <c r="D7" s="3022"/>
      <c r="E7" s="2836">
        <f>SUM('基准地价修正-商业'!U2:U6)</f>
        <v>12625.79</v>
      </c>
      <c r="F7" s="3022"/>
      <c r="G7" s="3022"/>
      <c r="H7" s="3022"/>
      <c r="I7" s="3022"/>
      <c r="J7" s="3022"/>
      <c r="K7" s="3022"/>
      <c r="L7" s="3022"/>
      <c r="M7" s="3022"/>
      <c r="N7" s="3022"/>
      <c r="O7" s="3022"/>
      <c r="P7" s="3022"/>
    </row>
    <row r="8" spans="1:16" ht="15.75">
      <c r="A8" s="2833"/>
      <c r="B8" s="2826" t="e">
        <f t="shared" ref="B8:B13" ca="1" si="0">SUMIF(INDIRECT("'"&amp;A8&amp;"'"&amp;"!A:A"),"总价",INDIRECT("'"&amp;A8&amp;"'"&amp;"!B:B"))</f>
        <v>#REF!</v>
      </c>
      <c r="C8" s="2361" t="s">
        <v>2813</v>
      </c>
      <c r="D8" s="3022"/>
      <c r="E8" s="2836" t="e">
        <f t="shared" ref="E8:E13" ca="1" si="1">SUMIF(INDIRECT("'"&amp;A8&amp;"'"&amp;"!C:C"),"建筑面积",INDIRECT("'"&amp;A8&amp;"'"&amp;"!D:D"))</f>
        <v>#REF!</v>
      </c>
      <c r="F8" s="3022"/>
      <c r="G8" s="3022"/>
      <c r="H8" s="3022"/>
      <c r="I8" s="3022"/>
      <c r="J8" s="3022"/>
      <c r="K8" s="3022"/>
      <c r="L8" s="3022"/>
      <c r="M8" s="3022"/>
      <c r="N8" s="3022"/>
      <c r="O8" s="3022"/>
      <c r="P8" s="3022"/>
    </row>
    <row r="9" spans="1:16" ht="15.75">
      <c r="A9" s="2833"/>
      <c r="B9" s="2826" t="e">
        <f t="shared" ca="1" si="0"/>
        <v>#REF!</v>
      </c>
      <c r="C9" s="2361" t="s">
        <v>2813</v>
      </c>
      <c r="D9" s="3022"/>
      <c r="E9" s="2836" t="e">
        <f t="shared" ca="1" si="1"/>
        <v>#REF!</v>
      </c>
      <c r="F9" s="3022"/>
      <c r="G9" s="3022"/>
      <c r="H9" s="3022"/>
      <c r="I9" s="3022"/>
      <c r="J9" s="3022"/>
      <c r="K9" s="3022"/>
      <c r="L9" s="3022"/>
      <c r="M9" s="3022"/>
      <c r="N9" s="3022"/>
      <c r="O9" s="3022"/>
      <c r="P9" s="3022"/>
    </row>
    <row r="10" spans="1:16" ht="15.75">
      <c r="A10" s="2833"/>
      <c r="B10" s="2826" t="e">
        <f t="shared" ca="1" si="0"/>
        <v>#REF!</v>
      </c>
      <c r="C10" s="2361" t="s">
        <v>2813</v>
      </c>
      <c r="D10" s="3022"/>
      <c r="E10" s="2836" t="e">
        <f t="shared" ca="1" si="1"/>
        <v>#REF!</v>
      </c>
      <c r="F10" s="3022"/>
      <c r="G10" s="3022"/>
      <c r="H10" s="3022"/>
      <c r="I10" s="3022"/>
      <c r="J10" s="3022"/>
      <c r="K10" s="3022"/>
      <c r="L10" s="3022"/>
      <c r="M10" s="3022"/>
      <c r="N10" s="3022"/>
      <c r="O10" s="3022"/>
      <c r="P10" s="3022"/>
    </row>
    <row r="11" spans="1:16" ht="15.75">
      <c r="A11" s="2833"/>
      <c r="B11" s="2826" t="e">
        <f t="shared" ca="1" si="0"/>
        <v>#REF!</v>
      </c>
      <c r="C11" s="2361" t="s">
        <v>2813</v>
      </c>
      <c r="D11" s="3022"/>
      <c r="E11" s="2836" t="e">
        <f t="shared" ca="1" si="1"/>
        <v>#REF!</v>
      </c>
      <c r="F11" s="3022"/>
      <c r="G11" s="3022"/>
      <c r="H11" s="3022"/>
      <c r="I11" s="3022"/>
      <c r="J11" s="3022"/>
      <c r="K11" s="3022"/>
      <c r="L11" s="3022"/>
      <c r="M11" s="3022"/>
      <c r="N11" s="3022"/>
      <c r="O11" s="3022"/>
      <c r="P11" s="3022"/>
    </row>
    <row r="12" spans="1:16" ht="15.75">
      <c r="A12" s="2833"/>
      <c r="B12" s="2826" t="e">
        <f t="shared" ca="1" si="0"/>
        <v>#REF!</v>
      </c>
      <c r="C12" s="2361" t="s">
        <v>2813</v>
      </c>
      <c r="D12" s="3022"/>
      <c r="E12" s="2836" t="e">
        <f t="shared" ca="1" si="1"/>
        <v>#REF!</v>
      </c>
      <c r="F12" s="3022"/>
      <c r="G12" s="3022"/>
      <c r="H12" s="3022"/>
      <c r="I12" s="3022"/>
      <c r="J12" s="3022"/>
      <c r="K12" s="3022"/>
      <c r="L12" s="3022"/>
      <c r="M12" s="3022"/>
      <c r="N12" s="3022"/>
      <c r="O12" s="3022"/>
      <c r="P12" s="3022"/>
    </row>
    <row r="13" spans="1:16" ht="15.75">
      <c r="A13" s="2833"/>
      <c r="B13" s="2826" t="e">
        <f t="shared" ca="1" si="0"/>
        <v>#REF!</v>
      </c>
      <c r="C13" s="2361" t="s">
        <v>2813</v>
      </c>
      <c r="D13" s="3022"/>
      <c r="E13" s="2836" t="e">
        <f t="shared" ca="1" si="1"/>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formatCells="0" formatColumns="0" formatRows="0"/>
  <phoneticPr fontId="141"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topLeftCell="A16" zoomScale="90" zoomScaleNormal="80" zoomScaleSheetLayoutView="90" workbookViewId="0">
      <selection activeCell="L47" sqref="L4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35063.26</v>
      </c>
      <c r="E1" s="2181"/>
      <c r="F1" s="2181"/>
      <c r="G1" s="2181"/>
      <c r="H1" s="2181"/>
      <c r="I1" s="2181"/>
      <c r="J1" s="2181"/>
      <c r="K1" s="1280"/>
      <c r="L1" s="2182" t="s">
        <v>2625</v>
      </c>
      <c r="M1" s="994">
        <f>SUMPRODUCT((区片价!B5:B9=I2)*(区片价!C3:F3=E2)*(区片价!C5:F9))</f>
        <v>28410</v>
      </c>
      <c r="N1" s="997">
        <f>SUMPRODUCT((因素修正幅度!B5:B9=I2)*(因素修正幅度!C3:F3=E2)*(因素修正幅度!C5:F9))</f>
        <v>9.6000000000000002E-2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73017</v>
      </c>
      <c r="C2" s="2185" t="s">
        <v>2632</v>
      </c>
      <c r="D2" s="2186" t="s">
        <v>2633</v>
      </c>
      <c r="E2" s="2187" t="s">
        <v>27</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63839</v>
      </c>
      <c r="U2" s="1375"/>
      <c r="V2" s="1374">
        <f>ROUND(T2*U2/10000,0)</f>
        <v>0</v>
      </c>
      <c r="W2" s="1378"/>
      <c r="X2" s="1378"/>
      <c r="Y2" s="1378"/>
      <c r="Z2" s="1378"/>
      <c r="AA2" s="1378"/>
      <c r="AB2" s="1378"/>
      <c r="AC2" s="1379"/>
      <c r="AD2" s="1380"/>
      <c r="AE2" s="1380"/>
      <c r="AF2" s="1380"/>
      <c r="AG2" s="1380"/>
      <c r="AH2" s="1380"/>
      <c r="AI2" s="1380"/>
      <c r="AJ2" s="1381"/>
    </row>
    <row r="3" spans="1:36" ht="25.5">
      <c r="A3" s="209" t="s">
        <v>2637</v>
      </c>
      <c r="B3" s="210">
        <f>ROUND(B2*10000/D1,0)</f>
        <v>20824</v>
      </c>
      <c r="C3" s="2185" t="s">
        <v>2638</v>
      </c>
      <c r="D3" s="2186" t="s">
        <v>2639</v>
      </c>
      <c r="E3" s="2191" t="s">
        <v>3090</v>
      </c>
      <c r="F3" s="2192" t="s">
        <v>3091</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46812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822"/>
      <c r="B4" s="3823"/>
      <c r="C4" s="3823"/>
      <c r="D4" s="3824"/>
      <c r="E4" s="3824"/>
      <c r="F4" s="3824"/>
      <c r="G4" s="3824"/>
      <c r="H4" s="3824"/>
      <c r="I4" s="3824"/>
      <c r="J4" s="3825"/>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38227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28410</v>
      </c>
      <c r="D5" s="1523">
        <f>ROUND(C6+C16,0)</f>
        <v>28410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31725</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28410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27752</v>
      </c>
      <c r="U6" s="1375"/>
      <c r="V6" s="1374">
        <f t="shared" si="1"/>
        <v>0</v>
      </c>
      <c r="W6" s="1378"/>
      <c r="X6" s="1378"/>
      <c r="Y6" s="1378"/>
      <c r="Z6" s="1378"/>
      <c r="AA6" s="1378"/>
      <c r="AB6" s="1378"/>
      <c r="AC6" s="2199"/>
      <c r="AD6" s="2200"/>
      <c r="AE6" s="2200"/>
      <c r="AF6" s="2200"/>
      <c r="AG6" s="2200"/>
      <c r="AH6" s="2200"/>
      <c r="AI6" s="2200"/>
      <c r="AJ6" s="2201"/>
    </row>
    <row r="7" spans="1:36" ht="24">
      <c r="A7" s="3826"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25084</v>
      </c>
      <c r="U7" s="1375"/>
      <c r="V7" s="1374">
        <f t="shared" si="1"/>
        <v>0</v>
      </c>
      <c r="W7" s="1542" t="s">
        <v>2654</v>
      </c>
      <c r="X7" s="1376" t="str">
        <f>G2</f>
        <v>一级</v>
      </c>
      <c r="Y7" s="1376" t="s">
        <v>2655</v>
      </c>
      <c r="Z7" s="1377">
        <f>G3</f>
        <v>5.45</v>
      </c>
      <c r="AA7" s="1378"/>
      <c r="AB7" s="1378"/>
      <c r="AC7" s="1379"/>
      <c r="AD7" s="1380"/>
      <c r="AE7" s="1380"/>
      <c r="AF7" s="1380"/>
      <c r="AG7" s="1380"/>
      <c r="AH7" s="1380"/>
      <c r="AI7" s="1380"/>
      <c r="AJ7" s="1381"/>
    </row>
    <row r="8" spans="1:36" ht="15">
      <c r="A8" s="3827"/>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19" t="s">
        <v>2659</v>
      </c>
      <c r="X8" s="382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27"/>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2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27"/>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2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27"/>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21"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2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2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28"/>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21"/>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28"/>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29"/>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26" t="s">
        <v>2702</v>
      </c>
      <c r="B16" s="2209" t="s">
        <v>2703</v>
      </c>
      <c r="C16" s="2371">
        <f>ROUND(IF(F17="与级别开发程度一致",0,(G17-E17)/C17),0)</f>
        <v>0</v>
      </c>
      <c r="D16" s="3842" t="s">
        <v>2707</v>
      </c>
      <c r="E16" s="3843"/>
      <c r="F16" s="3842" t="s">
        <v>2704</v>
      </c>
      <c r="G16" s="3843"/>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30"/>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0.90259999999999996</v>
      </c>
      <c r="D20" s="2258" t="s">
        <v>2716</v>
      </c>
      <c r="E20" s="1505">
        <f>存贷款利率!E18/100</f>
        <v>4.3499999999999997E-2</v>
      </c>
      <c r="F20" s="2258" t="s">
        <v>2708</v>
      </c>
      <c r="G20" s="873">
        <f>SUMIF(M26:P26,E2,M28:P28)</f>
        <v>5.1999999999999998E-2</v>
      </c>
      <c r="H20" s="2258" t="s">
        <v>2717</v>
      </c>
      <c r="I20" s="874">
        <f>SUMIF('数据-取费表'!C6:C15,E2,'数据-取费表'!F6:F15)/COUNTIF('数据-取费表'!C6:C15,E2)</f>
        <v>35.07</v>
      </c>
      <c r="J20" s="875">
        <f>IF(E2="住宅",70,IF(E2="商业",40,50))</f>
        <v>50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3096</v>
      </c>
      <c r="C21" s="876">
        <f>IF(B21="容积率修正",IF(G3&lt;=10,D22,J22),C23)</f>
        <v>0.90439999999999998</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1536" t="s">
        <v>2725</v>
      </c>
      <c r="D22" s="1536">
        <f>IF(E22=G22,F22,IF(G3&lt;=10,ROUND(F22+(H22-F22)*(G3-E22)/(G22-E22),4),"——"))</f>
        <v>0.90439999999999998</v>
      </c>
      <c r="E22" s="855">
        <f>ROUNDDOWN(G3,1)</f>
        <v>5.4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0.90580000000000005</v>
      </c>
      <c r="G22" s="855">
        <f>ROUNDUP(G3,1)</f>
        <v>5.5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0.90290000000000004</v>
      </c>
      <c r="I22" s="1536"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1.0533999999999999</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73017</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3578</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29819</v>
      </c>
      <c r="D29" s="2296">
        <f>'数据-汇总表'!F19</f>
        <v>19687.320000000003</v>
      </c>
      <c r="E29" s="879">
        <f>ROUND(C29*D29/10000,0)</f>
        <v>58706</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7455</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39"/>
      <c r="B33" s="2312" t="s">
        <v>2748</v>
      </c>
      <c r="C33" s="180">
        <f>ROUND(D5*C19*C20*C24*F33,0)</f>
        <v>26377</v>
      </c>
      <c r="D33" s="2296"/>
      <c r="E33" s="176">
        <f>ROUND(C33*D33/10000,0)</f>
        <v>0</v>
      </c>
      <c r="F33" s="176">
        <f>SUMIF(修正!A45:A56,G2,修正!B45:B56)</f>
        <v>0.8</v>
      </c>
      <c r="G33" s="176">
        <f>ROUND(IF(E2="工业",C33*$M$39,C33*$M$38),0)</f>
        <v>6594</v>
      </c>
      <c r="H33" s="176">
        <f>D33</f>
        <v>0</v>
      </c>
      <c r="I33" s="176">
        <f>ROUND(G33*H33/10000,0)</f>
        <v>0</v>
      </c>
      <c r="J33" s="3844"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40"/>
      <c r="B34" s="2229" t="s">
        <v>2749</v>
      </c>
      <c r="C34" s="180">
        <f>ROUND(D5*C19*C20*C24*F34,0)</f>
        <v>16486</v>
      </c>
      <c r="D34" s="2296"/>
      <c r="E34" s="176">
        <f t="shared" ref="E34:E39" si="6">ROUND(C34*D34/10000,0)</f>
        <v>0</v>
      </c>
      <c r="F34" s="176">
        <f>SUMIF(修正!A45:A56,G2,修正!C45:C56)</f>
        <v>0.5</v>
      </c>
      <c r="G34" s="176">
        <f>ROUND(IF(E2="工业",C34*$M$39,C34*$M$38),0)</f>
        <v>4122</v>
      </c>
      <c r="H34" s="176">
        <f t="shared" ref="H34:H39" si="7">D34</f>
        <v>0</v>
      </c>
      <c r="I34" s="176">
        <f t="shared" ref="I34:I39" si="8">ROUND(G34*H34/10000,0)</f>
        <v>0</v>
      </c>
      <c r="J34" s="384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40"/>
      <c r="B35" s="2229" t="s">
        <v>2750</v>
      </c>
      <c r="C35" s="180">
        <f>ROUND(D5*C19*C20*C24*F35,0)</f>
        <v>11870</v>
      </c>
      <c r="D35" s="2296"/>
      <c r="E35" s="176">
        <f t="shared" si="6"/>
        <v>0</v>
      </c>
      <c r="F35" s="176">
        <f>SUMIF(修正!A45:A56,G2,修正!D45:D56)</f>
        <v>0.36</v>
      </c>
      <c r="G35" s="176">
        <f>ROUND(IF(E2="工业",C35*$M$39,C35*$M$38),0)</f>
        <v>2968</v>
      </c>
      <c r="H35" s="176">
        <f t="shared" si="7"/>
        <v>0</v>
      </c>
      <c r="I35" s="176">
        <f t="shared" si="8"/>
        <v>0</v>
      </c>
      <c r="J35" s="384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41"/>
      <c r="B36" s="2229" t="s">
        <v>2751</v>
      </c>
      <c r="C36" s="180">
        <f>ROUND(D5*C19*C20*C24*F36,0)</f>
        <v>9891</v>
      </c>
      <c r="D36" s="2296"/>
      <c r="E36" s="176">
        <f t="shared" si="6"/>
        <v>0</v>
      </c>
      <c r="F36" s="176">
        <f>SUMIF(修正!A45:A56,G2,修正!E45:E56)</f>
        <v>0.3</v>
      </c>
      <c r="G36" s="176">
        <f>ROUND(IF(E2="工业",C36*$M$39,C36*$M$38),0)</f>
        <v>2473</v>
      </c>
      <c r="H36" s="176">
        <f t="shared" si="7"/>
        <v>0</v>
      </c>
      <c r="I36" s="176">
        <f t="shared" si="8"/>
        <v>0</v>
      </c>
      <c r="J36" s="384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9891</v>
      </c>
      <c r="D37" s="2296">
        <f>'数据-汇总表'!G25</f>
        <v>9931.119999999999</v>
      </c>
      <c r="E37" s="176">
        <f t="shared" si="6"/>
        <v>9823</v>
      </c>
      <c r="F37" s="180">
        <f>SUMIF(修正!A45:A56,G2,修正!F45:F56)</f>
        <v>0.3</v>
      </c>
      <c r="G37" s="176">
        <f>ROUND(IF(E2="工业",C37*$M$39,C37*$M$38),0)</f>
        <v>2473</v>
      </c>
      <c r="H37" s="176">
        <f t="shared" si="7"/>
        <v>9931.119999999999</v>
      </c>
      <c r="I37" s="176">
        <f t="shared" si="8"/>
        <v>2456</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9891</v>
      </c>
      <c r="D38" s="2296"/>
      <c r="E38" s="176">
        <f t="shared" si="6"/>
        <v>0</v>
      </c>
      <c r="F38" s="180">
        <f>SUMIF(修正!A45:A56,G2,修正!G45:G56)</f>
        <v>0.3</v>
      </c>
      <c r="G38" s="176">
        <f>ROUND(IF(E2="工业",C38*$M$39,C38*$M$38),0)</f>
        <v>2473</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8243</v>
      </c>
      <c r="D39" s="2302">
        <f>'数据-汇总表'!G24</f>
        <v>5444.8200000000006</v>
      </c>
      <c r="E39" s="193">
        <f t="shared" si="6"/>
        <v>4488</v>
      </c>
      <c r="F39" s="871">
        <f>SUMIF(修正!A45:A56,G2,修正!H45:H56)</f>
        <v>0.25</v>
      </c>
      <c r="G39" s="193">
        <f>ROUND(IF(E2="工业",C39*$M$39,C39*$M$38),0)</f>
        <v>2061</v>
      </c>
      <c r="H39" s="193">
        <f t="shared" si="7"/>
        <v>5444.8200000000006</v>
      </c>
      <c r="I39" s="193">
        <f t="shared" si="8"/>
        <v>1122</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0.90259999999999996</v>
      </c>
      <c r="D41" s="176" t="s">
        <v>2708</v>
      </c>
      <c r="E41" s="2369">
        <f>G20</f>
        <v>5.1999999999999998E-2</v>
      </c>
      <c r="F41" s="176" t="s">
        <v>2717</v>
      </c>
      <c r="G41" s="189">
        <f>项目基本情况!G15</f>
        <v>35.07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1.0533999999999999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t="s">
        <v>3094</v>
      </c>
      <c r="D59" s="1196">
        <f t="shared" ref="D59:D67" si="14">SUMIF($J$58:$N$58,C59,J59:N59)</f>
        <v>1.15E-2</v>
      </c>
      <c r="E59" s="760">
        <f>ROUND(SUM(D59:D67),4)</f>
        <v>5.3400000000000003E-2</v>
      </c>
      <c r="F59" s="2000">
        <f>IF(E2="办公",SUMIF(L1:L12,G2,N1:N12),"——")</f>
        <v>9.6000000000000002E-2</v>
      </c>
      <c r="G59" s="1194">
        <v>1.15E-2</v>
      </c>
      <c r="H59" s="1198">
        <f t="shared" ref="H59:H67" si="15">IFERROR(ROUNDDOWN($F$59*I59/2,4),"——")</f>
        <v>1.15E-2</v>
      </c>
      <c r="I59" s="759">
        <v>0.24</v>
      </c>
      <c r="J59" s="1195">
        <f t="shared" ref="J59:J67" si="16">K59+$G59</f>
        <v>2.3E-2</v>
      </c>
      <c r="K59" s="1195">
        <f t="shared" ref="K59:K67" si="17">$L59+$G59</f>
        <v>1.15E-2</v>
      </c>
      <c r="L59" s="1195">
        <v>0</v>
      </c>
      <c r="M59" s="1195">
        <f t="shared" ref="M59:N67" si="18">L59-$G59</f>
        <v>-1.15E-2</v>
      </c>
      <c r="N59" s="1195">
        <f t="shared" si="18"/>
        <v>-2.3E-2</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t="s">
        <v>3094</v>
      </c>
      <c r="D60" s="1196">
        <f t="shared" si="14"/>
        <v>1.44E-2</v>
      </c>
      <c r="E60" s="761"/>
      <c r="F60" s="2000"/>
      <c r="G60" s="1194">
        <v>1.44E-2</v>
      </c>
      <c r="H60" s="1198">
        <f t="shared" si="15"/>
        <v>1.44E-2</v>
      </c>
      <c r="I60" s="759">
        <v>0.3</v>
      </c>
      <c r="J60" s="1195">
        <f t="shared" si="16"/>
        <v>2.8799999999999999E-2</v>
      </c>
      <c r="K60" s="1195">
        <f t="shared" si="17"/>
        <v>1.44E-2</v>
      </c>
      <c r="L60" s="1195">
        <v>0</v>
      </c>
      <c r="M60" s="1195">
        <f t="shared" si="18"/>
        <v>-1.44E-2</v>
      </c>
      <c r="N60" s="1195">
        <f t="shared" si="18"/>
        <v>-2.8799999999999999E-2</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t="s">
        <v>3094</v>
      </c>
      <c r="D61" s="1196">
        <f t="shared" si="14"/>
        <v>3.8E-3</v>
      </c>
      <c r="E61" s="761"/>
      <c r="F61" s="2000"/>
      <c r="G61" s="1194">
        <v>3.8E-3</v>
      </c>
      <c r="H61" s="1198">
        <f t="shared" si="15"/>
        <v>3.8E-3</v>
      </c>
      <c r="I61" s="759">
        <v>0.08</v>
      </c>
      <c r="J61" s="1195">
        <f t="shared" si="16"/>
        <v>7.6E-3</v>
      </c>
      <c r="K61" s="1195">
        <f t="shared" si="17"/>
        <v>3.8E-3</v>
      </c>
      <c r="L61" s="1195">
        <v>0</v>
      </c>
      <c r="M61" s="1195">
        <f t="shared" si="18"/>
        <v>-3.8E-3</v>
      </c>
      <c r="N61" s="1195">
        <f t="shared" si="18"/>
        <v>-7.6E-3</v>
      </c>
      <c r="AA61" s="1281"/>
      <c r="AB61" s="1281"/>
      <c r="AC61" s="1281"/>
      <c r="AD61" s="1281"/>
      <c r="AE61" s="1281"/>
      <c r="AF61" s="1281"/>
      <c r="AG61" s="1281"/>
      <c r="AH61" s="1281"/>
      <c r="AI61" s="1281"/>
      <c r="AJ61" s="1281"/>
      <c r="AK61" s="1281"/>
    </row>
    <row r="62" spans="1:37" s="1280" customFormat="1" ht="36.75">
      <c r="A62" s="2329" t="s">
        <v>2770</v>
      </c>
      <c r="B62" s="2334" t="s">
        <v>2771</v>
      </c>
      <c r="C62" s="2234" t="s">
        <v>3094</v>
      </c>
      <c r="D62" s="1196">
        <f t="shared" si="14"/>
        <v>1.9E-3</v>
      </c>
      <c r="E62" s="761"/>
      <c r="F62" s="2000"/>
      <c r="G62" s="1194">
        <v>1.9E-3</v>
      </c>
      <c r="H62" s="1198">
        <f t="shared" si="15"/>
        <v>1.9E-3</v>
      </c>
      <c r="I62" s="759">
        <v>0.04</v>
      </c>
      <c r="J62" s="1195">
        <f t="shared" si="16"/>
        <v>3.8E-3</v>
      </c>
      <c r="K62" s="1195">
        <f t="shared" si="17"/>
        <v>1.9E-3</v>
      </c>
      <c r="L62" s="1195">
        <v>0</v>
      </c>
      <c r="M62" s="1195">
        <f t="shared" si="18"/>
        <v>-1.9E-3</v>
      </c>
      <c r="N62" s="1195">
        <f t="shared" si="18"/>
        <v>-3.8E-3</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t="s">
        <v>3094</v>
      </c>
      <c r="D63" s="1196">
        <f t="shared" si="14"/>
        <v>2.3999999999999998E-3</v>
      </c>
      <c r="E63" s="761"/>
      <c r="F63" s="2000"/>
      <c r="G63" s="1194">
        <v>2.3999999999999998E-3</v>
      </c>
      <c r="H63" s="1198">
        <f t="shared" si="15"/>
        <v>2.3999999999999998E-3</v>
      </c>
      <c r="I63" s="759">
        <v>0.05</v>
      </c>
      <c r="J63" s="1195">
        <f t="shared" si="16"/>
        <v>4.7999999999999996E-3</v>
      </c>
      <c r="K63" s="1195">
        <f t="shared" si="17"/>
        <v>2.3999999999999998E-3</v>
      </c>
      <c r="L63" s="1195">
        <v>0</v>
      </c>
      <c r="M63" s="1195">
        <f t="shared" si="18"/>
        <v>-2.3999999999999998E-3</v>
      </c>
      <c r="N63" s="1195">
        <f t="shared" si="18"/>
        <v>-4.7999999999999996E-3</v>
      </c>
      <c r="AA63" s="1281"/>
      <c r="AB63" s="1281"/>
      <c r="AC63" s="1281"/>
      <c r="AD63" s="1281"/>
      <c r="AE63" s="1281"/>
      <c r="AF63" s="1281"/>
      <c r="AG63" s="1281"/>
      <c r="AH63" s="1281"/>
      <c r="AI63" s="1281"/>
      <c r="AJ63" s="1281"/>
      <c r="AK63" s="1281"/>
    </row>
    <row r="64" spans="1:37" s="1280" customFormat="1" ht="24">
      <c r="A64" s="2329" t="s">
        <v>2773</v>
      </c>
      <c r="B64" s="2335" t="s">
        <v>2774</v>
      </c>
      <c r="C64" s="2234" t="s">
        <v>3094</v>
      </c>
      <c r="D64" s="1196">
        <f t="shared" si="14"/>
        <v>2.3999999999999998E-3</v>
      </c>
      <c r="E64" s="761"/>
      <c r="F64" s="2000"/>
      <c r="G64" s="1194">
        <v>2.3999999999999998E-3</v>
      </c>
      <c r="H64" s="1198">
        <f t="shared" si="15"/>
        <v>2.3999999999999998E-3</v>
      </c>
      <c r="I64" s="759">
        <v>0.05</v>
      </c>
      <c r="J64" s="1195">
        <f t="shared" si="16"/>
        <v>4.7999999999999996E-3</v>
      </c>
      <c r="K64" s="1195">
        <f t="shared" si="17"/>
        <v>2.3999999999999998E-3</v>
      </c>
      <c r="L64" s="1195">
        <v>0</v>
      </c>
      <c r="M64" s="1195">
        <f t="shared" si="18"/>
        <v>-2.3999999999999998E-3</v>
      </c>
      <c r="N64" s="1195">
        <f t="shared" si="18"/>
        <v>-4.7999999999999996E-3</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t="s">
        <v>3094</v>
      </c>
      <c r="D65" s="1196">
        <f t="shared" si="14"/>
        <v>2.8E-3</v>
      </c>
      <c r="E65" s="761"/>
      <c r="F65" s="2000"/>
      <c r="G65" s="1194">
        <v>2.8E-3</v>
      </c>
      <c r="H65" s="1198">
        <f t="shared" si="15"/>
        <v>2.8E-3</v>
      </c>
      <c r="I65" s="759">
        <v>0.06</v>
      </c>
      <c r="J65" s="1195">
        <f t="shared" si="16"/>
        <v>5.5999999999999999E-3</v>
      </c>
      <c r="K65" s="1195">
        <f t="shared" si="17"/>
        <v>2.8E-3</v>
      </c>
      <c r="L65" s="1195">
        <v>0</v>
      </c>
      <c r="M65" s="1195">
        <f t="shared" si="18"/>
        <v>-2.8E-3</v>
      </c>
      <c r="N65" s="1195">
        <f t="shared" si="18"/>
        <v>-5.5999999999999999E-3</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t="s">
        <v>3095</v>
      </c>
      <c r="D66" s="1196">
        <f t="shared" si="14"/>
        <v>1.14E-2</v>
      </c>
      <c r="E66" s="761"/>
      <c r="F66" s="2000"/>
      <c r="G66" s="1194">
        <v>5.7000000000000002E-3</v>
      </c>
      <c r="H66" s="1198">
        <f t="shared" si="15"/>
        <v>5.7000000000000002E-3</v>
      </c>
      <c r="I66" s="759">
        <v>0.12</v>
      </c>
      <c r="J66" s="1195">
        <f t="shared" si="16"/>
        <v>1.14E-2</v>
      </c>
      <c r="K66" s="1195">
        <f t="shared" si="17"/>
        <v>5.7000000000000002E-3</v>
      </c>
      <c r="L66" s="1195">
        <v>0</v>
      </c>
      <c r="M66" s="1195">
        <f t="shared" si="18"/>
        <v>-5.7000000000000002E-3</v>
      </c>
      <c r="N66" s="1195">
        <f t="shared" si="18"/>
        <v>-1.14E-2</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t="s">
        <v>3094</v>
      </c>
      <c r="D67" s="1196">
        <f t="shared" si="14"/>
        <v>2.8E-3</v>
      </c>
      <c r="E67" s="764"/>
      <c r="F67" s="2000"/>
      <c r="G67" s="1194">
        <v>2.8E-3</v>
      </c>
      <c r="H67" s="1198">
        <f t="shared" si="15"/>
        <v>2.8E-3</v>
      </c>
      <c r="I67" s="763">
        <v>0.06</v>
      </c>
      <c r="J67" s="1195">
        <f t="shared" si="16"/>
        <v>5.5999999999999999E-3</v>
      </c>
      <c r="K67" s="1195">
        <f t="shared" si="17"/>
        <v>2.8E-3</v>
      </c>
      <c r="L67" s="1195">
        <v>0</v>
      </c>
      <c r="M67" s="1195">
        <f t="shared" si="18"/>
        <v>-2.8E-3</v>
      </c>
      <c r="N67" s="1195">
        <f t="shared" si="18"/>
        <v>-5.5999999999999999E-3</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31" t="s">
        <v>2789</v>
      </c>
      <c r="B90" s="3831"/>
      <c r="C90" s="3831"/>
      <c r="D90" s="3831"/>
      <c r="E90" s="3831"/>
      <c r="F90" s="3831"/>
      <c r="G90" s="3831"/>
      <c r="H90" s="3831"/>
      <c r="I90" s="3831"/>
      <c r="J90" s="3831"/>
      <c r="K90" s="2343"/>
      <c r="L90" s="2343"/>
      <c r="M90" s="2343"/>
      <c r="N90" s="2343"/>
    </row>
    <row r="91" spans="1:37">
      <c r="A91" s="3833" t="s">
        <v>2790</v>
      </c>
      <c r="B91" s="3833" t="s">
        <v>2791</v>
      </c>
      <c r="C91" s="2297" t="s">
        <v>2792</v>
      </c>
      <c r="D91" s="2298"/>
      <c r="E91" s="2298"/>
      <c r="F91" s="2298"/>
      <c r="G91" s="2298"/>
      <c r="H91" s="2298"/>
      <c r="I91" s="2298"/>
      <c r="J91" s="2344"/>
      <c r="K91" s="2345"/>
      <c r="L91" s="2345"/>
      <c r="M91" s="2345"/>
      <c r="N91" s="2345"/>
    </row>
    <row r="92" spans="1:37">
      <c r="A92" s="3833"/>
      <c r="B92" s="383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83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3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3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3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3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3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35"/>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3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34"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35"/>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35"/>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35"/>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35"/>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35"/>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35"/>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35"/>
      <c r="B108" s="3837"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36"/>
      <c r="B109" s="3838"/>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32" t="s">
        <v>2797</v>
      </c>
      <c r="B110" s="3832"/>
      <c r="C110" s="3832"/>
      <c r="D110" s="3832"/>
      <c r="E110" s="3832"/>
      <c r="F110" s="3832"/>
      <c r="G110" s="3832"/>
      <c r="H110" s="3832"/>
      <c r="I110" s="3832"/>
      <c r="J110" s="3832"/>
      <c r="K110" s="2352"/>
      <c r="L110" s="2352"/>
      <c r="M110" s="2352"/>
      <c r="N110" s="2352"/>
    </row>
    <row r="112" spans="1:14" ht="13.5" thickBot="1"/>
    <row r="113" spans="1:13" ht="25.5" thickBot="1">
      <c r="A113" s="842" t="s">
        <v>2798</v>
      </c>
      <c r="B113" s="1197">
        <f>G3</f>
        <v>5.45</v>
      </c>
      <c r="C113" s="843" t="s">
        <v>2799</v>
      </c>
      <c r="D113" s="844">
        <f>SUMPRODUCT((A115:A118=F113)*(B114:M114=H113)*B115:M118)</f>
        <v>0.88360000000000005</v>
      </c>
      <c r="E113" s="2188" t="s">
        <v>2633</v>
      </c>
      <c r="F113" s="2354" t="str">
        <f>E2</f>
        <v>办公</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81:C88 C70:C78 C48:C56 C59:C67" xr:uid="{00000000-0002-0000-1F00-000008000000}">
      <formula1>五等判定</formula1>
    </dataValidation>
    <dataValidation type="list" allowBlank="1" showInputMessage="1" showErrorMessage="1" sqref="H19" xr:uid="{00000000-0002-0000-1F00-000009000000}">
      <formula1>"地价指数,季度增幅（自定义）,按公示增长率计算"</formula1>
    </dataValidation>
    <dataValidation type="list" allowBlank="1" showInputMessage="1" showErrorMessage="1" sqref="H16:O16" xr:uid="{00000000-0002-0000-1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845" t="s">
        <v>183</v>
      </c>
      <c r="B18" s="821" t="s">
        <v>560</v>
      </c>
      <c r="C18" s="822" t="s">
        <v>561</v>
      </c>
      <c r="D18" s="823"/>
      <c r="E18" s="821">
        <v>1</v>
      </c>
      <c r="F18" s="824" t="s">
        <v>562</v>
      </c>
      <c r="G18" s="825"/>
      <c r="H18" s="817"/>
      <c r="I18" s="817"/>
    </row>
    <row r="19" spans="1:9" s="826" customFormat="1" ht="19.5" customHeight="1">
      <c r="A19" s="3845"/>
      <c r="B19" s="3845" t="s">
        <v>563</v>
      </c>
      <c r="C19" s="822" t="s">
        <v>564</v>
      </c>
      <c r="D19" s="823"/>
      <c r="E19" s="821">
        <v>0.9</v>
      </c>
      <c r="F19" s="824" t="s">
        <v>565</v>
      </c>
      <c r="G19" s="825"/>
      <c r="H19" s="817"/>
      <c r="I19" s="817"/>
    </row>
    <row r="20" spans="1:9" s="826" customFormat="1" ht="19.5" customHeight="1">
      <c r="A20" s="3845"/>
      <c r="B20" s="3845"/>
      <c r="C20" s="822" t="s">
        <v>566</v>
      </c>
      <c r="D20" s="823"/>
      <c r="E20" s="821">
        <v>1.1000000000000001</v>
      </c>
      <c r="F20" s="824" t="s">
        <v>567</v>
      </c>
      <c r="G20" s="825"/>
      <c r="H20" s="817"/>
      <c r="I20" s="817"/>
    </row>
    <row r="21" spans="1:9" s="826" customFormat="1" ht="19.5" customHeight="1">
      <c r="A21" s="3845"/>
      <c r="B21" s="3845"/>
      <c r="C21" s="822" t="s">
        <v>568</v>
      </c>
      <c r="D21" s="823"/>
      <c r="E21" s="821">
        <v>0.8</v>
      </c>
      <c r="F21" s="824" t="s">
        <v>569</v>
      </c>
      <c r="G21" s="825"/>
      <c r="H21" s="817"/>
      <c r="I21" s="817"/>
    </row>
    <row r="22" spans="1:9" s="826" customFormat="1" ht="19.5" customHeight="1">
      <c r="A22" s="3845"/>
      <c r="B22" s="3845"/>
      <c r="C22" s="822" t="s">
        <v>570</v>
      </c>
      <c r="D22" s="823"/>
      <c r="E22" s="821">
        <v>0.5</v>
      </c>
      <c r="F22" s="824"/>
      <c r="G22" s="825"/>
      <c r="H22" s="817"/>
      <c r="I22" s="817"/>
    </row>
    <row r="23" spans="1:9" s="826" customFormat="1" ht="19.5" customHeight="1">
      <c r="A23" s="3845" t="s">
        <v>184</v>
      </c>
      <c r="B23" s="821" t="s">
        <v>560</v>
      </c>
      <c r="C23" s="822" t="s">
        <v>571</v>
      </c>
      <c r="D23" s="823"/>
      <c r="E23" s="821">
        <v>1</v>
      </c>
      <c r="F23" s="824" t="s">
        <v>572</v>
      </c>
      <c r="G23" s="825"/>
      <c r="H23" s="817"/>
      <c r="I23" s="817"/>
    </row>
    <row r="24" spans="1:9" s="826" customFormat="1" ht="19.5" customHeight="1">
      <c r="A24" s="3845"/>
      <c r="B24" s="3845" t="s">
        <v>563</v>
      </c>
      <c r="C24" s="822" t="s">
        <v>573</v>
      </c>
      <c r="D24" s="823"/>
      <c r="E24" s="821">
        <v>0.5</v>
      </c>
      <c r="F24" s="824"/>
      <c r="G24" s="825"/>
      <c r="H24" s="817"/>
      <c r="I24" s="817"/>
    </row>
    <row r="25" spans="1:9" s="826" customFormat="1" ht="19.5" customHeight="1">
      <c r="A25" s="3845"/>
      <c r="B25" s="3845"/>
      <c r="C25" s="822" t="s">
        <v>574</v>
      </c>
      <c r="D25" s="823"/>
      <c r="E25" s="821">
        <v>1.1000000000000001</v>
      </c>
      <c r="F25" s="824"/>
      <c r="G25" s="825"/>
      <c r="H25" s="817"/>
      <c r="I25" s="817"/>
    </row>
    <row r="26" spans="1:9" s="826" customFormat="1" ht="19.5" customHeight="1">
      <c r="A26" s="3845"/>
      <c r="B26" s="3845"/>
      <c r="C26" s="822" t="s">
        <v>575</v>
      </c>
      <c r="D26" s="823"/>
      <c r="E26" s="821">
        <v>1.1000000000000001</v>
      </c>
      <c r="F26" s="824"/>
      <c r="G26" s="825"/>
      <c r="H26" s="817"/>
      <c r="I26" s="817"/>
    </row>
    <row r="27" spans="1:9" s="826" customFormat="1" ht="19.5" customHeight="1">
      <c r="A27" s="3845"/>
      <c r="B27" s="3845"/>
      <c r="C27" s="822" t="s">
        <v>576</v>
      </c>
      <c r="D27" s="823"/>
      <c r="E27" s="821">
        <v>0.9</v>
      </c>
      <c r="F27" s="824" t="s">
        <v>577</v>
      </c>
      <c r="G27" s="825"/>
      <c r="H27" s="817"/>
      <c r="I27" s="817"/>
    </row>
    <row r="28" spans="1:9" s="826" customFormat="1" ht="19.5" customHeight="1">
      <c r="A28" s="3845"/>
      <c r="B28" s="3845"/>
      <c r="C28" s="822" t="s">
        <v>578</v>
      </c>
      <c r="D28" s="823"/>
      <c r="E28" s="821">
        <v>0.9</v>
      </c>
      <c r="F28" s="824" t="s">
        <v>579</v>
      </c>
      <c r="G28" s="825"/>
      <c r="H28" s="817"/>
      <c r="I28" s="817"/>
    </row>
    <row r="29" spans="1:9" s="826" customFormat="1" ht="19.5" customHeight="1">
      <c r="A29" s="3845"/>
      <c r="B29" s="3845"/>
      <c r="C29" s="822" t="s">
        <v>580</v>
      </c>
      <c r="D29" s="823"/>
      <c r="E29" s="821">
        <v>0.9</v>
      </c>
      <c r="F29" s="824" t="s">
        <v>581</v>
      </c>
      <c r="G29" s="825"/>
      <c r="H29" s="817"/>
      <c r="I29" s="817"/>
    </row>
    <row r="30" spans="1:9" s="826" customFormat="1" ht="19.5" customHeight="1">
      <c r="A30" s="3845"/>
      <c r="B30" s="3845"/>
      <c r="C30" s="822" t="s">
        <v>582</v>
      </c>
      <c r="D30" s="823"/>
      <c r="E30" s="821">
        <v>0.9</v>
      </c>
      <c r="F30" s="824" t="s">
        <v>583</v>
      </c>
      <c r="G30" s="825"/>
      <c r="H30" s="817"/>
      <c r="I30" s="817"/>
    </row>
    <row r="31" spans="1:9" s="826" customFormat="1" ht="19.5" customHeight="1">
      <c r="A31" s="3845"/>
      <c r="B31" s="3845"/>
      <c r="C31" s="822" t="s">
        <v>584</v>
      </c>
      <c r="D31" s="823"/>
      <c r="E31" s="821">
        <v>0.8</v>
      </c>
      <c r="F31" s="824" t="s">
        <v>585</v>
      </c>
      <c r="G31" s="825"/>
      <c r="H31" s="817"/>
      <c r="I31" s="817"/>
    </row>
    <row r="32" spans="1:9" s="826" customFormat="1" ht="19.5" customHeight="1">
      <c r="A32" s="3845"/>
      <c r="B32" s="3845"/>
      <c r="C32" s="822" t="s">
        <v>586</v>
      </c>
      <c r="D32" s="823"/>
      <c r="E32" s="821">
        <v>0.8</v>
      </c>
      <c r="F32" s="824" t="s">
        <v>587</v>
      </c>
      <c r="G32" s="825"/>
      <c r="H32" s="817"/>
      <c r="I32" s="817"/>
    </row>
    <row r="33" spans="1:9" s="826" customFormat="1" ht="19.5" customHeight="1">
      <c r="A33" s="3845" t="s">
        <v>185</v>
      </c>
      <c r="B33" s="821" t="s">
        <v>560</v>
      </c>
      <c r="C33" s="822" t="s">
        <v>588</v>
      </c>
      <c r="D33" s="823"/>
      <c r="E33" s="821">
        <v>1</v>
      </c>
      <c r="F33" s="824" t="s">
        <v>589</v>
      </c>
      <c r="G33" s="825"/>
      <c r="H33" s="817"/>
      <c r="I33" s="817"/>
    </row>
    <row r="34" spans="1:9" s="826" customFormat="1" ht="19.5" customHeight="1">
      <c r="A34" s="3845"/>
      <c r="B34" s="821" t="s">
        <v>563</v>
      </c>
      <c r="C34" s="822" t="s">
        <v>590</v>
      </c>
      <c r="D34" s="823"/>
      <c r="E34" s="821">
        <v>1.5</v>
      </c>
      <c r="F34" s="824" t="s">
        <v>591</v>
      </c>
      <c r="G34" s="825"/>
      <c r="H34" s="817"/>
      <c r="I34" s="817"/>
    </row>
    <row r="35" spans="1:9" s="826" customFormat="1" ht="19.5" customHeight="1">
      <c r="A35" s="3845" t="s">
        <v>186</v>
      </c>
      <c r="B35" s="821" t="s">
        <v>560</v>
      </c>
      <c r="C35" s="822" t="s">
        <v>592</v>
      </c>
      <c r="D35" s="823"/>
      <c r="E35" s="821">
        <v>1</v>
      </c>
      <c r="F35" s="824" t="s">
        <v>593</v>
      </c>
      <c r="G35" s="825"/>
      <c r="H35" s="817"/>
      <c r="I35" s="817"/>
    </row>
    <row r="36" spans="1:9" s="826" customFormat="1" ht="19.5" customHeight="1">
      <c r="A36" s="3845"/>
      <c r="B36" s="3845" t="s">
        <v>563</v>
      </c>
      <c r="C36" s="822" t="s">
        <v>594</v>
      </c>
      <c r="D36" s="823"/>
      <c r="E36" s="821">
        <v>1</v>
      </c>
      <c r="F36" s="824" t="s">
        <v>595</v>
      </c>
      <c r="G36" s="825"/>
      <c r="H36" s="817"/>
      <c r="I36" s="817"/>
    </row>
    <row r="37" spans="1:9" s="826" customFormat="1" ht="19.5" customHeight="1">
      <c r="A37" s="3845"/>
      <c r="B37" s="3845"/>
      <c r="C37" s="822" t="s">
        <v>596</v>
      </c>
      <c r="D37" s="823"/>
      <c r="E37" s="821">
        <v>1.5</v>
      </c>
      <c r="F37" s="824" t="s">
        <v>597</v>
      </c>
      <c r="G37" s="825"/>
      <c r="H37" s="817"/>
      <c r="I37" s="817"/>
    </row>
    <row r="38" spans="1:9" s="826" customFormat="1" ht="19.5" customHeight="1">
      <c r="A38" s="3845"/>
      <c r="B38" s="3845"/>
      <c r="C38" s="822" t="s">
        <v>598</v>
      </c>
      <c r="D38" s="823"/>
      <c r="E38" s="821">
        <v>1</v>
      </c>
      <c r="F38" s="824" t="s">
        <v>599</v>
      </c>
      <c r="G38" s="825"/>
      <c r="H38" s="817"/>
      <c r="I38" s="817"/>
    </row>
    <row r="39" spans="1:9" s="826" customFormat="1" ht="19.5" customHeight="1">
      <c r="A39" s="3845"/>
      <c r="B39" s="384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845" t="s">
        <v>614</v>
      </c>
      <c r="C61" s="757" t="s">
        <v>615</v>
      </c>
      <c r="D61" s="757" t="s">
        <v>616</v>
      </c>
      <c r="E61" s="834">
        <v>0.5</v>
      </c>
      <c r="F61" s="821">
        <v>80</v>
      </c>
    </row>
    <row r="62" spans="1:8" s="817" customFormat="1" ht="24">
      <c r="A62" s="821">
        <v>2</v>
      </c>
      <c r="B62" s="3845"/>
      <c r="C62" s="757" t="s">
        <v>617</v>
      </c>
      <c r="D62" s="757" t="s">
        <v>618</v>
      </c>
      <c r="E62" s="834">
        <v>0.5</v>
      </c>
      <c r="F62" s="821">
        <v>80</v>
      </c>
    </row>
    <row r="63" spans="1:8" s="817" customFormat="1" ht="36">
      <c r="A63" s="821">
        <v>3</v>
      </c>
      <c r="B63" s="3845"/>
      <c r="C63" s="757" t="s">
        <v>619</v>
      </c>
      <c r="D63" s="757" t="s">
        <v>620</v>
      </c>
      <c r="E63" s="834">
        <v>0.5</v>
      </c>
      <c r="F63" s="821">
        <v>80</v>
      </c>
    </row>
    <row r="64" spans="1:8" s="817" customFormat="1" ht="36">
      <c r="A64" s="821">
        <v>4</v>
      </c>
      <c r="B64" s="3845"/>
      <c r="C64" s="757" t="s">
        <v>621</v>
      </c>
      <c r="D64" s="757" t="s">
        <v>622</v>
      </c>
      <c r="E64" s="834">
        <v>0.4</v>
      </c>
      <c r="F64" s="821">
        <v>60</v>
      </c>
    </row>
    <row r="65" spans="1:6" s="817" customFormat="1" ht="36">
      <c r="A65" s="821">
        <v>5</v>
      </c>
      <c r="B65" s="3845"/>
      <c r="C65" s="757" t="s">
        <v>623</v>
      </c>
      <c r="D65" s="757" t="s">
        <v>624</v>
      </c>
      <c r="E65" s="834">
        <v>0.2</v>
      </c>
      <c r="F65" s="821">
        <v>30</v>
      </c>
    </row>
    <row r="66" spans="1:6" s="817" customFormat="1" ht="36">
      <c r="A66" s="821">
        <v>6</v>
      </c>
      <c r="B66" s="3845"/>
      <c r="C66" s="757" t="s">
        <v>625</v>
      </c>
      <c r="D66" s="757" t="s">
        <v>626</v>
      </c>
      <c r="E66" s="834">
        <v>0.3</v>
      </c>
      <c r="F66" s="821">
        <v>50</v>
      </c>
    </row>
    <row r="67" spans="1:6" s="817" customFormat="1" ht="36">
      <c r="A67" s="821">
        <v>7</v>
      </c>
      <c r="B67" s="3845"/>
      <c r="C67" s="757" t="s">
        <v>627</v>
      </c>
      <c r="D67" s="757" t="s">
        <v>628</v>
      </c>
      <c r="E67" s="834">
        <v>0.2</v>
      </c>
      <c r="F67" s="821">
        <v>30</v>
      </c>
    </row>
    <row r="68" spans="1:6" s="817" customFormat="1" ht="36">
      <c r="A68" s="821">
        <v>8</v>
      </c>
      <c r="B68" s="3845"/>
      <c r="C68" s="757" t="s">
        <v>629</v>
      </c>
      <c r="D68" s="757" t="s">
        <v>630</v>
      </c>
      <c r="E68" s="834">
        <v>0.2</v>
      </c>
      <c r="F68" s="821">
        <v>30</v>
      </c>
    </row>
    <row r="69" spans="1:6" s="817" customFormat="1" ht="36">
      <c r="A69" s="821">
        <v>9</v>
      </c>
      <c r="B69" s="3845"/>
      <c r="C69" s="757" t="s">
        <v>631</v>
      </c>
      <c r="D69" s="757" t="s">
        <v>632</v>
      </c>
      <c r="E69" s="834">
        <v>0.2</v>
      </c>
      <c r="F69" s="821">
        <v>30</v>
      </c>
    </row>
    <row r="70" spans="1:6" s="817" customFormat="1" ht="48">
      <c r="A70" s="821">
        <v>10</v>
      </c>
      <c r="B70" s="3845"/>
      <c r="C70" s="757" t="s">
        <v>633</v>
      </c>
      <c r="D70" s="757" t="s">
        <v>634</v>
      </c>
      <c r="E70" s="834">
        <v>0.2</v>
      </c>
      <c r="F70" s="821">
        <v>30</v>
      </c>
    </row>
    <row r="71" spans="1:6" s="817" customFormat="1" ht="48">
      <c r="A71" s="821">
        <v>11</v>
      </c>
      <c r="B71" s="3845"/>
      <c r="C71" s="757" t="s">
        <v>635</v>
      </c>
      <c r="D71" s="757" t="s">
        <v>636</v>
      </c>
      <c r="E71" s="834">
        <v>0.2</v>
      </c>
      <c r="F71" s="821">
        <v>30</v>
      </c>
    </row>
    <row r="72" spans="1:6" s="817" customFormat="1" ht="36">
      <c r="A72" s="821">
        <v>12</v>
      </c>
      <c r="B72" s="3845"/>
      <c r="C72" s="757" t="s">
        <v>637</v>
      </c>
      <c r="D72" s="757" t="s">
        <v>638</v>
      </c>
      <c r="E72" s="834">
        <v>0.5</v>
      </c>
      <c r="F72" s="821">
        <v>80</v>
      </c>
    </row>
    <row r="73" spans="1:6" s="817" customFormat="1" ht="24">
      <c r="A73" s="821">
        <v>13</v>
      </c>
      <c r="B73" s="3845"/>
      <c r="C73" s="757" t="s">
        <v>639</v>
      </c>
      <c r="D73" s="757" t="s">
        <v>640</v>
      </c>
      <c r="E73" s="834">
        <v>0.4</v>
      </c>
      <c r="F73" s="821">
        <v>60</v>
      </c>
    </row>
    <row r="74" spans="1:6" s="817" customFormat="1" ht="24">
      <c r="A74" s="821">
        <v>14</v>
      </c>
      <c r="B74" s="3845"/>
      <c r="C74" s="757" t="s">
        <v>641</v>
      </c>
      <c r="D74" s="757" t="s">
        <v>642</v>
      </c>
      <c r="E74" s="834">
        <v>0.2</v>
      </c>
      <c r="F74" s="821">
        <v>30</v>
      </c>
    </row>
    <row r="75" spans="1:6" s="817" customFormat="1" ht="24">
      <c r="A75" s="821">
        <v>15</v>
      </c>
      <c r="B75" s="3845"/>
      <c r="C75" s="757" t="s">
        <v>643</v>
      </c>
      <c r="D75" s="757" t="s">
        <v>644</v>
      </c>
      <c r="E75" s="834">
        <v>0.2</v>
      </c>
      <c r="F75" s="821">
        <v>30</v>
      </c>
    </row>
    <row r="76" spans="1:6" s="817" customFormat="1" ht="24">
      <c r="A76" s="821">
        <v>16</v>
      </c>
      <c r="B76" s="3845" t="s">
        <v>645</v>
      </c>
      <c r="C76" s="757" t="s">
        <v>646</v>
      </c>
      <c r="D76" s="757" t="s">
        <v>647</v>
      </c>
      <c r="E76" s="834">
        <v>0.5</v>
      </c>
      <c r="F76" s="821">
        <v>80</v>
      </c>
    </row>
    <row r="77" spans="1:6" s="817" customFormat="1" ht="24">
      <c r="A77" s="821">
        <v>17</v>
      </c>
      <c r="B77" s="3845"/>
      <c r="C77" s="757" t="s">
        <v>648</v>
      </c>
      <c r="D77" s="757" t="s">
        <v>649</v>
      </c>
      <c r="E77" s="834">
        <v>0.5</v>
      </c>
      <c r="F77" s="821">
        <v>80</v>
      </c>
    </row>
    <row r="78" spans="1:6" s="817" customFormat="1" ht="24">
      <c r="A78" s="821">
        <v>18</v>
      </c>
      <c r="B78" s="3845"/>
      <c r="C78" s="757" t="s">
        <v>650</v>
      </c>
      <c r="D78" s="757" t="s">
        <v>651</v>
      </c>
      <c r="E78" s="834">
        <v>0.2</v>
      </c>
      <c r="F78" s="821">
        <v>30</v>
      </c>
    </row>
    <row r="79" spans="1:6" s="817" customFormat="1" ht="24">
      <c r="A79" s="821">
        <v>19</v>
      </c>
      <c r="B79" s="3845"/>
      <c r="C79" s="757" t="s">
        <v>652</v>
      </c>
      <c r="D79" s="757" t="s">
        <v>653</v>
      </c>
      <c r="E79" s="834">
        <v>0.5</v>
      </c>
      <c r="F79" s="821">
        <v>80</v>
      </c>
    </row>
    <row r="80" spans="1:6" s="817" customFormat="1" ht="36">
      <c r="A80" s="821">
        <v>20</v>
      </c>
      <c r="B80" s="3845"/>
      <c r="C80" s="757" t="s">
        <v>654</v>
      </c>
      <c r="D80" s="757" t="s">
        <v>655</v>
      </c>
      <c r="E80" s="834">
        <v>0.2</v>
      </c>
      <c r="F80" s="821">
        <v>30</v>
      </c>
    </row>
    <row r="81" spans="1:6" s="817" customFormat="1" ht="36">
      <c r="A81" s="821">
        <v>21</v>
      </c>
      <c r="B81" s="3845"/>
      <c r="C81" s="757" t="s">
        <v>656</v>
      </c>
      <c r="D81" s="757" t="s">
        <v>657</v>
      </c>
      <c r="E81" s="834">
        <v>0.2</v>
      </c>
      <c r="F81" s="821">
        <v>30</v>
      </c>
    </row>
    <row r="82" spans="1:6" s="817" customFormat="1" ht="48">
      <c r="A82" s="821">
        <v>22</v>
      </c>
      <c r="B82" s="3845"/>
      <c r="C82" s="757" t="s">
        <v>658</v>
      </c>
      <c r="D82" s="757" t="s">
        <v>659</v>
      </c>
      <c r="E82" s="834">
        <v>0.2</v>
      </c>
      <c r="F82" s="821">
        <v>30</v>
      </c>
    </row>
    <row r="83" spans="1:6" s="817" customFormat="1" ht="48">
      <c r="A83" s="821">
        <v>23</v>
      </c>
      <c r="B83" s="3845"/>
      <c r="C83" s="757" t="s">
        <v>660</v>
      </c>
      <c r="D83" s="757" t="s">
        <v>661</v>
      </c>
      <c r="E83" s="834">
        <v>0.2</v>
      </c>
      <c r="F83" s="821">
        <v>30</v>
      </c>
    </row>
    <row r="84" spans="1:6" s="817" customFormat="1" ht="36">
      <c r="A84" s="821">
        <v>24</v>
      </c>
      <c r="B84" s="3845"/>
      <c r="C84" s="757" t="s">
        <v>662</v>
      </c>
      <c r="D84" s="757" t="s">
        <v>663</v>
      </c>
      <c r="E84" s="834">
        <v>0.2</v>
      </c>
      <c r="F84" s="821">
        <v>30</v>
      </c>
    </row>
    <row r="85" spans="1:6" s="817" customFormat="1" ht="36">
      <c r="A85" s="821">
        <v>25</v>
      </c>
      <c r="B85" s="3845"/>
      <c r="C85" s="757" t="s">
        <v>664</v>
      </c>
      <c r="D85" s="757" t="s">
        <v>665</v>
      </c>
      <c r="E85" s="834">
        <v>0.5</v>
      </c>
      <c r="F85" s="821">
        <v>80</v>
      </c>
    </row>
    <row r="86" spans="1:6" s="817" customFormat="1" ht="36">
      <c r="A86" s="821">
        <v>26</v>
      </c>
      <c r="B86" s="3845"/>
      <c r="C86" s="757" t="s">
        <v>666</v>
      </c>
      <c r="D86" s="757" t="s">
        <v>667</v>
      </c>
      <c r="E86" s="834">
        <v>0.2</v>
      </c>
      <c r="F86" s="821">
        <v>30</v>
      </c>
    </row>
    <row r="87" spans="1:6" s="817" customFormat="1" ht="36">
      <c r="A87" s="821">
        <v>27</v>
      </c>
      <c r="B87" s="3845"/>
      <c r="C87" s="757" t="s">
        <v>668</v>
      </c>
      <c r="D87" s="757" t="s">
        <v>669</v>
      </c>
      <c r="E87" s="834">
        <v>0.2</v>
      </c>
      <c r="F87" s="821">
        <v>30</v>
      </c>
    </row>
    <row r="88" spans="1:6" s="817" customFormat="1" ht="36">
      <c r="A88" s="821">
        <v>28</v>
      </c>
      <c r="B88" s="3845"/>
      <c r="C88" s="757" t="s">
        <v>670</v>
      </c>
      <c r="D88" s="757" t="s">
        <v>671</v>
      </c>
      <c r="E88" s="834">
        <v>0.2</v>
      </c>
      <c r="F88" s="821">
        <v>30</v>
      </c>
    </row>
    <row r="89" spans="1:6" s="817" customFormat="1" ht="24">
      <c r="A89" s="821">
        <v>29</v>
      </c>
      <c r="B89" s="3845"/>
      <c r="C89" s="757" t="s">
        <v>672</v>
      </c>
      <c r="D89" s="757" t="s">
        <v>673</v>
      </c>
      <c r="E89" s="834">
        <v>0.2</v>
      </c>
      <c r="F89" s="821">
        <v>30</v>
      </c>
    </row>
    <row r="90" spans="1:6" s="817" customFormat="1" ht="24">
      <c r="A90" s="821">
        <v>30</v>
      </c>
      <c r="B90" s="3845"/>
      <c r="C90" s="757" t="s">
        <v>674</v>
      </c>
      <c r="D90" s="757" t="s">
        <v>675</v>
      </c>
      <c r="E90" s="834">
        <v>0.2</v>
      </c>
      <c r="F90" s="821">
        <v>30</v>
      </c>
    </row>
    <row r="91" spans="1:6" s="817" customFormat="1" ht="36">
      <c r="A91" s="821">
        <v>31</v>
      </c>
      <c r="B91" s="3845"/>
      <c r="C91" s="757" t="s">
        <v>676</v>
      </c>
      <c r="D91" s="757" t="s">
        <v>677</v>
      </c>
      <c r="E91" s="834">
        <v>0.2</v>
      </c>
      <c r="F91" s="821">
        <v>30</v>
      </c>
    </row>
    <row r="92" spans="1:6" s="817" customFormat="1" ht="24">
      <c r="A92" s="821">
        <v>32</v>
      </c>
      <c r="B92" s="3845" t="s">
        <v>678</v>
      </c>
      <c r="C92" s="821" t="s">
        <v>679</v>
      </c>
      <c r="D92" s="757" t="s">
        <v>680</v>
      </c>
      <c r="E92" s="834">
        <v>0.2</v>
      </c>
      <c r="F92" s="821">
        <v>30</v>
      </c>
    </row>
    <row r="93" spans="1:6" s="817" customFormat="1" ht="36">
      <c r="A93" s="821">
        <v>33</v>
      </c>
      <c r="B93" s="3845"/>
      <c r="C93" s="821" t="s">
        <v>681</v>
      </c>
      <c r="D93" s="757" t="s">
        <v>682</v>
      </c>
      <c r="E93" s="834">
        <v>0.2</v>
      </c>
      <c r="F93" s="821">
        <v>30</v>
      </c>
    </row>
    <row r="94" spans="1:6" s="817" customFormat="1" ht="48">
      <c r="A94" s="821">
        <v>34</v>
      </c>
      <c r="B94" s="3845"/>
      <c r="C94" s="821" t="s">
        <v>683</v>
      </c>
      <c r="D94" s="757" t="s">
        <v>684</v>
      </c>
      <c r="E94" s="834">
        <v>0.2</v>
      </c>
      <c r="F94" s="821">
        <v>30</v>
      </c>
    </row>
    <row r="95" spans="1:6" s="817" customFormat="1" ht="36">
      <c r="A95" s="821">
        <v>35</v>
      </c>
      <c r="B95" s="3845"/>
      <c r="C95" s="821" t="s">
        <v>685</v>
      </c>
      <c r="D95" s="757" t="s">
        <v>686</v>
      </c>
      <c r="E95" s="834">
        <v>0.2</v>
      </c>
      <c r="F95" s="821">
        <v>30</v>
      </c>
    </row>
    <row r="96" spans="1:6" s="817" customFormat="1" ht="48">
      <c r="A96" s="821">
        <v>36</v>
      </c>
      <c r="B96" s="3845"/>
      <c r="C96" s="757" t="s">
        <v>687</v>
      </c>
      <c r="D96" s="757" t="s">
        <v>688</v>
      </c>
      <c r="E96" s="834">
        <v>0.2</v>
      </c>
      <c r="F96" s="821">
        <v>30</v>
      </c>
    </row>
    <row r="97" spans="1:6" s="817" customFormat="1" ht="36">
      <c r="A97" s="821">
        <v>37</v>
      </c>
      <c r="B97" s="3845"/>
      <c r="C97" s="821" t="s">
        <v>689</v>
      </c>
      <c r="D97" s="757" t="s">
        <v>690</v>
      </c>
      <c r="E97" s="834">
        <v>0.2</v>
      </c>
      <c r="F97" s="821">
        <v>30</v>
      </c>
    </row>
    <row r="98" spans="1:6" s="817" customFormat="1" ht="36">
      <c r="A98" s="821">
        <v>38</v>
      </c>
      <c r="B98" s="3845"/>
      <c r="C98" s="821" t="s">
        <v>691</v>
      </c>
      <c r="D98" s="757" t="s">
        <v>692</v>
      </c>
      <c r="E98" s="834">
        <v>0.2</v>
      </c>
      <c r="F98" s="821">
        <v>30</v>
      </c>
    </row>
    <row r="99" spans="1:6" s="817" customFormat="1" ht="36">
      <c r="A99" s="821">
        <v>39</v>
      </c>
      <c r="B99" s="3845" t="s">
        <v>693</v>
      </c>
      <c r="C99" s="821" t="s">
        <v>694</v>
      </c>
      <c r="D99" s="757" t="s">
        <v>695</v>
      </c>
      <c r="E99" s="834">
        <v>0.3</v>
      </c>
      <c r="F99" s="821">
        <v>50</v>
      </c>
    </row>
    <row r="100" spans="1:6" s="817" customFormat="1" ht="24">
      <c r="A100" s="821">
        <v>40</v>
      </c>
      <c r="B100" s="3845"/>
      <c r="C100" s="821" t="s">
        <v>696</v>
      </c>
      <c r="D100" s="757" t="s">
        <v>697</v>
      </c>
      <c r="E100" s="834">
        <v>0.2</v>
      </c>
      <c r="F100" s="821">
        <v>30</v>
      </c>
    </row>
    <row r="101" spans="1:6" s="817" customFormat="1" ht="36">
      <c r="A101" s="821">
        <v>41</v>
      </c>
      <c r="B101" s="384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845" t="s">
        <v>708</v>
      </c>
      <c r="C105" s="821" t="s">
        <v>709</v>
      </c>
      <c r="D105" s="757" t="s">
        <v>710</v>
      </c>
      <c r="E105" s="834">
        <v>0.2</v>
      </c>
      <c r="F105" s="821">
        <v>30</v>
      </c>
    </row>
    <row r="106" spans="1:6" s="817" customFormat="1" ht="36">
      <c r="A106" s="821">
        <v>46</v>
      </c>
      <c r="B106" s="3845"/>
      <c r="C106" s="821" t="s">
        <v>711</v>
      </c>
      <c r="D106" s="757" t="s">
        <v>712</v>
      </c>
      <c r="E106" s="834">
        <v>0.2</v>
      </c>
      <c r="F106" s="821">
        <v>30</v>
      </c>
    </row>
    <row r="107" spans="1:6" s="817" customFormat="1" ht="36">
      <c r="A107" s="821">
        <v>47</v>
      </c>
      <c r="B107" s="3845" t="s">
        <v>713</v>
      </c>
      <c r="C107" s="821" t="s">
        <v>714</v>
      </c>
      <c r="D107" s="757" t="s">
        <v>715</v>
      </c>
      <c r="E107" s="834">
        <v>0.3</v>
      </c>
      <c r="F107" s="821">
        <v>50</v>
      </c>
    </row>
    <row r="108" spans="1:6" s="817" customFormat="1" ht="36">
      <c r="A108" s="821">
        <v>48</v>
      </c>
      <c r="B108" s="384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845" t="s">
        <v>724</v>
      </c>
      <c r="C111" s="821" t="s">
        <v>725</v>
      </c>
      <c r="D111" s="757" t="s">
        <v>726</v>
      </c>
      <c r="E111" s="834">
        <v>0.2</v>
      </c>
      <c r="F111" s="821">
        <v>30</v>
      </c>
    </row>
    <row r="112" spans="1:6" s="817" customFormat="1" ht="24">
      <c r="A112" s="821">
        <v>52</v>
      </c>
      <c r="B112" s="3845"/>
      <c r="C112" s="821" t="s">
        <v>727</v>
      </c>
      <c r="D112" s="757" t="s">
        <v>728</v>
      </c>
      <c r="E112" s="834">
        <v>0.2</v>
      </c>
      <c r="F112" s="821">
        <v>30</v>
      </c>
    </row>
    <row r="113" spans="1:6" s="817" customFormat="1" ht="24">
      <c r="A113" s="821">
        <v>53</v>
      </c>
      <c r="B113" s="384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845" t="s">
        <v>737</v>
      </c>
      <c r="C116" s="821" t="s">
        <v>738</v>
      </c>
      <c r="D116" s="757" t="s">
        <v>739</v>
      </c>
      <c r="E116" s="834">
        <v>0.2</v>
      </c>
      <c r="F116" s="821">
        <v>30</v>
      </c>
    </row>
    <row r="117" spans="1:6" ht="36">
      <c r="A117" s="821">
        <v>57</v>
      </c>
      <c r="B117" s="384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SUMPRODUCT((A105:A204=ROUNDDOWN('基准地价修正-办公'!G3,1))*(B104:M104='基准地价修正-办公'!G2)*(B105:M204))</f>
        <v>0.90580000000000005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Normal="80" zoomScaleSheetLayoutView="100" workbookViewId="0">
      <selection activeCell="E8" sqref="E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29350</v>
      </c>
      <c r="N1" s="997">
        <f>SUMPRODUCT((因素修正幅度!B5:B9=I2)*(因素修正幅度!C3:F3=E2)*(因素修正幅度!C5:F9))</f>
        <v>8.5999999999999993E-2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41066</v>
      </c>
      <c r="C2" s="2185" t="s">
        <v>2632</v>
      </c>
      <c r="D2" s="2186" t="s">
        <v>2633</v>
      </c>
      <c r="E2" s="2187" t="s">
        <v>1343</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58557</v>
      </c>
      <c r="U2" s="1375">
        <f>'数据-汇总表'!F20</f>
        <v>111.06</v>
      </c>
      <c r="V2" s="1374">
        <f>ROUND(T2*U2/10000,0)</f>
        <v>650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t="s">
        <v>3097</v>
      </c>
      <c r="F3" s="2192" t="s">
        <v>2640</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42939</v>
      </c>
      <c r="U3" s="1375">
        <f>'数据-汇总表'!F21</f>
        <v>2101.7399999999998</v>
      </c>
      <c r="V3" s="1374">
        <f t="shared" ref="V3:V16" si="1">ROUND(T3*U3/10000,0)</f>
        <v>9025</v>
      </c>
      <c r="W3" s="1378"/>
      <c r="X3" s="1378"/>
      <c r="Y3" s="1378"/>
      <c r="Z3" s="1378"/>
      <c r="AA3" s="1378"/>
      <c r="AB3" s="1378"/>
      <c r="AC3" s="1379"/>
      <c r="AD3" s="1380"/>
      <c r="AE3" s="1380"/>
      <c r="AF3" s="1380"/>
      <c r="AG3" s="1380"/>
      <c r="AH3" s="1380"/>
      <c r="AI3" s="1380"/>
      <c r="AJ3" s="1381"/>
    </row>
    <row r="4" spans="1:36" ht="15.75">
      <c r="A4" s="3822"/>
      <c r="B4" s="3823"/>
      <c r="C4" s="3823"/>
      <c r="D4" s="3824"/>
      <c r="E4" s="3824"/>
      <c r="F4" s="3824"/>
      <c r="G4" s="3824"/>
      <c r="H4" s="3824"/>
      <c r="I4" s="3824"/>
      <c r="J4" s="3825"/>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35064</v>
      </c>
      <c r="U4" s="1375">
        <f>'数据-汇总表'!F22/2</f>
        <v>3684.9</v>
      </c>
      <c r="V4" s="1374">
        <f t="shared" si="1"/>
        <v>12921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29702</v>
      </c>
      <c r="D5" s="1523">
        <f>ROUND(C6+C16,0)</f>
        <v>29350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29100</v>
      </c>
      <c r="U5" s="1375">
        <f>'数据-汇总表'!F22-'基准地价修正-商业'!U4</f>
        <v>3684.9</v>
      </c>
      <c r="V5" s="1374">
        <f t="shared" si="1"/>
        <v>10723</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29350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25456</v>
      </c>
      <c r="U6" s="1375">
        <f>'数据-汇总表'!F23</f>
        <v>3043.19</v>
      </c>
      <c r="V6" s="1374">
        <f t="shared" si="1"/>
        <v>7747</v>
      </c>
      <c r="W6" s="1378"/>
      <c r="X6" s="1378"/>
      <c r="Y6" s="1378"/>
      <c r="Z6" s="1378"/>
      <c r="AA6" s="1378"/>
      <c r="AB6" s="1378"/>
      <c r="AC6" s="2199"/>
      <c r="AD6" s="2200"/>
      <c r="AE6" s="2200"/>
      <c r="AF6" s="2200"/>
      <c r="AG6" s="2200"/>
      <c r="AH6" s="2200"/>
      <c r="AI6" s="2200"/>
      <c r="AJ6" s="2201"/>
    </row>
    <row r="7" spans="1:36" ht="24">
      <c r="A7" s="3826">
        <f>IF(E2="商业",IF(C8="不临58条商业街","",2),"")</f>
        <v>2</v>
      </c>
      <c r="B7" s="3061" t="s">
        <v>2651</v>
      </c>
      <c r="C7" s="858">
        <f>IF(C8="不临58条商业街",1,ROUND(1+(1.6*E8+1.2*E9+0.8*E10+0.4*E11)*C9,4))</f>
        <v>1.012</v>
      </c>
      <c r="D7" s="2210" t="s">
        <v>2652</v>
      </c>
      <c r="E7" s="882">
        <v>500</v>
      </c>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23009</v>
      </c>
      <c r="U7" s="1375"/>
      <c r="V7" s="1374">
        <f t="shared" si="1"/>
        <v>0</v>
      </c>
      <c r="W7" s="3069" t="s">
        <v>2654</v>
      </c>
      <c r="X7" s="1376" t="str">
        <f>G2</f>
        <v>一级</v>
      </c>
      <c r="Y7" s="1376" t="s">
        <v>2655</v>
      </c>
      <c r="Z7" s="1377">
        <f>G3</f>
        <v>5.45</v>
      </c>
      <c r="AA7" s="1378"/>
      <c r="AB7" s="1378"/>
      <c r="AC7" s="1379"/>
      <c r="AD7" s="1380"/>
      <c r="AE7" s="1380"/>
      <c r="AF7" s="1380"/>
      <c r="AG7" s="1380"/>
      <c r="AH7" s="1380"/>
      <c r="AI7" s="1380"/>
      <c r="AJ7" s="1381"/>
    </row>
    <row r="8" spans="1:36" ht="15">
      <c r="A8" s="3827"/>
      <c r="B8" s="175" t="s">
        <v>2656</v>
      </c>
      <c r="C8" s="2214" t="s">
        <v>3098</v>
      </c>
      <c r="D8" s="859" t="s">
        <v>139</v>
      </c>
      <c r="E8" s="860">
        <f>ROUND(C11/E7,4)</f>
        <v>1.4999999999999999E-2</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19" t="s">
        <v>2659</v>
      </c>
      <c r="X8" s="382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27"/>
      <c r="B9" s="175" t="s">
        <v>2672</v>
      </c>
      <c r="C9" s="861">
        <f>SUMIF(修正!C59:C119,C8,修正!E59:E119)</f>
        <v>0.2</v>
      </c>
      <c r="D9" s="176" t="s">
        <v>140</v>
      </c>
      <c r="E9" s="176">
        <f>ROUND(C11/E7,4)</f>
        <v>1.4999999999999999E-2</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2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27"/>
      <c r="B10" s="175" t="s">
        <v>2677</v>
      </c>
      <c r="C10" s="176">
        <f>SUMIF(修正!C59:C119,C8,修正!F59:F119)</f>
        <v>30</v>
      </c>
      <c r="D10" s="176" t="s">
        <v>141</v>
      </c>
      <c r="E10" s="176">
        <f>ROUND(C11/E7,4)</f>
        <v>1.4999999999999999E-2</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2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27"/>
      <c r="B11" s="2218" t="s">
        <v>2680</v>
      </c>
      <c r="C11" s="862">
        <f>C10/4</f>
        <v>7.5</v>
      </c>
      <c r="D11" s="862" t="s">
        <v>142</v>
      </c>
      <c r="E11" s="862">
        <f>ROUND(C11/E7,4)</f>
        <v>1.4999999999999999E-2</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21"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2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2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28"/>
      <c r="B13" s="3059" t="s">
        <v>2690</v>
      </c>
      <c r="C13" s="2229" t="s">
        <v>2691</v>
      </c>
      <c r="D13" s="3067" t="s">
        <v>2692</v>
      </c>
      <c r="E13" s="3067"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21"/>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28"/>
      <c r="B14" s="3060"/>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29"/>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26" t="s">
        <v>2702</v>
      </c>
      <c r="B16" s="3061" t="s">
        <v>2703</v>
      </c>
      <c r="C16" s="2371">
        <f>ROUND(IF(F17="与级别开发程度一致",0,(G17-E17)/C17),0)</f>
        <v>0</v>
      </c>
      <c r="D16" s="3842" t="s">
        <v>2707</v>
      </c>
      <c r="E16" s="3843"/>
      <c r="F16" s="3842" t="s">
        <v>2704</v>
      </c>
      <c r="G16" s="3843"/>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30"/>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0.83420000000000005</v>
      </c>
      <c r="D20" s="2258" t="s">
        <v>2716</v>
      </c>
      <c r="E20" s="1505">
        <f>存贷款利率!E18/100</f>
        <v>4.3499999999999997E-2</v>
      </c>
      <c r="F20" s="2258" t="s">
        <v>2708</v>
      </c>
      <c r="G20" s="873">
        <f>SUMIF(M26:P26,E2,M28:P28)</f>
        <v>5.3999999999999999E-2</v>
      </c>
      <c r="H20" s="2258" t="s">
        <v>2717</v>
      </c>
      <c r="I20" s="3068">
        <f>SUMIF('数据-取费表'!C6:C15,E2,'数据-取费表'!F6:F15)/COUNTIF('数据-取费表'!C6:C15,E2)</f>
        <v>25.07</v>
      </c>
      <c r="J20" s="875">
        <f>IF(E2="住宅",70,IF(E2="商业",40,50))</f>
        <v>40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3099</v>
      </c>
      <c r="C21" s="3063">
        <f>IF(B21="容积率修正",IF(G3&lt;=10,D22,J22),C23)</f>
        <v>0</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3062" t="s">
        <v>2725</v>
      </c>
      <c r="D22" s="3062">
        <f>IF(E22=G22,F22,IF(G3&lt;=10,ROUND(F22+(H22-F22)*(G3-E22)/(G22-E22),4),"——"))</f>
        <v>0.91349999999999998</v>
      </c>
      <c r="E22" s="855">
        <f>ROUNDDOWN(G3,1)</f>
        <v>5.4</v>
      </c>
      <c r="F22" s="3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0.91490000000000005</v>
      </c>
      <c r="G22" s="855">
        <f>ROUNDUP(G3,1)</f>
        <v>5.5</v>
      </c>
      <c r="H22" s="3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0.91200000000000003</v>
      </c>
      <c r="I22" s="3062"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41066</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0</v>
      </c>
      <c r="D29" s="2296"/>
      <c r="E29" s="3066">
        <f>ROUND(C29*D29/10000,0)</f>
        <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0</v>
      </c>
      <c r="D30" s="2302"/>
      <c r="E30" s="3066">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39"/>
      <c r="B33" s="2312" t="s">
        <v>2748</v>
      </c>
      <c r="C33" s="180">
        <f>ROUND(D5*C19*C20*C24*F33,0)</f>
        <v>23908</v>
      </c>
      <c r="D33" s="2296"/>
      <c r="E33" s="176">
        <f>ROUND(C33*D33/10000,0)</f>
        <v>0</v>
      </c>
      <c r="F33" s="176">
        <f>SUMIF(修正!A45:A56,G2,修正!B45:B56)</f>
        <v>0.8</v>
      </c>
      <c r="G33" s="176">
        <f>ROUND(IF(E2="工业",C33*$M$39,C33*$M$38),0)</f>
        <v>5977</v>
      </c>
      <c r="H33" s="176">
        <f>D33</f>
        <v>0</v>
      </c>
      <c r="I33" s="176">
        <f>ROUND(G33*H33/10000,0)</f>
        <v>0</v>
      </c>
      <c r="J33" s="3844"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40"/>
      <c r="B34" s="2229" t="s">
        <v>2749</v>
      </c>
      <c r="C34" s="180">
        <f>ROUND(D5*C19*C20*C24*F34,0)</f>
        <v>14942</v>
      </c>
      <c r="D34" s="2296"/>
      <c r="E34" s="176">
        <f t="shared" ref="E34:E39" si="6">ROUND(C34*D34/10000,0)</f>
        <v>0</v>
      </c>
      <c r="F34" s="176">
        <f>SUMIF(修正!A45:A56,G2,修正!C45:C56)</f>
        <v>0.5</v>
      </c>
      <c r="G34" s="176">
        <f>ROUND(IF(E2="工业",C34*$M$39,C34*$M$38),0)</f>
        <v>3736</v>
      </c>
      <c r="H34" s="176">
        <f t="shared" ref="H34:H39" si="7">D34</f>
        <v>0</v>
      </c>
      <c r="I34" s="176">
        <f t="shared" ref="I34:I39" si="8">ROUND(G34*H34/10000,0)</f>
        <v>0</v>
      </c>
      <c r="J34" s="384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40"/>
      <c r="B35" s="2229" t="s">
        <v>2750</v>
      </c>
      <c r="C35" s="180">
        <f>ROUND(D5*C19*C20*C24*F35,0)</f>
        <v>10759</v>
      </c>
      <c r="D35" s="2296"/>
      <c r="E35" s="176">
        <f t="shared" si="6"/>
        <v>0</v>
      </c>
      <c r="F35" s="176">
        <f>SUMIF(修正!A45:A56,G2,修正!D45:D56)</f>
        <v>0.36</v>
      </c>
      <c r="G35" s="176">
        <f>ROUND(IF(E2="工业",C35*$M$39,C35*$M$38),0)</f>
        <v>2690</v>
      </c>
      <c r="H35" s="176">
        <f t="shared" si="7"/>
        <v>0</v>
      </c>
      <c r="I35" s="176">
        <f t="shared" si="8"/>
        <v>0</v>
      </c>
      <c r="J35" s="384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41"/>
      <c r="B36" s="2229" t="s">
        <v>2751</v>
      </c>
      <c r="C36" s="180">
        <f>ROUND(D5*C19*C20*C24*F36,0)</f>
        <v>8965</v>
      </c>
      <c r="D36" s="2296"/>
      <c r="E36" s="176">
        <f t="shared" si="6"/>
        <v>0</v>
      </c>
      <c r="F36" s="176">
        <f>SUMIF(修正!A45:A56,G2,修正!E45:E56)</f>
        <v>0.3</v>
      </c>
      <c r="G36" s="176">
        <f>ROUND(IF(E2="工业",C36*$M$39,C36*$M$38),0)</f>
        <v>2241</v>
      </c>
      <c r="H36" s="176">
        <f t="shared" si="7"/>
        <v>0</v>
      </c>
      <c r="I36" s="176">
        <f t="shared" si="8"/>
        <v>0</v>
      </c>
      <c r="J36" s="384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8965</v>
      </c>
      <c r="D37" s="2296"/>
      <c r="E37" s="176">
        <f t="shared" si="6"/>
        <v>0</v>
      </c>
      <c r="F37" s="180">
        <f>SUMIF(修正!A45:A56,G2,修正!F45:F56)</f>
        <v>0.3</v>
      </c>
      <c r="G37" s="176">
        <f>ROUND(IF(E2="工业",C37*$M$39,C37*$M$38),0)</f>
        <v>2241</v>
      </c>
      <c r="H37" s="176">
        <f t="shared" si="7"/>
        <v>0</v>
      </c>
      <c r="I37" s="176">
        <f t="shared" si="8"/>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6"/>
        <v>0</v>
      </c>
      <c r="F38" s="180">
        <f>SUMIF(修正!A45:A56,G2,修正!G45:G56)</f>
        <v>0.3</v>
      </c>
      <c r="G38" s="176">
        <f>ROUND(IF(E2="工业",C38*$M$39,C38*$M$38),0)</f>
        <v>0</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6"/>
        <v>0</v>
      </c>
      <c r="F39" s="871">
        <f>SUMIF(修正!A45:A56,G2,修正!H45:H56)</f>
        <v>0.25</v>
      </c>
      <c r="G39" s="193">
        <f>ROUND(IF(E2="工业",C39*$M$39,C39*$M$38),0)</f>
        <v>0</v>
      </c>
      <c r="H39" s="193">
        <f t="shared" si="7"/>
        <v>0</v>
      </c>
      <c r="I39" s="193">
        <f t="shared" si="8"/>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f>IF(E2="商业",SUMIF(L1:L12,G2,N1:N12),"——")</f>
        <v>8.5999999999999993E-2</v>
      </c>
      <c r="G48" s="1194"/>
      <c r="H48" s="1198">
        <f t="shared" ref="H48:H56" si="10">IFERROR(ROUNDDOWN($F$48*I48/2,4),"——")</f>
        <v>1.41E-2</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f t="shared" si="10"/>
        <v>1.0699999999999999E-2</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f t="shared" si="10"/>
        <v>2.0999999999999999E-3</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f t="shared" si="10"/>
        <v>2.0999999999999999E-3</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f t="shared" si="10"/>
        <v>3.3999999999999998E-3</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f t="shared" si="10"/>
        <v>1.1999999999999999E-3</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f t="shared" si="10"/>
        <v>2.0999999999999999E-3</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f t="shared" si="10"/>
        <v>4.3E-3</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f t="shared" si="10"/>
        <v>2.5000000000000001E-3</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c r="D59" s="1196">
        <f t="shared" ref="D59:D67" si="14">SUMIF($J$58:$N$58,C59,J59:N59)</f>
        <v>0</v>
      </c>
      <c r="E59" s="760">
        <f>ROUND(SUM(D59:D67),4)</f>
        <v>0</v>
      </c>
      <c r="F59" s="2000"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c r="D60" s="1196">
        <f t="shared" si="14"/>
        <v>0</v>
      </c>
      <c r="E60" s="761"/>
      <c r="F60" s="2000"/>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0"/>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0"/>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c r="D63" s="1196">
        <f t="shared" si="14"/>
        <v>0</v>
      </c>
      <c r="E63" s="761"/>
      <c r="F63" s="2000"/>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0"/>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c r="D65" s="1196">
        <f t="shared" si="14"/>
        <v>0</v>
      </c>
      <c r="E65" s="761"/>
      <c r="F65" s="2000"/>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c r="D66" s="1196">
        <f t="shared" si="14"/>
        <v>0</v>
      </c>
      <c r="E66" s="761"/>
      <c r="F66" s="2000"/>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c r="D67" s="1196">
        <f t="shared" si="14"/>
        <v>0</v>
      </c>
      <c r="E67" s="764"/>
      <c r="F67" s="2000"/>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31" t="s">
        <v>2789</v>
      </c>
      <c r="B90" s="3831"/>
      <c r="C90" s="3831"/>
      <c r="D90" s="3831"/>
      <c r="E90" s="3831"/>
      <c r="F90" s="3831"/>
      <c r="G90" s="3831"/>
      <c r="H90" s="3831"/>
      <c r="I90" s="3831"/>
      <c r="J90" s="3831"/>
      <c r="K90" s="3064"/>
      <c r="L90" s="3064"/>
      <c r="M90" s="3064"/>
      <c r="N90" s="3064"/>
    </row>
    <row r="91" spans="1:37">
      <c r="A91" s="3833" t="s">
        <v>2790</v>
      </c>
      <c r="B91" s="3833" t="s">
        <v>2791</v>
      </c>
      <c r="C91" s="2297" t="s">
        <v>2792</v>
      </c>
      <c r="D91" s="2298"/>
      <c r="E91" s="2298"/>
      <c r="F91" s="2298"/>
      <c r="G91" s="2298"/>
      <c r="H91" s="2298"/>
      <c r="I91" s="2298"/>
      <c r="J91" s="2344"/>
      <c r="K91" s="2345"/>
      <c r="L91" s="2345"/>
      <c r="M91" s="2345"/>
      <c r="N91" s="2345"/>
    </row>
    <row r="92" spans="1:37">
      <c r="A92" s="3833"/>
      <c r="B92" s="3833"/>
      <c r="C92" s="3066" t="s">
        <v>2660</v>
      </c>
      <c r="D92" s="3066" t="s">
        <v>2661</v>
      </c>
      <c r="E92" s="3066" t="s">
        <v>2662</v>
      </c>
      <c r="F92" s="3066" t="s">
        <v>2663</v>
      </c>
      <c r="G92" s="3066" t="s">
        <v>2664</v>
      </c>
      <c r="H92" s="3066" t="s">
        <v>2665</v>
      </c>
      <c r="I92" s="3066" t="s">
        <v>2666</v>
      </c>
      <c r="J92" s="3066" t="s">
        <v>2667</v>
      </c>
      <c r="K92" s="3066" t="s">
        <v>2668</v>
      </c>
      <c r="L92" s="3066" t="s">
        <v>2669</v>
      </c>
      <c r="M92" s="3066" t="s">
        <v>2670</v>
      </c>
      <c r="N92" s="3066" t="s">
        <v>2671</v>
      </c>
    </row>
    <row r="93" spans="1:37">
      <c r="A93" s="383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3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3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3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3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3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35"/>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3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34"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35"/>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35"/>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35"/>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35"/>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35"/>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35"/>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35"/>
      <c r="B108" s="3837"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36"/>
      <c r="B109" s="3838"/>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32" t="s">
        <v>2797</v>
      </c>
      <c r="B110" s="3832"/>
      <c r="C110" s="3832"/>
      <c r="D110" s="3832"/>
      <c r="E110" s="3832"/>
      <c r="F110" s="3832"/>
      <c r="G110" s="3832"/>
      <c r="H110" s="3832"/>
      <c r="I110" s="3832"/>
      <c r="J110" s="3832"/>
      <c r="K110" s="3065"/>
      <c r="L110" s="3065"/>
      <c r="M110" s="3065"/>
      <c r="N110" s="3065"/>
    </row>
    <row r="112" spans="1:14" ht="13.5" thickBot="1"/>
    <row r="113" spans="1:13" ht="25.5" thickBot="1">
      <c r="A113" s="842" t="s">
        <v>2798</v>
      </c>
      <c r="B113" s="1197">
        <f>G3</f>
        <v>5.45</v>
      </c>
      <c r="C113" s="843" t="s">
        <v>2799</v>
      </c>
      <c r="D113" s="844">
        <f>SUMPRODUCT((A115:A118=F113)*(B114:M114=H113)*B115:M118)</f>
        <v>0.88229999999999997</v>
      </c>
      <c r="E113" s="2188" t="s">
        <v>2633</v>
      </c>
      <c r="F113" s="2354" t="str">
        <f>E2</f>
        <v>商业</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1"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1">
    <dataValidation type="list" allowBlank="1" showInputMessage="1" showErrorMessage="1" sqref="H16:O16" xr:uid="{00000000-0002-0000-2200-000000000000}">
      <formula1>七通一平</formula1>
    </dataValidation>
    <dataValidation type="list" allowBlank="1" showInputMessage="1" showErrorMessage="1" sqref="H19" xr:uid="{00000000-0002-0000-2200-000001000000}">
      <formula1>"地价指数,季度增幅（自定义）,按公示增长率计算"</formula1>
    </dataValidation>
    <dataValidation type="list" allowBlank="1" showInputMessage="1" showErrorMessage="1" sqref="C81:C88 C70:C78 C48:C56 C59:C67" xr:uid="{00000000-0002-0000-2200-000002000000}">
      <formula1>五等判定</formula1>
    </dataValidation>
    <dataValidation type="list" allowBlank="1" showInputMessage="1" showErrorMessage="1" sqref="E3" xr:uid="{00000000-0002-0000-2200-000003000000}">
      <formula1>二级分类</formula1>
    </dataValidation>
    <dataValidation type="list" allowBlank="1" showInputMessage="1" showErrorMessage="1" sqref="C8" xr:uid="{00000000-0002-0000-2200-000004000000}">
      <formula1>商业街名称</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E2" xr:uid="{00000000-0002-0000-2200-000006000000}">
      <formula1>"商业,办公,住宅,工业"</formula1>
    </dataValidation>
    <dataValidation type="list" allowBlank="1" showInputMessage="1" showErrorMessage="1" sqref="F17" xr:uid="{00000000-0002-0000-2200-000007000000}">
      <formula1>"与级别开发程度一致,与级别开发程度不一致"</formula1>
    </dataValidation>
    <dataValidation type="list" allowBlank="1" showInputMessage="1" showErrorMessage="1" sqref="B21" xr:uid="{00000000-0002-0000-2200-000008000000}">
      <formula1>"容积率修正,楼层修正"</formula1>
    </dataValidation>
    <dataValidation type="list" allowBlank="1" showInputMessage="1" showErrorMessage="1" sqref="C14:E14" xr:uid="{00000000-0002-0000-2200-000009000000}">
      <formula1>"有,无"</formula1>
    </dataValidation>
    <dataValidation type="list" allowBlank="1" showInputMessage="1" showErrorMessage="1" sqref="F14" xr:uid="{00000000-0002-0000-22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view="pageBreakPreview" topLeftCell="A3" zoomScale="80" zoomScaleNormal="70" zoomScaleSheetLayoutView="8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3"/>
      <c r="H2" s="2922"/>
      <c r="I2" s="2922"/>
      <c r="J2" s="2922"/>
      <c r="K2" s="2923"/>
      <c r="L2" s="2922"/>
      <c r="M2" s="2922"/>
    </row>
    <row r="3" spans="1:37" ht="18" customHeight="1" thickBot="1">
      <c r="A3" s="1574" t="s">
        <v>1482</v>
      </c>
      <c r="B3" s="1575">
        <f ca="1">IF(ISERROR(B2*10000/F43),0,ROUND(B2*10000/F43,0))</f>
        <v>0</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735" t="s">
        <v>1368</v>
      </c>
      <c r="C6" s="1206">
        <f ca="1">ROUND(F6*F8*F7*(1-F9)/10000,0)</f>
        <v>0</v>
      </c>
      <c r="D6" s="160" t="s">
        <v>2847</v>
      </c>
      <c r="E6" s="308" t="s">
        <v>1370</v>
      </c>
      <c r="F6" s="309">
        <f ca="1">INDIRECT("'数据-取费表'!u"&amp;$G$1)</f>
        <v>0</v>
      </c>
      <c r="G6" s="1568"/>
      <c r="H6" s="1201" t="s">
        <v>1003</v>
      </c>
      <c r="I6" s="3735" t="s">
        <v>1368</v>
      </c>
      <c r="J6" s="307">
        <f ca="1">ROUND(M6*M8*M7*(1-M9)/10000,0)</f>
        <v>0</v>
      </c>
      <c r="K6" s="160" t="s">
        <v>2846</v>
      </c>
      <c r="L6" s="308" t="s">
        <v>1370</v>
      </c>
      <c r="M6" s="309">
        <f ca="1">INDIRECT("'数据-取费表'!z"&amp;$G$1)</f>
        <v>0</v>
      </c>
    </row>
    <row r="7" spans="1:37" ht="18" customHeight="1">
      <c r="A7" s="1205"/>
      <c r="B7" s="3736"/>
      <c r="C7" s="1207"/>
      <c r="D7" s="313"/>
      <c r="E7" s="1208" t="s">
        <v>1371</v>
      </c>
      <c r="F7" s="309">
        <f ca="1">IF(INDIRECT("'数据-取费表'!ah"&amp;$G$1)="",INDIRECT("'数据-取费表'!k"&amp;$G$1),INDIRECT("'数据-取费表'!ah"&amp;$G$1))</f>
        <v>0</v>
      </c>
      <c r="G7" s="1568"/>
      <c r="H7" s="310"/>
      <c r="I7" s="3736"/>
      <c r="J7" s="312"/>
      <c r="K7" s="313"/>
      <c r="L7" s="308" t="s">
        <v>1371</v>
      </c>
      <c r="M7" s="309">
        <f ca="1">F7</f>
        <v>0</v>
      </c>
    </row>
    <row r="8" spans="1:37" ht="18" customHeight="1">
      <c r="A8" s="310"/>
      <c r="B8" s="3736"/>
      <c r="C8" s="312"/>
      <c r="D8" s="313"/>
      <c r="E8" s="308" t="s">
        <v>1372</v>
      </c>
      <c r="F8" s="309">
        <f ca="1">INDIRECT("'数据-取费表'!ai"&amp;$G$1)</f>
        <v>0</v>
      </c>
      <c r="G8" s="1568"/>
      <c r="H8" s="310"/>
      <c r="I8" s="3736"/>
      <c r="J8" s="312"/>
      <c r="K8" s="313"/>
      <c r="L8" s="308" t="s">
        <v>1372</v>
      </c>
      <c r="M8" s="309">
        <f ca="1">INDIRECT("'数据-取费表'!ai"&amp;$G$1)</f>
        <v>0</v>
      </c>
    </row>
    <row r="9" spans="1:37" ht="18" customHeight="1">
      <c r="A9" s="310"/>
      <c r="B9" s="3737"/>
      <c r="C9" s="312"/>
      <c r="D9" s="313"/>
      <c r="E9" s="308" t="s">
        <v>1373</v>
      </c>
      <c r="F9" s="318">
        <f ca="1">INDIRECT("'数据-取费表'!w"&amp;$G$1)</f>
        <v>0</v>
      </c>
      <c r="G9" s="1568"/>
      <c r="H9" s="310"/>
      <c r="I9" s="373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ROUND(C13*F37,1)</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0</v>
      </c>
      <c r="K53" s="3738" t="s">
        <v>1513</v>
      </c>
      <c r="L53" s="3739"/>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6" zoomScale="80" zoomScaleNormal="70" zoomScaleSheetLayoutView="80" workbookViewId="0">
      <selection activeCell="G17" sqref="G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67</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14.1</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81" t="s">
        <v>2357</v>
      </c>
      <c r="D4" s="3782"/>
      <c r="E4" s="3783" t="s">
        <v>2358</v>
      </c>
      <c r="F4" s="3784"/>
      <c r="G4" s="3781" t="s">
        <v>2359</v>
      </c>
      <c r="H4" s="3782"/>
      <c r="I4" s="3781" t="s">
        <v>2360</v>
      </c>
      <c r="J4" s="3782"/>
      <c r="K4" s="567" t="s">
        <v>2361</v>
      </c>
      <c r="L4" s="2942"/>
      <c r="M4" s="2943"/>
      <c r="N4" s="2943"/>
      <c r="O4" s="2943"/>
      <c r="P4" s="3785" t="s">
        <v>2362</v>
      </c>
      <c r="Q4" s="3786"/>
      <c r="R4" s="3791" t="s">
        <v>2358</v>
      </c>
      <c r="S4" s="3792"/>
      <c r="T4" s="3791" t="s">
        <v>2359</v>
      </c>
      <c r="U4" s="3792"/>
      <c r="V4" s="3797" t="s">
        <v>2360</v>
      </c>
      <c r="W4" s="3797"/>
      <c r="X4" s="3174"/>
      <c r="Y4" s="3791" t="s">
        <v>2362</v>
      </c>
      <c r="Z4" s="3792"/>
      <c r="AA4" s="3778" t="s">
        <v>2358</v>
      </c>
      <c r="AB4" s="3797" t="s">
        <v>2359</v>
      </c>
      <c r="AC4" s="3778" t="s">
        <v>2360</v>
      </c>
    </row>
    <row r="5" spans="1:29" ht="13.9" customHeight="1">
      <c r="A5" s="364"/>
      <c r="B5" s="365"/>
      <c r="C5" s="3846" t="s">
        <v>3756</v>
      </c>
      <c r="D5" s="3801"/>
      <c r="E5" s="3807" t="str">
        <f>'案例-租金'!L16</f>
        <v>居然大厦</v>
      </c>
      <c r="F5" s="3808"/>
      <c r="G5" s="3800" t="str">
        <f>'案例-租金'!L17</f>
        <v>国瑞城</v>
      </c>
      <c r="H5" s="3801"/>
      <c r="I5" s="3800" t="str">
        <f>'案例-租金'!L19</f>
        <v>万豪中心</v>
      </c>
      <c r="J5" s="3801"/>
      <c r="K5" s="567"/>
      <c r="L5" s="2942"/>
      <c r="M5" s="2943"/>
      <c r="N5" s="2943"/>
      <c r="O5" s="2943"/>
      <c r="P5" s="3787"/>
      <c r="Q5" s="3788"/>
      <c r="R5" s="3793"/>
      <c r="S5" s="3794"/>
      <c r="T5" s="3793"/>
      <c r="U5" s="3794"/>
      <c r="V5" s="3797"/>
      <c r="W5" s="3797"/>
      <c r="X5" s="3174"/>
      <c r="Y5" s="3793"/>
      <c r="Z5" s="3794"/>
      <c r="AA5" s="3779"/>
      <c r="AB5" s="3797"/>
      <c r="AC5" s="3779"/>
    </row>
    <row r="6" spans="1:29" ht="15.75" thickBot="1">
      <c r="A6" s="366"/>
      <c r="B6" s="367"/>
      <c r="C6" s="3847" t="s">
        <v>3482</v>
      </c>
      <c r="D6" s="3799"/>
      <c r="E6" s="3805" t="s">
        <v>2367</v>
      </c>
      <c r="F6" s="3806"/>
      <c r="G6" s="3798" t="s">
        <v>2367</v>
      </c>
      <c r="H6" s="3799"/>
      <c r="I6" s="3798" t="s">
        <v>2367</v>
      </c>
      <c r="J6" s="3799"/>
      <c r="K6" s="567" t="s">
        <v>2368</v>
      </c>
      <c r="L6" s="2942"/>
      <c r="M6" s="2943"/>
      <c r="N6" s="2943"/>
      <c r="O6" s="2943"/>
      <c r="P6" s="3789"/>
      <c r="Q6" s="3790"/>
      <c r="R6" s="3793"/>
      <c r="S6" s="3794"/>
      <c r="T6" s="3795"/>
      <c r="U6" s="3796"/>
      <c r="V6" s="3797"/>
      <c r="W6" s="3797"/>
      <c r="X6" s="3174"/>
      <c r="Y6" s="3795"/>
      <c r="Z6" s="3796"/>
      <c r="AA6" s="3780"/>
      <c r="AB6" s="3797"/>
      <c r="AC6" s="3780"/>
    </row>
    <row r="7" spans="1:29" s="113" customFormat="1" ht="15.75" thickBot="1">
      <c r="A7" s="368" t="s">
        <v>2369</v>
      </c>
      <c r="B7" s="369"/>
      <c r="C7" s="370">
        <f>'数据-取费表'!B2</f>
        <v>42914</v>
      </c>
      <c r="D7" s="371">
        <v>100</v>
      </c>
      <c r="E7" s="372">
        <v>42635</v>
      </c>
      <c r="F7" s="373">
        <f>SUMIF(58:58,YEAR(E7)&amp;"-"&amp;MONTH(E7),59:59)</f>
        <v>99.4</v>
      </c>
      <c r="G7" s="372">
        <v>42886</v>
      </c>
      <c r="H7" s="371">
        <f>SUMIF(58:58,YEAR(G7)&amp;"-"&amp;MONTH(G7),59:59)</f>
        <v>100</v>
      </c>
      <c r="I7" s="372">
        <v>42803</v>
      </c>
      <c r="J7" s="371">
        <f>SUMIF(58:58,YEAR(I7)&amp;"-"&amp;MONTH(I7),59:59)</f>
        <v>99.8</v>
      </c>
      <c r="K7" s="568"/>
      <c r="L7" s="2944"/>
      <c r="M7" s="2945"/>
      <c r="N7" s="2945"/>
      <c r="O7" s="2945"/>
      <c r="P7" s="3802" t="s">
        <v>2370</v>
      </c>
      <c r="Q7" s="3804"/>
      <c r="R7" s="710" t="s">
        <v>17</v>
      </c>
      <c r="S7" s="711">
        <f t="shared" ref="S7:S15" si="0">F7</f>
        <v>99.4</v>
      </c>
      <c r="T7" s="710" t="s">
        <v>17</v>
      </c>
      <c r="U7" s="711">
        <f t="shared" ref="U7:U15" si="1">H7</f>
        <v>100</v>
      </c>
      <c r="V7" s="710" t="s">
        <v>17</v>
      </c>
      <c r="W7" s="711">
        <f t="shared" ref="W7:W15" si="2">J7</f>
        <v>99.8</v>
      </c>
      <c r="X7" s="712"/>
      <c r="Y7" s="3802" t="s">
        <v>2370</v>
      </c>
      <c r="Z7" s="3803"/>
      <c r="AA7" s="713">
        <f>D7/F7</f>
        <v>1.0060362173038229</v>
      </c>
      <c r="AB7" s="713">
        <f>D7/H7</f>
        <v>1</v>
      </c>
      <c r="AC7" s="713">
        <f>D7/J7</f>
        <v>1.0020040080160322</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802" t="s">
        <v>2373</v>
      </c>
      <c r="Q8" s="3803"/>
      <c r="R8" s="710" t="s">
        <v>17</v>
      </c>
      <c r="S8" s="711">
        <f t="shared" si="0"/>
        <v>100</v>
      </c>
      <c r="T8" s="710" t="s">
        <v>17</v>
      </c>
      <c r="U8" s="711">
        <f t="shared" si="1"/>
        <v>100</v>
      </c>
      <c r="V8" s="710" t="s">
        <v>17</v>
      </c>
      <c r="W8" s="711">
        <f t="shared" si="2"/>
        <v>100</v>
      </c>
      <c r="X8" s="712"/>
      <c r="Y8" s="3802" t="s">
        <v>2373</v>
      </c>
      <c r="Z8" s="3803"/>
      <c r="AA8" s="713">
        <f t="shared" ref="AA8:AA46" si="3">D8/F8</f>
        <v>1</v>
      </c>
      <c r="AB8" s="713">
        <f t="shared" ref="AB8:AB46" si="4">D8/H8</f>
        <v>1</v>
      </c>
      <c r="AC8" s="713">
        <f t="shared" ref="AC8:AC46" si="5">D8/J8</f>
        <v>1</v>
      </c>
    </row>
    <row r="9" spans="1:29" s="113" customFormat="1">
      <c r="A9" s="375" t="s">
        <v>2374</v>
      </c>
      <c r="B9" s="67" t="s">
        <v>2375</v>
      </c>
      <c r="C9" s="3185" t="s">
        <v>3558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77" t="s">
        <v>2376</v>
      </c>
      <c r="Q9" s="3173" t="str">
        <f t="shared" ref="Q9:Q15" si="6">B9</f>
        <v>用途</v>
      </c>
      <c r="R9" s="710" t="s">
        <v>17</v>
      </c>
      <c r="S9" s="711">
        <f t="shared" si="0"/>
        <v>100</v>
      </c>
      <c r="T9" s="710" t="s">
        <v>17</v>
      </c>
      <c r="U9" s="711">
        <f t="shared" si="1"/>
        <v>100</v>
      </c>
      <c r="V9" s="710" t="s">
        <v>17</v>
      </c>
      <c r="W9" s="711">
        <f t="shared" si="2"/>
        <v>100</v>
      </c>
      <c r="X9" s="712"/>
      <c r="Y9" s="3636" t="s">
        <v>2377</v>
      </c>
      <c r="Z9" s="3172"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77"/>
      <c r="Q10" s="3173" t="str">
        <f t="shared" si="6"/>
        <v>土地使用年限（年）</v>
      </c>
      <c r="R10" s="710" t="s">
        <v>17</v>
      </c>
      <c r="S10" s="711">
        <f t="shared" si="0"/>
        <v>100</v>
      </c>
      <c r="T10" s="710" t="s">
        <v>17</v>
      </c>
      <c r="U10" s="711">
        <f t="shared" si="1"/>
        <v>100</v>
      </c>
      <c r="V10" s="710" t="s">
        <v>17</v>
      </c>
      <c r="W10" s="711">
        <f t="shared" si="2"/>
        <v>100</v>
      </c>
      <c r="X10" s="712"/>
      <c r="Y10" s="3636"/>
      <c r="Z10" s="3172"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77"/>
      <c r="Q11" s="3173" t="str">
        <f t="shared" si="6"/>
        <v>容积率</v>
      </c>
      <c r="R11" s="710" t="s">
        <v>17</v>
      </c>
      <c r="S11" s="711">
        <f t="shared" si="0"/>
        <v>100</v>
      </c>
      <c r="T11" s="710" t="s">
        <v>17</v>
      </c>
      <c r="U11" s="711">
        <f t="shared" si="1"/>
        <v>100</v>
      </c>
      <c r="V11" s="710" t="s">
        <v>17</v>
      </c>
      <c r="W11" s="711">
        <f t="shared" si="2"/>
        <v>100</v>
      </c>
      <c r="X11" s="712"/>
      <c r="Y11" s="3636"/>
      <c r="Z11" s="3172"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777"/>
      <c r="Q12" s="3173">
        <f t="shared" si="6"/>
        <v>111</v>
      </c>
      <c r="R12" s="710" t="s">
        <v>17</v>
      </c>
      <c r="S12" s="711">
        <f t="shared" si="0"/>
        <v>100</v>
      </c>
      <c r="T12" s="710" t="s">
        <v>17</v>
      </c>
      <c r="U12" s="711">
        <f t="shared" si="1"/>
        <v>100</v>
      </c>
      <c r="V12" s="710" t="s">
        <v>17</v>
      </c>
      <c r="W12" s="711">
        <f t="shared" si="2"/>
        <v>100</v>
      </c>
      <c r="X12" s="712"/>
      <c r="Y12" s="3636"/>
      <c r="Z12" s="3172">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777"/>
      <c r="Q13" s="3173">
        <f t="shared" si="6"/>
        <v>111</v>
      </c>
      <c r="R13" s="710" t="s">
        <v>17</v>
      </c>
      <c r="S13" s="711">
        <f t="shared" si="0"/>
        <v>100</v>
      </c>
      <c r="T13" s="710" t="s">
        <v>17</v>
      </c>
      <c r="U13" s="711">
        <f t="shared" si="1"/>
        <v>100</v>
      </c>
      <c r="V13" s="710" t="s">
        <v>17</v>
      </c>
      <c r="W13" s="711">
        <f t="shared" si="2"/>
        <v>100</v>
      </c>
      <c r="X13" s="712"/>
      <c r="Y13" s="3636"/>
      <c r="Z13" s="3172">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77"/>
      <c r="Q14" s="3173">
        <f t="shared" si="6"/>
        <v>111</v>
      </c>
      <c r="R14" s="710" t="s">
        <v>17</v>
      </c>
      <c r="S14" s="711">
        <f t="shared" si="0"/>
        <v>100</v>
      </c>
      <c r="T14" s="710" t="s">
        <v>17</v>
      </c>
      <c r="U14" s="711">
        <f t="shared" si="1"/>
        <v>100</v>
      </c>
      <c r="V14" s="710" t="s">
        <v>17</v>
      </c>
      <c r="W14" s="711">
        <f t="shared" si="2"/>
        <v>100</v>
      </c>
      <c r="X14" s="712"/>
      <c r="Y14" s="3636"/>
      <c r="Z14" s="3172">
        <f t="shared" si="7"/>
        <v>111</v>
      </c>
      <c r="AA14" s="713">
        <f t="shared" si="3"/>
        <v>1</v>
      </c>
      <c r="AB14" s="713">
        <f t="shared" si="4"/>
        <v>1</v>
      </c>
      <c r="AC14" s="713">
        <f t="shared" si="5"/>
        <v>1</v>
      </c>
    </row>
    <row r="15" spans="1:29" ht="156.75">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401"/>
      <c r="F15" s="402">
        <f>SUMIF(76:76,E16,77:77)-SUMIF(76:76,C16,77:77)+100</f>
        <v>100</v>
      </c>
      <c r="G15" s="403"/>
      <c r="H15" s="400">
        <f>SUMIF(76:76,G16,77:77)-SUMIF(76:76,C16,77:77)+100</f>
        <v>100</v>
      </c>
      <c r="I15" s="401"/>
      <c r="J15" s="400">
        <f>SUMIF(76:76,I16,77:77)-SUMIF(76:76,C16,77:77)+100</f>
        <v>100</v>
      </c>
      <c r="K15" s="571">
        <v>3</v>
      </c>
      <c r="L15" s="2949"/>
      <c r="M15" s="2943"/>
      <c r="N15" s="2943"/>
      <c r="O15" s="2943"/>
      <c r="P15" s="3775" t="s">
        <v>2381</v>
      </c>
      <c r="Q15" s="3177" t="str">
        <f t="shared" si="6"/>
        <v>商业繁华度</v>
      </c>
      <c r="R15" s="714" t="s">
        <v>17</v>
      </c>
      <c r="S15" s="715">
        <f t="shared" si="0"/>
        <v>100</v>
      </c>
      <c r="T15" s="714" t="s">
        <v>17</v>
      </c>
      <c r="U15" s="715">
        <f t="shared" si="1"/>
        <v>100</v>
      </c>
      <c r="V15" s="714" t="s">
        <v>17</v>
      </c>
      <c r="W15" s="715">
        <f t="shared" si="2"/>
        <v>100</v>
      </c>
      <c r="X15" s="3174"/>
      <c r="Y15" s="3768" t="s">
        <v>2381</v>
      </c>
      <c r="Z15" s="3175" t="str">
        <f t="shared" si="7"/>
        <v>商业繁华度</v>
      </c>
      <c r="AA15" s="3178">
        <f t="shared" si="3"/>
        <v>1</v>
      </c>
      <c r="AB15" s="3178">
        <f t="shared" si="4"/>
        <v>1</v>
      </c>
      <c r="AC15" s="3178">
        <f t="shared" si="5"/>
        <v>1</v>
      </c>
    </row>
    <row r="16" spans="1:29" ht="15">
      <c r="A16" s="387"/>
      <c r="B16" s="405"/>
      <c r="C16" s="406" t="s">
        <v>3094</v>
      </c>
      <c r="D16" s="407"/>
      <c r="E16" s="406" t="s">
        <v>3094</v>
      </c>
      <c r="F16" s="408"/>
      <c r="G16" s="406" t="s">
        <v>3094</v>
      </c>
      <c r="H16" s="409"/>
      <c r="I16" s="406" t="s">
        <v>3094</v>
      </c>
      <c r="J16" s="407"/>
      <c r="K16" s="572"/>
      <c r="L16" s="2949"/>
      <c r="M16" s="2943"/>
      <c r="N16" s="2943"/>
      <c r="O16" s="2943"/>
      <c r="P16" s="3776"/>
      <c r="Q16" s="3177"/>
      <c r="R16" s="714"/>
      <c r="S16" s="715"/>
      <c r="T16" s="714"/>
      <c r="U16" s="715"/>
      <c r="V16" s="714"/>
      <c r="W16" s="715"/>
      <c r="X16" s="3174"/>
      <c r="Y16" s="3769"/>
      <c r="Z16" s="3175"/>
      <c r="AA16" s="3178">
        <v>1</v>
      </c>
      <c r="AB16" s="3178">
        <v>1</v>
      </c>
      <c r="AC16" s="3178">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49"/>
      <c r="M17" s="2943"/>
      <c r="N17" s="2943"/>
      <c r="O17" s="2943"/>
      <c r="P17" s="3776"/>
      <c r="Q17" s="3177" t="str">
        <f>B17</f>
        <v>交通便捷度</v>
      </c>
      <c r="R17" s="714" t="s">
        <v>17</v>
      </c>
      <c r="S17" s="715">
        <f>F17</f>
        <v>100</v>
      </c>
      <c r="T17" s="714" t="s">
        <v>17</v>
      </c>
      <c r="U17" s="715">
        <f>H17</f>
        <v>100</v>
      </c>
      <c r="V17" s="714" t="s">
        <v>17</v>
      </c>
      <c r="W17" s="715">
        <f>J17</f>
        <v>100</v>
      </c>
      <c r="X17" s="3174"/>
      <c r="Y17" s="3769"/>
      <c r="Z17" s="3175" t="str">
        <f>Q17</f>
        <v>交通便捷度</v>
      </c>
      <c r="AA17" s="3178">
        <f t="shared" si="3"/>
        <v>1</v>
      </c>
      <c r="AB17" s="3178">
        <f t="shared" si="4"/>
        <v>1</v>
      </c>
      <c r="AC17" s="3178">
        <f t="shared" si="5"/>
        <v>1</v>
      </c>
    </row>
    <row r="18" spans="1:29" ht="15">
      <c r="A18" s="387"/>
      <c r="B18" s="415"/>
      <c r="C18" s="2087" t="s">
        <v>3094</v>
      </c>
      <c r="D18" s="409"/>
      <c r="E18" s="2087" t="s">
        <v>3094</v>
      </c>
      <c r="F18" s="412"/>
      <c r="G18" s="2087" t="s">
        <v>3094</v>
      </c>
      <c r="H18" s="407"/>
      <c r="I18" s="2087" t="s">
        <v>3094</v>
      </c>
      <c r="J18" s="407"/>
      <c r="K18" s="572"/>
      <c r="L18" s="2949"/>
      <c r="M18" s="2943"/>
      <c r="N18" s="2943"/>
      <c r="O18" s="2943"/>
      <c r="P18" s="3776"/>
      <c r="Q18" s="3177"/>
      <c r="R18" s="714"/>
      <c r="S18" s="715"/>
      <c r="T18" s="714"/>
      <c r="U18" s="715"/>
      <c r="V18" s="714"/>
      <c r="W18" s="715"/>
      <c r="X18" s="3174"/>
      <c r="Y18" s="3769"/>
      <c r="Z18" s="3175"/>
      <c r="AA18" s="3178">
        <v>1</v>
      </c>
      <c r="AB18" s="3178">
        <v>1</v>
      </c>
      <c r="AC18" s="3178">
        <v>1</v>
      </c>
    </row>
    <row r="19" spans="1:29" ht="285">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776"/>
      <c r="Q19" s="3177" t="str">
        <f>B19</f>
        <v>公共配套设施</v>
      </c>
      <c r="R19" s="714" t="s">
        <v>17</v>
      </c>
      <c r="S19" s="715">
        <f>F19</f>
        <v>100</v>
      </c>
      <c r="T19" s="714" t="s">
        <v>17</v>
      </c>
      <c r="U19" s="715">
        <f>H19</f>
        <v>100</v>
      </c>
      <c r="V19" s="714" t="s">
        <v>17</v>
      </c>
      <c r="W19" s="715">
        <f>J19</f>
        <v>100</v>
      </c>
      <c r="X19" s="3174"/>
      <c r="Y19" s="3769"/>
      <c r="Z19" s="3175" t="str">
        <f>Q19</f>
        <v>公共配套设施</v>
      </c>
      <c r="AA19" s="3178">
        <f t="shared" si="3"/>
        <v>1</v>
      </c>
      <c r="AB19" s="3178">
        <f t="shared" si="4"/>
        <v>1</v>
      </c>
      <c r="AC19" s="3178">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776"/>
      <c r="Q20" s="3177"/>
      <c r="R20" s="714"/>
      <c r="S20" s="715"/>
      <c r="T20" s="714"/>
      <c r="U20" s="715"/>
      <c r="V20" s="714"/>
      <c r="W20" s="715"/>
      <c r="X20" s="3174"/>
      <c r="Y20" s="3769"/>
      <c r="Z20" s="3175"/>
      <c r="AA20" s="3178">
        <v>1</v>
      </c>
      <c r="AB20" s="3178">
        <v>1</v>
      </c>
      <c r="AC20" s="3178">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776"/>
      <c r="Q21" s="3177" t="str">
        <f>B21</f>
        <v>基础设施水平</v>
      </c>
      <c r="R21" s="714" t="s">
        <v>17</v>
      </c>
      <c r="S21" s="715">
        <f>F21</f>
        <v>100</v>
      </c>
      <c r="T21" s="714" t="s">
        <v>17</v>
      </c>
      <c r="U21" s="715">
        <f>H21</f>
        <v>100</v>
      </c>
      <c r="V21" s="714" t="s">
        <v>17</v>
      </c>
      <c r="W21" s="715">
        <f>J21</f>
        <v>100</v>
      </c>
      <c r="X21" s="3174"/>
      <c r="Y21" s="3769"/>
      <c r="Z21" s="3175" t="str">
        <f>Q21</f>
        <v>基础设施水平</v>
      </c>
      <c r="AA21" s="3178">
        <f>D21/F21</f>
        <v>1</v>
      </c>
      <c r="AB21" s="3178">
        <f>D21/H21</f>
        <v>1</v>
      </c>
      <c r="AC21" s="3178">
        <f>D21/J21</f>
        <v>1</v>
      </c>
    </row>
    <row r="22" spans="1:29" ht="15">
      <c r="A22" s="387"/>
      <c r="B22" s="1293"/>
      <c r="C22" s="2087" t="s">
        <v>3475</v>
      </c>
      <c r="D22" s="407"/>
      <c r="E22" s="2087" t="s">
        <v>3475</v>
      </c>
      <c r="F22" s="408"/>
      <c r="G22" s="2087" t="s">
        <v>3475</v>
      </c>
      <c r="H22" s="407"/>
      <c r="I22" s="2087" t="s">
        <v>3475</v>
      </c>
      <c r="J22" s="407"/>
      <c r="K22" s="1292"/>
      <c r="L22" s="2949"/>
      <c r="M22" s="2943"/>
      <c r="N22" s="2943"/>
      <c r="O22" s="2943"/>
      <c r="P22" s="3776"/>
      <c r="Q22" s="3177"/>
      <c r="R22" s="714"/>
      <c r="S22" s="715"/>
      <c r="T22" s="714"/>
      <c r="U22" s="715"/>
      <c r="V22" s="714"/>
      <c r="W22" s="715"/>
      <c r="X22" s="3174"/>
      <c r="Y22" s="3769"/>
      <c r="Z22" s="3175"/>
      <c r="AA22" s="3178">
        <v>1</v>
      </c>
      <c r="AB22" s="3178">
        <v>1</v>
      </c>
      <c r="AC22" s="3178">
        <v>1</v>
      </c>
    </row>
    <row r="23" spans="1:29" ht="57">
      <c r="A23" s="387"/>
      <c r="B23" s="410" t="s">
        <v>1947</v>
      </c>
      <c r="C23" s="2141" t="str">
        <f>估价对象房地状况!C9</f>
        <v>周边有隆福寺广场、东四清真寺等，自然及人文环境较好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776"/>
      <c r="Q23" s="3177" t="str">
        <f>B23</f>
        <v>自然及人文环境</v>
      </c>
      <c r="R23" s="714" t="s">
        <v>17</v>
      </c>
      <c r="S23" s="715">
        <f>F23</f>
        <v>100</v>
      </c>
      <c r="T23" s="714" t="s">
        <v>17</v>
      </c>
      <c r="U23" s="715">
        <f>H23</f>
        <v>100</v>
      </c>
      <c r="V23" s="714" t="s">
        <v>17</v>
      </c>
      <c r="W23" s="715">
        <f>J23</f>
        <v>100</v>
      </c>
      <c r="X23" s="3174"/>
      <c r="Y23" s="3769"/>
      <c r="Z23" s="3175" t="str">
        <f>Q23</f>
        <v>自然及人文环境</v>
      </c>
      <c r="AA23" s="3178">
        <f t="shared" si="3"/>
        <v>1</v>
      </c>
      <c r="AB23" s="3178">
        <f t="shared" si="4"/>
        <v>1</v>
      </c>
      <c r="AC23" s="3178">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776"/>
      <c r="Q24" s="3177"/>
      <c r="R24" s="714"/>
      <c r="S24" s="715"/>
      <c r="T24" s="714"/>
      <c r="U24" s="715"/>
      <c r="V24" s="714"/>
      <c r="W24" s="715"/>
      <c r="X24" s="3174"/>
      <c r="Y24" s="3769"/>
      <c r="Z24" s="3175"/>
      <c r="AA24" s="3178">
        <v>1</v>
      </c>
      <c r="AB24" s="3178">
        <v>1</v>
      </c>
      <c r="AC24" s="3178">
        <v>1</v>
      </c>
    </row>
    <row r="25" spans="1:29" ht="15">
      <c r="A25" s="387"/>
      <c r="B25" s="381" t="s">
        <v>2477</v>
      </c>
      <c r="C25" s="573" t="s">
        <v>3476</v>
      </c>
      <c r="D25" s="394">
        <v>100</v>
      </c>
      <c r="E25" s="573" t="s">
        <v>3480</v>
      </c>
      <c r="F25" s="420">
        <f>SUMIF(86:86,E25,87:87)-SUMIF(86:86,C25,87:87)+100</f>
        <v>105</v>
      </c>
      <c r="G25" s="573" t="s">
        <v>3480</v>
      </c>
      <c r="H25" s="394">
        <f>SUMIF(86:86,G25,87:87)-SUMIF(86:86,C25,87:87)+100</f>
        <v>105</v>
      </c>
      <c r="I25" s="573" t="s">
        <v>3480</v>
      </c>
      <c r="J25" s="394">
        <f>SUMIF(86:86,I25,87:87)-SUMIF(86:86,C25,87:87)+100</f>
        <v>105</v>
      </c>
      <c r="K25" s="569">
        <v>5</v>
      </c>
      <c r="L25" s="2949"/>
      <c r="M25" s="2943"/>
      <c r="N25" s="2943"/>
      <c r="O25" s="2943"/>
      <c r="P25" s="3776"/>
      <c r="Q25" s="3177" t="str">
        <f t="shared" ref="Q25:Q46" si="8">B25</f>
        <v>临街状况</v>
      </c>
      <c r="R25" s="714" t="s">
        <v>17</v>
      </c>
      <c r="S25" s="715">
        <f>F25</f>
        <v>105</v>
      </c>
      <c r="T25" s="714" t="s">
        <v>17</v>
      </c>
      <c r="U25" s="715">
        <f>H25</f>
        <v>105</v>
      </c>
      <c r="V25" s="714" t="s">
        <v>17</v>
      </c>
      <c r="W25" s="715">
        <f>J25</f>
        <v>105</v>
      </c>
      <c r="X25" s="3174"/>
      <c r="Y25" s="3769"/>
      <c r="Z25" s="3175" t="str">
        <f>Q25</f>
        <v>临街状况</v>
      </c>
      <c r="AA25" s="3178">
        <f t="shared" si="3"/>
        <v>0.95238095238095233</v>
      </c>
      <c r="AB25" s="3178">
        <f t="shared" si="4"/>
        <v>0.95238095238095233</v>
      </c>
      <c r="AC25" s="3178">
        <f t="shared" si="5"/>
        <v>0.95238095238095233</v>
      </c>
    </row>
    <row r="26" spans="1:29" ht="15">
      <c r="A26" s="387"/>
      <c r="B26" s="1295" t="s">
        <v>2478</v>
      </c>
      <c r="C26" s="3184"/>
      <c r="D26" s="394">
        <v>100</v>
      </c>
      <c r="E26" s="3184"/>
      <c r="F26" s="420">
        <f>SUMIF(88:88,E26,89:89)-SUMIF(88:88,C26,89:89)+100</f>
        <v>100</v>
      </c>
      <c r="G26" s="3184"/>
      <c r="H26" s="394">
        <f>SUMIF(88:88,G26,89:89)-SUMIF(88:88,C26,89:89)+100</f>
        <v>100</v>
      </c>
      <c r="I26" s="3184"/>
      <c r="J26" s="394">
        <f>SUMIF(88:88,I26,89:89)-SUMIF(88:88,C26,89:89)+100</f>
        <v>100</v>
      </c>
      <c r="K26" s="570"/>
      <c r="L26" s="2949"/>
      <c r="M26" s="2943"/>
      <c r="N26" s="2943"/>
      <c r="O26" s="2943"/>
      <c r="P26" s="3776"/>
      <c r="Q26" s="3177" t="str">
        <f t="shared" si="8"/>
        <v>平面位置/可视性</v>
      </c>
      <c r="R26" s="714" t="s">
        <v>17</v>
      </c>
      <c r="S26" s="715">
        <f>F26</f>
        <v>100</v>
      </c>
      <c r="T26" s="714" t="s">
        <v>17</v>
      </c>
      <c r="U26" s="715">
        <f>H26</f>
        <v>100</v>
      </c>
      <c r="V26" s="714" t="s">
        <v>17</v>
      </c>
      <c r="W26" s="715">
        <f>J26</f>
        <v>100</v>
      </c>
      <c r="X26" s="3174"/>
      <c r="Y26" s="3769"/>
      <c r="Z26" s="3175" t="str">
        <f>Q26</f>
        <v>平面位置/可视性</v>
      </c>
      <c r="AA26" s="3178">
        <f t="shared" si="3"/>
        <v>1</v>
      </c>
      <c r="AB26" s="3178">
        <f t="shared" si="4"/>
        <v>1</v>
      </c>
      <c r="AC26" s="3178">
        <f t="shared" si="5"/>
        <v>1</v>
      </c>
    </row>
    <row r="27" spans="1:29" s="113" customFormat="1" ht="15">
      <c r="A27" s="390"/>
      <c r="B27" s="410" t="s">
        <v>2479</v>
      </c>
      <c r="C27" s="2142" t="s">
        <v>3567</v>
      </c>
      <c r="D27" s="421">
        <v>100</v>
      </c>
      <c r="E27" s="2142" t="s">
        <v>3567</v>
      </c>
      <c r="F27" s="423">
        <f>SUMIF(90:90,E27,91:91)-SUMIF(90:90,C27,91:91)+100</f>
        <v>100</v>
      </c>
      <c r="G27" s="2142" t="s">
        <v>3567</v>
      </c>
      <c r="H27" s="421">
        <f>SUMIF(90:90,G27,91:91)-SUMIF(90:90,C27,91:91)+100</f>
        <v>100</v>
      </c>
      <c r="I27" s="2142" t="s">
        <v>3567</v>
      </c>
      <c r="J27" s="421">
        <f>SUMIF(90:90,I27,91:91)-SUMIF(90:90,C27,91:91)+100</f>
        <v>100</v>
      </c>
      <c r="K27" s="569">
        <v>2</v>
      </c>
      <c r="L27" s="2944"/>
      <c r="M27" s="2945"/>
      <c r="N27" s="2945"/>
      <c r="O27" s="2945"/>
      <c r="P27" s="3776"/>
      <c r="Q27" s="3173" t="str">
        <f t="shared" si="8"/>
        <v>人流量</v>
      </c>
      <c r="R27" s="710" t="s">
        <v>17</v>
      </c>
      <c r="S27" s="711">
        <f>F27</f>
        <v>100</v>
      </c>
      <c r="T27" s="710" t="s">
        <v>17</v>
      </c>
      <c r="U27" s="711">
        <f>H27</f>
        <v>100</v>
      </c>
      <c r="V27" s="710" t="s">
        <v>17</v>
      </c>
      <c r="W27" s="711">
        <f>J27</f>
        <v>100</v>
      </c>
      <c r="X27" s="712"/>
      <c r="Y27" s="3769"/>
      <c r="Z27" s="3172" t="str">
        <f>Q27</f>
        <v>人流量</v>
      </c>
      <c r="AA27" s="3178">
        <f>D27/F27</f>
        <v>1</v>
      </c>
      <c r="AB27" s="3178">
        <f>D27/H27</f>
        <v>1</v>
      </c>
      <c r="AC27" s="3178">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776"/>
      <c r="Q28" s="3177" t="str">
        <f t="shared" si="8"/>
        <v>楼层</v>
      </c>
      <c r="R28" s="714" t="s">
        <v>17</v>
      </c>
      <c r="S28" s="715">
        <f t="shared" ref="S28:S46" si="9">F28</f>
        <v>100</v>
      </c>
      <c r="T28" s="714" t="s">
        <v>17</v>
      </c>
      <c r="U28" s="715">
        <f t="shared" ref="U28:U46" si="10">H28</f>
        <v>100</v>
      </c>
      <c r="V28" s="714" t="s">
        <v>17</v>
      </c>
      <c r="W28" s="715">
        <f t="shared" ref="W28:W46" si="11">J28</f>
        <v>100</v>
      </c>
      <c r="X28" s="3174"/>
      <c r="Y28" s="3769"/>
      <c r="Z28" s="3175" t="str">
        <f t="shared" ref="Z28:Z46" si="12">Q28</f>
        <v>楼层</v>
      </c>
      <c r="AA28" s="3178">
        <f t="shared" si="3"/>
        <v>1</v>
      </c>
      <c r="AB28" s="3178">
        <f t="shared" si="4"/>
        <v>1</v>
      </c>
      <c r="AC28" s="317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776"/>
      <c r="Q29" s="3177">
        <f t="shared" si="8"/>
        <v>111</v>
      </c>
      <c r="R29" s="714" t="s">
        <v>17</v>
      </c>
      <c r="S29" s="715">
        <f t="shared" si="9"/>
        <v>100</v>
      </c>
      <c r="T29" s="714" t="s">
        <v>17</v>
      </c>
      <c r="U29" s="715">
        <f t="shared" si="10"/>
        <v>100</v>
      </c>
      <c r="V29" s="714" t="s">
        <v>17</v>
      </c>
      <c r="W29" s="715">
        <f t="shared" si="11"/>
        <v>100</v>
      </c>
      <c r="X29" s="3174"/>
      <c r="Y29" s="3769"/>
      <c r="Z29" s="3175">
        <f t="shared" si="12"/>
        <v>111</v>
      </c>
      <c r="AA29" s="3178">
        <f t="shared" si="3"/>
        <v>1</v>
      </c>
      <c r="AB29" s="3178">
        <f t="shared" si="4"/>
        <v>1</v>
      </c>
      <c r="AC29" s="317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776"/>
      <c r="Q30" s="3177">
        <f t="shared" si="8"/>
        <v>111</v>
      </c>
      <c r="R30" s="714" t="s">
        <v>17</v>
      </c>
      <c r="S30" s="715">
        <f t="shared" si="9"/>
        <v>100</v>
      </c>
      <c r="T30" s="714" t="s">
        <v>17</v>
      </c>
      <c r="U30" s="715">
        <f t="shared" si="10"/>
        <v>100</v>
      </c>
      <c r="V30" s="714" t="s">
        <v>17</v>
      </c>
      <c r="W30" s="715">
        <f t="shared" si="11"/>
        <v>100</v>
      </c>
      <c r="X30" s="3174"/>
      <c r="Y30" s="3769"/>
      <c r="Z30" s="3175">
        <f t="shared" si="12"/>
        <v>111</v>
      </c>
      <c r="AA30" s="3178">
        <f t="shared" si="3"/>
        <v>1</v>
      </c>
      <c r="AB30" s="3178">
        <f t="shared" si="4"/>
        <v>1</v>
      </c>
      <c r="AC30" s="317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776"/>
      <c r="Q31" s="3177">
        <f t="shared" si="8"/>
        <v>111</v>
      </c>
      <c r="R31" s="714" t="s">
        <v>17</v>
      </c>
      <c r="S31" s="715">
        <f t="shared" si="9"/>
        <v>100</v>
      </c>
      <c r="T31" s="714" t="s">
        <v>17</v>
      </c>
      <c r="U31" s="715">
        <f t="shared" si="10"/>
        <v>100</v>
      </c>
      <c r="V31" s="714" t="s">
        <v>17</v>
      </c>
      <c r="W31" s="715">
        <f t="shared" si="11"/>
        <v>100</v>
      </c>
      <c r="X31" s="3174"/>
      <c r="Y31" s="3769"/>
      <c r="Z31" s="3175">
        <f t="shared" si="12"/>
        <v>111</v>
      </c>
      <c r="AA31" s="3178">
        <f t="shared" si="3"/>
        <v>1</v>
      </c>
      <c r="AB31" s="3178">
        <f t="shared" si="4"/>
        <v>1</v>
      </c>
      <c r="AC31" s="3178">
        <f t="shared" si="5"/>
        <v>1</v>
      </c>
    </row>
    <row r="32" spans="1:29" ht="15">
      <c r="A32" s="399" t="s">
        <v>2384</v>
      </c>
      <c r="B32" s="67" t="s">
        <v>2481</v>
      </c>
      <c r="C32" s="2096" t="s">
        <v>3565</v>
      </c>
      <c r="D32" s="426">
        <v>100</v>
      </c>
      <c r="E32" s="2096" t="s">
        <v>3565</v>
      </c>
      <c r="F32" s="420">
        <f>SUMIF(100:100,E32,101:101)-SUMIF(100:100,C32,101:101)+100</f>
        <v>100</v>
      </c>
      <c r="G32" s="2096" t="s">
        <v>3565</v>
      </c>
      <c r="H32" s="394">
        <f>SUMIF(100:100,G32,101:101)-SUMIF(100:100,C32,101:101)+100</f>
        <v>100</v>
      </c>
      <c r="I32" s="2096" t="s">
        <v>3565</v>
      </c>
      <c r="J32" s="426">
        <f>SUMIF(100:100,I32,101:101)-SUMIF(100:100,C32,101:101)+100</f>
        <v>100</v>
      </c>
      <c r="K32" s="569">
        <v>2</v>
      </c>
      <c r="L32" s="2949"/>
      <c r="M32" s="2943"/>
      <c r="N32" s="2943"/>
      <c r="O32" s="2943"/>
      <c r="P32" s="3770" t="s">
        <v>2386</v>
      </c>
      <c r="Q32" s="3177" t="str">
        <f t="shared" si="8"/>
        <v>商业类型</v>
      </c>
      <c r="R32" s="714" t="s">
        <v>17</v>
      </c>
      <c r="S32" s="715">
        <f t="shared" si="9"/>
        <v>100</v>
      </c>
      <c r="T32" s="714" t="s">
        <v>17</v>
      </c>
      <c r="U32" s="715">
        <f t="shared" si="10"/>
        <v>100</v>
      </c>
      <c r="V32" s="714" t="s">
        <v>17</v>
      </c>
      <c r="W32" s="715">
        <f t="shared" si="11"/>
        <v>100</v>
      </c>
      <c r="X32" s="3174"/>
      <c r="Y32" s="3773" t="s">
        <v>2386</v>
      </c>
      <c r="Z32" s="3175" t="str">
        <f t="shared" si="12"/>
        <v>商业类型</v>
      </c>
      <c r="AA32" s="3178">
        <f t="shared" si="3"/>
        <v>1</v>
      </c>
      <c r="AB32" s="3178">
        <f t="shared" si="4"/>
        <v>1</v>
      </c>
      <c r="AC32" s="3178">
        <f t="shared" si="5"/>
        <v>1</v>
      </c>
    </row>
    <row r="33" spans="1:29" s="430" customFormat="1" ht="15">
      <c r="A33" s="427"/>
      <c r="B33" s="381" t="s">
        <v>2387</v>
      </c>
      <c r="C33" s="428">
        <f>'数据-汇总表'!E3</f>
        <v>47689.05</v>
      </c>
      <c r="D33" s="132">
        <v>100</v>
      </c>
      <c r="E33" s="389">
        <v>59187</v>
      </c>
      <c r="F33" s="384">
        <f>LOOKUP(E33,103:103,104:104)-LOOKUP(C33,103:103,104:104)+100</f>
        <v>101</v>
      </c>
      <c r="G33" s="388">
        <v>149036</v>
      </c>
      <c r="H33" s="132">
        <f>LOOKUP(G33,103:103,104:104)-LOOKUP(C33,103:103,104:104)+100</f>
        <v>102</v>
      </c>
      <c r="I33" s="388">
        <v>126785</v>
      </c>
      <c r="J33" s="132">
        <f>LOOKUP(I33,103:103,104:104)-LOOKUP(C33,103:103,104:104)+100</f>
        <v>102</v>
      </c>
      <c r="K33" s="570"/>
      <c r="L33" s="2948"/>
      <c r="M33" s="2950"/>
      <c r="N33" s="2950"/>
      <c r="O33" s="2950"/>
      <c r="P33" s="3771"/>
      <c r="Q33" s="716" t="str">
        <f t="shared" si="8"/>
        <v>项目建筑规模</v>
      </c>
      <c r="R33" s="717" t="s">
        <v>17</v>
      </c>
      <c r="S33" s="718">
        <f t="shared" si="9"/>
        <v>101</v>
      </c>
      <c r="T33" s="717" t="s">
        <v>17</v>
      </c>
      <c r="U33" s="718">
        <f t="shared" si="10"/>
        <v>102</v>
      </c>
      <c r="V33" s="717" t="s">
        <v>17</v>
      </c>
      <c r="W33" s="718">
        <f t="shared" si="11"/>
        <v>102</v>
      </c>
      <c r="X33" s="719"/>
      <c r="Y33" s="3773"/>
      <c r="Z33" s="720" t="str">
        <f t="shared" si="12"/>
        <v>项目建筑规模</v>
      </c>
      <c r="AA33" s="3178">
        <f t="shared" si="3"/>
        <v>0.99009900990099009</v>
      </c>
      <c r="AB33" s="3178">
        <f t="shared" si="4"/>
        <v>0.98039215686274506</v>
      </c>
      <c r="AC33" s="3178">
        <f t="shared" si="5"/>
        <v>0.98039215686274506</v>
      </c>
    </row>
    <row r="34" spans="1:29" ht="15">
      <c r="A34" s="431"/>
      <c r="B34" s="381" t="s">
        <v>2388</v>
      </c>
      <c r="C34" s="2098" t="s">
        <v>3499</v>
      </c>
      <c r="D34" s="394">
        <v>100</v>
      </c>
      <c r="E34" s="2098" t="s">
        <v>3499</v>
      </c>
      <c r="F34" s="420">
        <f>SUMIF(105:105,E34,106:106)-SUMIF(105:105,C34,106:106)+100</f>
        <v>100</v>
      </c>
      <c r="G34" s="2098" t="s">
        <v>3499</v>
      </c>
      <c r="H34" s="394">
        <f>SUMIF(105:105,G34,106:106)-SUMIF(105:105,C34,106:106)+100</f>
        <v>100</v>
      </c>
      <c r="I34" s="2098" t="s">
        <v>3499</v>
      </c>
      <c r="J34" s="394">
        <f>SUMIF(105:105,I34,106:106)-SUMIF(105:105,C34,106:106)+100</f>
        <v>100</v>
      </c>
      <c r="K34" s="569">
        <v>2</v>
      </c>
      <c r="L34" s="2949"/>
      <c r="M34" s="2943"/>
      <c r="N34" s="2943"/>
      <c r="O34" s="2943"/>
      <c r="P34" s="3771"/>
      <c r="Q34" s="3177" t="str">
        <f t="shared" si="8"/>
        <v>建筑结构</v>
      </c>
      <c r="R34" s="714" t="s">
        <v>17</v>
      </c>
      <c r="S34" s="715">
        <f t="shared" si="9"/>
        <v>100</v>
      </c>
      <c r="T34" s="714" t="s">
        <v>17</v>
      </c>
      <c r="U34" s="715">
        <f t="shared" si="10"/>
        <v>100</v>
      </c>
      <c r="V34" s="714" t="s">
        <v>17</v>
      </c>
      <c r="W34" s="715">
        <f t="shared" si="11"/>
        <v>100</v>
      </c>
      <c r="X34" s="3174"/>
      <c r="Y34" s="3773"/>
      <c r="Z34" s="3175" t="str">
        <f t="shared" si="12"/>
        <v>建筑结构</v>
      </c>
      <c r="AA34" s="3178">
        <f t="shared" si="3"/>
        <v>1</v>
      </c>
      <c r="AB34" s="3178">
        <f t="shared" si="4"/>
        <v>1</v>
      </c>
      <c r="AC34" s="3178">
        <f t="shared" si="5"/>
        <v>1</v>
      </c>
    </row>
    <row r="35" spans="1:29" ht="15">
      <c r="A35" s="431"/>
      <c r="B35" s="381" t="s">
        <v>2482</v>
      </c>
      <c r="C35" s="2092" t="s">
        <v>3503</v>
      </c>
      <c r="D35" s="394">
        <v>100</v>
      </c>
      <c r="E35" s="2092" t="s">
        <v>3500</v>
      </c>
      <c r="F35" s="420">
        <f>SUMIF(107:107,E35,108:108)-SUMIF(107:107,C35,108:108)+100</f>
        <v>100</v>
      </c>
      <c r="G35" s="2092" t="s">
        <v>3500</v>
      </c>
      <c r="H35" s="394">
        <f>SUMIF(107:107,G35,108:108)-SUMIF(107:107,C35,108:108)+100</f>
        <v>100</v>
      </c>
      <c r="I35" s="2092" t="s">
        <v>3500</v>
      </c>
      <c r="J35" s="394">
        <f>SUMIF(107:107,I35,108:108)-SUMIF(107:107,C35,108:108)+100</f>
        <v>100</v>
      </c>
      <c r="K35" s="569"/>
      <c r="L35" s="2949"/>
      <c r="M35" s="2943"/>
      <c r="N35" s="2943"/>
      <c r="O35" s="2943"/>
      <c r="P35" s="3771"/>
      <c r="Q35" s="3177" t="str">
        <f t="shared" si="8"/>
        <v>公共部分装修</v>
      </c>
      <c r="R35" s="714" t="s">
        <v>17</v>
      </c>
      <c r="S35" s="715">
        <f t="shared" si="9"/>
        <v>100</v>
      </c>
      <c r="T35" s="714" t="s">
        <v>17</v>
      </c>
      <c r="U35" s="715">
        <f t="shared" si="10"/>
        <v>100</v>
      </c>
      <c r="V35" s="714" t="s">
        <v>17</v>
      </c>
      <c r="W35" s="715">
        <f t="shared" si="11"/>
        <v>100</v>
      </c>
      <c r="X35" s="3174"/>
      <c r="Y35" s="3773"/>
      <c r="Z35" s="3175" t="str">
        <f t="shared" si="12"/>
        <v>公共部分装修</v>
      </c>
      <c r="AA35" s="3178">
        <f t="shared" si="3"/>
        <v>1</v>
      </c>
      <c r="AB35" s="3178">
        <f t="shared" si="4"/>
        <v>1</v>
      </c>
      <c r="AC35" s="3178">
        <f t="shared" si="5"/>
        <v>1</v>
      </c>
    </row>
    <row r="36" spans="1:29" ht="15">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102</v>
      </c>
      <c r="K36" s="569">
        <v>2</v>
      </c>
      <c r="L36" s="2949"/>
      <c r="M36" s="2943"/>
      <c r="N36" s="2943"/>
      <c r="O36" s="2943"/>
      <c r="P36" s="3771"/>
      <c r="Q36" s="3177" t="str">
        <f t="shared" si="8"/>
        <v>成新度</v>
      </c>
      <c r="R36" s="714" t="s">
        <v>17</v>
      </c>
      <c r="S36" s="715">
        <f t="shared" si="9"/>
        <v>100</v>
      </c>
      <c r="T36" s="714" t="s">
        <v>17</v>
      </c>
      <c r="U36" s="715">
        <f t="shared" si="10"/>
        <v>100</v>
      </c>
      <c r="V36" s="714" t="s">
        <v>17</v>
      </c>
      <c r="W36" s="715">
        <f t="shared" si="11"/>
        <v>102</v>
      </c>
      <c r="X36" s="3174"/>
      <c r="Y36" s="3773"/>
      <c r="Z36" s="3175" t="str">
        <f t="shared" si="12"/>
        <v>成新度</v>
      </c>
      <c r="AA36" s="3178">
        <f t="shared" si="3"/>
        <v>1</v>
      </c>
      <c r="AB36" s="3178">
        <f t="shared" si="4"/>
        <v>1</v>
      </c>
      <c r="AC36" s="3178">
        <f t="shared" si="5"/>
        <v>0.98039215686274506</v>
      </c>
    </row>
    <row r="37" spans="1:29" s="113" customFormat="1" ht="15">
      <c r="A37" s="432"/>
      <c r="B37" s="381" t="s">
        <v>2484</v>
      </c>
      <c r="C37" s="2092" t="s">
        <v>3475</v>
      </c>
      <c r="D37" s="132">
        <v>100</v>
      </c>
      <c r="E37" s="2092" t="s">
        <v>3475</v>
      </c>
      <c r="F37" s="420">
        <f>SUMIF(112:112,E37,113:113)-SUMIF(112:112,C37,113:113)+100</f>
        <v>100</v>
      </c>
      <c r="G37" s="2092" t="s">
        <v>3475</v>
      </c>
      <c r="H37" s="394">
        <f>SUMIF(112:112,G37,113:113)-SUMIF(112:112,C37,113:113)+100</f>
        <v>100</v>
      </c>
      <c r="I37" s="2092" t="s">
        <v>3475</v>
      </c>
      <c r="J37" s="394">
        <f>SUMIF(112:112,I37,113:113)-SUMIF(112:112,C37,113:113)+100</f>
        <v>100</v>
      </c>
      <c r="K37" s="569"/>
      <c r="L37" s="2944"/>
      <c r="M37" s="2945"/>
      <c r="N37" s="2945"/>
      <c r="O37" s="2945"/>
      <c r="P37" s="3771"/>
      <c r="Q37" s="3173" t="str">
        <f t="shared" si="8"/>
        <v>市政基础设施</v>
      </c>
      <c r="R37" s="710" t="s">
        <v>17</v>
      </c>
      <c r="S37" s="711">
        <f t="shared" si="9"/>
        <v>100</v>
      </c>
      <c r="T37" s="710" t="s">
        <v>17</v>
      </c>
      <c r="U37" s="711">
        <f t="shared" si="10"/>
        <v>100</v>
      </c>
      <c r="V37" s="710" t="s">
        <v>17</v>
      </c>
      <c r="W37" s="711">
        <f t="shared" si="11"/>
        <v>100</v>
      </c>
      <c r="X37" s="712"/>
      <c r="Y37" s="3773"/>
      <c r="Z37" s="3172" t="str">
        <f t="shared" si="12"/>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771" t="s">
        <v>2386</v>
      </c>
      <c r="Q38" s="3177" t="str">
        <f t="shared" si="8"/>
        <v>业态</v>
      </c>
      <c r="R38" s="714" t="s">
        <v>17</v>
      </c>
      <c r="S38" s="715">
        <f t="shared" si="9"/>
        <v>100</v>
      </c>
      <c r="T38" s="714" t="s">
        <v>17</v>
      </c>
      <c r="U38" s="715">
        <f t="shared" si="10"/>
        <v>100</v>
      </c>
      <c r="V38" s="714" t="s">
        <v>17</v>
      </c>
      <c r="W38" s="715">
        <f t="shared" si="11"/>
        <v>100</v>
      </c>
      <c r="X38" s="3174"/>
      <c r="Y38" s="3773" t="s">
        <v>2386</v>
      </c>
      <c r="Z38" s="3175" t="str">
        <f t="shared" si="12"/>
        <v>业态</v>
      </c>
      <c r="AA38" s="3178">
        <f t="shared" si="3"/>
        <v>1</v>
      </c>
      <c r="AB38" s="3178">
        <f t="shared" si="4"/>
        <v>1</v>
      </c>
      <c r="AC38" s="3178">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771"/>
      <c r="Q39" s="3177" t="str">
        <f t="shared" si="8"/>
        <v>层高</v>
      </c>
      <c r="R39" s="714" t="s">
        <v>17</v>
      </c>
      <c r="S39" s="715">
        <f t="shared" si="9"/>
        <v>100</v>
      </c>
      <c r="T39" s="714" t="s">
        <v>17</v>
      </c>
      <c r="U39" s="715">
        <f t="shared" si="10"/>
        <v>100</v>
      </c>
      <c r="V39" s="714" t="s">
        <v>17</v>
      </c>
      <c r="W39" s="715">
        <f t="shared" si="11"/>
        <v>100</v>
      </c>
      <c r="X39" s="3174"/>
      <c r="Y39" s="3773"/>
      <c r="Z39" s="3175" t="str">
        <f t="shared" si="12"/>
        <v>层高</v>
      </c>
      <c r="AA39" s="3178">
        <f t="shared" si="3"/>
        <v>1</v>
      </c>
      <c r="AB39" s="3178">
        <f t="shared" si="4"/>
        <v>1</v>
      </c>
      <c r="AC39" s="317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771"/>
      <c r="Q40" s="3177" t="str">
        <f t="shared" si="8"/>
        <v>单套建筑面积</v>
      </c>
      <c r="R40" s="714" t="s">
        <v>17</v>
      </c>
      <c r="S40" s="715">
        <f t="shared" si="9"/>
        <v>100</v>
      </c>
      <c r="T40" s="714" t="s">
        <v>17</v>
      </c>
      <c r="U40" s="715">
        <f t="shared" si="10"/>
        <v>100</v>
      </c>
      <c r="V40" s="714" t="s">
        <v>17</v>
      </c>
      <c r="W40" s="715">
        <f t="shared" si="11"/>
        <v>100</v>
      </c>
      <c r="X40" s="3174"/>
      <c r="Y40" s="3773"/>
      <c r="Z40" s="3175" t="str">
        <f t="shared" si="12"/>
        <v>单套建筑面积</v>
      </c>
      <c r="AA40" s="3178">
        <f t="shared" si="3"/>
        <v>1</v>
      </c>
      <c r="AB40" s="3178">
        <f t="shared" si="4"/>
        <v>1</v>
      </c>
      <c r="AC40" s="3178">
        <f t="shared" si="5"/>
        <v>1</v>
      </c>
    </row>
    <row r="41" spans="1:29" s="430" customFormat="1" ht="15">
      <c r="A41" s="427"/>
      <c r="B41" s="3176"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771"/>
      <c r="Q41" s="716" t="str">
        <f t="shared" si="8"/>
        <v>进深比</v>
      </c>
      <c r="R41" s="717" t="s">
        <v>17</v>
      </c>
      <c r="S41" s="718">
        <f t="shared" si="9"/>
        <v>100</v>
      </c>
      <c r="T41" s="717" t="s">
        <v>17</v>
      </c>
      <c r="U41" s="718">
        <f t="shared" si="10"/>
        <v>100</v>
      </c>
      <c r="V41" s="717" t="s">
        <v>17</v>
      </c>
      <c r="W41" s="718">
        <f t="shared" si="11"/>
        <v>100</v>
      </c>
      <c r="X41" s="719"/>
      <c r="Y41" s="3773"/>
      <c r="Z41" s="720" t="str">
        <f t="shared" si="12"/>
        <v>进深比</v>
      </c>
      <c r="AA41" s="3178">
        <f t="shared" si="3"/>
        <v>1</v>
      </c>
      <c r="AB41" s="3178">
        <f t="shared" si="4"/>
        <v>1</v>
      </c>
      <c r="AC41" s="3178">
        <f t="shared" si="5"/>
        <v>1</v>
      </c>
    </row>
    <row r="42" spans="1:29" ht="15">
      <c r="A42" s="431"/>
      <c r="B42" s="381" t="s">
        <v>2489</v>
      </c>
      <c r="C42" s="2092" t="s">
        <v>3503</v>
      </c>
      <c r="D42" s="394">
        <v>100</v>
      </c>
      <c r="E42" s="2092" t="s">
        <v>3503</v>
      </c>
      <c r="F42" s="420">
        <f>SUMIF(122:122,E42,123:123)-SUMIF(122:122,C42,123:123)+100</f>
        <v>100</v>
      </c>
      <c r="G42" s="2092" t="s">
        <v>3503</v>
      </c>
      <c r="H42" s="394">
        <f>SUMIF(122:122,G42,123:123)-SUMIF(122:122,C42,123:123)+100</f>
        <v>100</v>
      </c>
      <c r="I42" s="2092" t="s">
        <v>3503</v>
      </c>
      <c r="J42" s="394">
        <f>SUMIF(122:122,I42,123:123)-SUMIF(122:122,C42,123:123)+100</f>
        <v>100</v>
      </c>
      <c r="K42" s="569">
        <v>2</v>
      </c>
      <c r="L42" s="2949"/>
      <c r="M42" s="2943"/>
      <c r="N42" s="2943"/>
      <c r="O42" s="2943"/>
      <c r="P42" s="3771"/>
      <c r="Q42" s="3177" t="str">
        <f t="shared" si="8"/>
        <v>内部装修</v>
      </c>
      <c r="R42" s="714" t="s">
        <v>17</v>
      </c>
      <c r="S42" s="715">
        <f t="shared" si="9"/>
        <v>100</v>
      </c>
      <c r="T42" s="714" t="s">
        <v>17</v>
      </c>
      <c r="U42" s="715">
        <f t="shared" si="10"/>
        <v>100</v>
      </c>
      <c r="V42" s="714" t="s">
        <v>17</v>
      </c>
      <c r="W42" s="715">
        <f t="shared" si="11"/>
        <v>100</v>
      </c>
      <c r="X42" s="3174"/>
      <c r="Y42" s="3773"/>
      <c r="Z42" s="3175" t="str">
        <f t="shared" si="12"/>
        <v>内部装修</v>
      </c>
      <c r="AA42" s="3178">
        <f t="shared" si="3"/>
        <v>1</v>
      </c>
      <c r="AB42" s="3178">
        <f t="shared" si="4"/>
        <v>1</v>
      </c>
      <c r="AC42" s="3178">
        <f t="shared" si="5"/>
        <v>1</v>
      </c>
    </row>
    <row r="43" spans="1:29" ht="15">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771"/>
      <c r="Q43" s="3177" t="str">
        <f t="shared" si="8"/>
        <v>内部装修维护情况</v>
      </c>
      <c r="R43" s="714" t="s">
        <v>17</v>
      </c>
      <c r="S43" s="715">
        <f t="shared" si="9"/>
        <v>100</v>
      </c>
      <c r="T43" s="714" t="s">
        <v>17</v>
      </c>
      <c r="U43" s="715">
        <f t="shared" si="10"/>
        <v>100</v>
      </c>
      <c r="V43" s="714" t="s">
        <v>17</v>
      </c>
      <c r="W43" s="715">
        <f t="shared" si="11"/>
        <v>100</v>
      </c>
      <c r="X43" s="3174"/>
      <c r="Y43" s="3773"/>
      <c r="Z43" s="3175" t="str">
        <f t="shared" si="12"/>
        <v>内部装修维护情况</v>
      </c>
      <c r="AA43" s="3178">
        <f t="shared" si="3"/>
        <v>1</v>
      </c>
      <c r="AB43" s="3178">
        <f t="shared" si="4"/>
        <v>1</v>
      </c>
      <c r="AC43" s="317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771"/>
      <c r="Q44" s="3173">
        <f t="shared" si="8"/>
        <v>111</v>
      </c>
      <c r="R44" s="710" t="s">
        <v>17</v>
      </c>
      <c r="S44" s="711">
        <f t="shared" si="9"/>
        <v>100</v>
      </c>
      <c r="T44" s="710" t="s">
        <v>17</v>
      </c>
      <c r="U44" s="711">
        <f t="shared" si="10"/>
        <v>100</v>
      </c>
      <c r="V44" s="710" t="s">
        <v>17</v>
      </c>
      <c r="W44" s="711">
        <f t="shared" si="11"/>
        <v>100</v>
      </c>
      <c r="X44" s="712"/>
      <c r="Y44" s="3773"/>
      <c r="Z44" s="3172">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771"/>
      <c r="Q45" s="3177">
        <f t="shared" si="8"/>
        <v>111</v>
      </c>
      <c r="R45" s="714" t="s">
        <v>17</v>
      </c>
      <c r="S45" s="715">
        <f t="shared" si="9"/>
        <v>100</v>
      </c>
      <c r="T45" s="714" t="s">
        <v>17</v>
      </c>
      <c r="U45" s="715">
        <f t="shared" si="10"/>
        <v>100</v>
      </c>
      <c r="V45" s="714" t="s">
        <v>17</v>
      </c>
      <c r="W45" s="715">
        <f t="shared" si="11"/>
        <v>100</v>
      </c>
      <c r="X45" s="3174"/>
      <c r="Y45" s="3773"/>
      <c r="Z45" s="3175">
        <f t="shared" si="12"/>
        <v>111</v>
      </c>
      <c r="AA45" s="3178">
        <f t="shared" si="3"/>
        <v>1</v>
      </c>
      <c r="AB45" s="3178">
        <f t="shared" si="4"/>
        <v>1</v>
      </c>
      <c r="AC45" s="317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772"/>
      <c r="Q46" s="3177">
        <f t="shared" si="8"/>
        <v>111</v>
      </c>
      <c r="R46" s="714" t="s">
        <v>17</v>
      </c>
      <c r="S46" s="715">
        <f t="shared" si="9"/>
        <v>100</v>
      </c>
      <c r="T46" s="714" t="s">
        <v>17</v>
      </c>
      <c r="U46" s="715">
        <f t="shared" si="10"/>
        <v>100</v>
      </c>
      <c r="V46" s="714" t="s">
        <v>17</v>
      </c>
      <c r="W46" s="715">
        <f t="shared" si="11"/>
        <v>100</v>
      </c>
      <c r="X46" s="3174"/>
      <c r="Y46" s="3774"/>
      <c r="Z46" s="3175">
        <f t="shared" si="12"/>
        <v>111</v>
      </c>
      <c r="AA46" s="3178">
        <f t="shared" si="3"/>
        <v>1</v>
      </c>
      <c r="AB46" s="3178">
        <f t="shared" si="4"/>
        <v>1</v>
      </c>
      <c r="AC46" s="3178">
        <f t="shared" si="5"/>
        <v>1</v>
      </c>
    </row>
    <row r="47" spans="1:29" ht="15">
      <c r="A47" s="438" t="s">
        <v>2398</v>
      </c>
      <c r="B47" s="439"/>
      <c r="C47" s="1316" t="s">
        <v>1</v>
      </c>
      <c r="D47" s="1317"/>
      <c r="E47" s="1318">
        <f>'案例-租金'!O16</f>
        <v>14</v>
      </c>
      <c r="F47" s="1319"/>
      <c r="G47" s="1320">
        <f>'案例-租金'!O17</f>
        <v>16.100000000000001</v>
      </c>
      <c r="H47" s="1321"/>
      <c r="I47" s="1318">
        <f>'案例-租金'!O19</f>
        <v>15.2</v>
      </c>
      <c r="J47" s="1321"/>
      <c r="K47" s="723"/>
      <c r="L47" s="2951"/>
      <c r="M47" s="2952"/>
      <c r="N47" s="2943"/>
      <c r="O47" s="2952"/>
      <c r="P47" s="3766" t="str">
        <f>A47</f>
        <v>成交单价（元/平方米）</v>
      </c>
      <c r="Q47" s="3766"/>
      <c r="R47" s="3797">
        <f>E47</f>
        <v>14</v>
      </c>
      <c r="S47" s="3797"/>
      <c r="T47" s="3797">
        <f>G47</f>
        <v>16.100000000000001</v>
      </c>
      <c r="U47" s="3797"/>
      <c r="V47" s="3797">
        <f>I47</f>
        <v>15.2</v>
      </c>
      <c r="W47" s="3797"/>
      <c r="X47" s="699"/>
      <c r="Y47" s="721"/>
      <c r="Z47" s="699"/>
      <c r="AA47" s="699"/>
      <c r="AB47" s="699"/>
      <c r="AC47" s="699"/>
    </row>
    <row r="48" spans="1:29" ht="15.75" thickBot="1">
      <c r="A48" s="445" t="s">
        <v>2399</v>
      </c>
      <c r="B48" s="446"/>
      <c r="C48" s="1322">
        <f>R49</f>
        <v>14.1</v>
      </c>
      <c r="D48" s="2538" t="s">
        <v>2877</v>
      </c>
      <c r="E48" s="1323">
        <f>R48</f>
        <v>13.3</v>
      </c>
      <c r="F48" s="2539"/>
      <c r="G48" s="1322">
        <f>T48</f>
        <v>15</v>
      </c>
      <c r="H48" s="2539"/>
      <c r="I48" s="1323">
        <f>V48</f>
        <v>13.9</v>
      </c>
      <c r="J48" s="2539"/>
      <c r="K48" s="2541">
        <f>F48+H48+J48</f>
        <v>0</v>
      </c>
      <c r="L48" s="2951"/>
      <c r="M48" s="2952"/>
      <c r="N48" s="2943"/>
      <c r="O48" s="2952"/>
      <c r="P48" s="3766" t="str">
        <f>A48</f>
        <v>比较价值（元/平方米）</v>
      </c>
      <c r="Q48" s="3766"/>
      <c r="R48" s="3767">
        <f>IF(F1="售价",ROUND(PRODUCT(R47,AA7:AA46),0),ROUND(PRODUCT(R47,AA7:AA46),1))</f>
        <v>13.3</v>
      </c>
      <c r="S48" s="3767"/>
      <c r="T48" s="3767">
        <f>IF(F1="售价",ROUND(PRODUCT(T47,AB7:AB46),0),ROUND(PRODUCT(T47,AB7:AB46),1))</f>
        <v>15</v>
      </c>
      <c r="U48" s="3767"/>
      <c r="V48" s="3767">
        <f>IF(F1="售价",ROUND(PRODUCT(V47,AC7:AC46),0),ROUND(PRODUCT(V47,AC7:AC46),1))</f>
        <v>13.9</v>
      </c>
      <c r="W48" s="3767"/>
      <c r="X48" s="699"/>
      <c r="Y48" s="699"/>
      <c r="Z48" s="699"/>
      <c r="AA48" s="699"/>
      <c r="AB48" s="699"/>
      <c r="AC48" s="699"/>
    </row>
    <row r="49" spans="1:29" ht="15.75" thickBot="1">
      <c r="A49" s="449" t="s">
        <v>2400</v>
      </c>
      <c r="B49" s="450"/>
      <c r="C49" s="1325">
        <f>R49</f>
        <v>14.1</v>
      </c>
      <c r="D49" s="1325"/>
      <c r="E49" s="1325"/>
      <c r="F49" s="1325"/>
      <c r="G49" s="1325"/>
      <c r="H49" s="1325"/>
      <c r="I49" s="1325"/>
      <c r="J49" s="1325"/>
      <c r="K49" s="724"/>
      <c r="L49" s="2951"/>
      <c r="M49" s="2952"/>
      <c r="N49" s="2943"/>
      <c r="O49" s="2952"/>
      <c r="P49" s="3763" t="str">
        <f>A49</f>
        <v>估价对象XX用房的比较价值（楼面单价，元/平方米）</v>
      </c>
      <c r="Q49" s="3764"/>
      <c r="R49" s="3765">
        <f>IF(F1="售价",ROUND(IF(D48="简单平均",AVERAGE(R48:V48),R48*F48+T48*H48+V48*J48),0),ROUND(IF(D48="简单平均",AVERAGE(R48:V48),R48*F48+T48*H48+V48*J48),1))</f>
        <v>14.1</v>
      </c>
      <c r="S49" s="3765"/>
      <c r="T49" s="3765"/>
      <c r="U49" s="3765"/>
      <c r="V49" s="3765"/>
      <c r="W49" s="3765"/>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5.2631578947368363E-2</v>
      </c>
      <c r="F52" s="457" t="str">
        <f>IF(OR(E52&gt;=0.3,E52&lt;=-0.3),"超过30%","")</f>
        <v/>
      </c>
      <c r="G52" s="456">
        <f>IF(G47&lt;G48,G48/G47-1,G47/G48-1)</f>
        <v>7.3333333333333472E-2</v>
      </c>
      <c r="H52" s="457" t="str">
        <f>IF(OR(G52&gt;=0.3,G52&lt;=-0.3),"超过30%","")</f>
        <v/>
      </c>
      <c r="I52" s="456">
        <f>IF(I47&lt;I48,I48/I47-1,I47/I48-1)</f>
        <v>9.3525179856114971E-2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0.1278195488721805</v>
      </c>
      <c r="F53" s="457" t="str">
        <f>IF(OR(E53&gt;=0.2,E53&lt;=-0.2),"超过20%","")</f>
        <v/>
      </c>
      <c r="G53" s="456">
        <f>IF(G48&lt;I48,I48/G48-1,G48/I48-1)</f>
        <v>7.9136690647481966E-2</v>
      </c>
      <c r="H53" s="457" t="str">
        <f>IF(OR(G53&gt;=0.2,G53&lt;=-0.2),"超过20%","")</f>
        <v/>
      </c>
      <c r="I53" s="456">
        <f>IF(I48&lt;E48,E48/I48-1,I48/E48-1)</f>
        <v>4.5112781954887105E-2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0.15000000000000013</v>
      </c>
      <c r="F54" s="457" t="str">
        <f>IF(OR(E54&gt;=0.3,E54&lt;=-0.3),"超过30%","")</f>
        <v/>
      </c>
      <c r="G54" s="456">
        <f>IF(G47&lt;I47,I47/G47-1,G47/I47-1)</f>
        <v>5.9210526315789602E-2</v>
      </c>
      <c r="H54" s="457" t="str">
        <f>IF(OR(G54&gt;=0.3,G54&lt;=-0.3),"超过30%","")</f>
        <v/>
      </c>
      <c r="I54" s="456">
        <f>IF(I47&lt;E47,E47/I47-1,I47/E47-1)</f>
        <v>8.5714285714285632E-2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v>100</v>
      </c>
      <c r="E59" s="469">
        <v>100</v>
      </c>
      <c r="F59" s="469">
        <v>99.8</v>
      </c>
      <c r="G59" s="469">
        <v>99.8</v>
      </c>
      <c r="H59" s="469">
        <v>99.8</v>
      </c>
      <c r="I59" s="469">
        <v>99.6</v>
      </c>
      <c r="J59" s="469">
        <v>99.6</v>
      </c>
      <c r="K59" s="469">
        <v>99.6</v>
      </c>
      <c r="L59" s="469">
        <v>99.4</v>
      </c>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8" t="s">
        <v>3481</v>
      </c>
      <c r="D86" s="3168" t="s">
        <v>3477</v>
      </c>
      <c r="E86" s="3168" t="s">
        <v>3478</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95</v>
      </c>
      <c r="E87" s="501">
        <f t="shared" si="16"/>
        <v>90</v>
      </c>
      <c r="F87" s="501">
        <f t="shared" si="16"/>
        <v>85</v>
      </c>
      <c r="G87" s="501">
        <f t="shared" si="16"/>
        <v>80</v>
      </c>
      <c r="H87" s="501">
        <f t="shared" si="16"/>
        <v>75</v>
      </c>
      <c r="I87" s="501">
        <f t="shared" si="16"/>
        <v>70</v>
      </c>
      <c r="J87" s="501">
        <f t="shared" si="16"/>
        <v>65</v>
      </c>
      <c r="K87" s="501">
        <f t="shared" si="16"/>
        <v>60</v>
      </c>
      <c r="L87" s="501">
        <f t="shared" si="16"/>
        <v>55</v>
      </c>
      <c r="M87" s="501">
        <f t="shared" si="16"/>
        <v>50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6" t="s">
        <v>3568</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3" t="s">
        <v>3566</v>
      </c>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101</v>
      </c>
      <c r="E104" s="493">
        <v>102</v>
      </c>
      <c r="F104" s="493">
        <v>103</v>
      </c>
      <c r="G104" s="493">
        <v>104</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6" t="s">
        <v>3559</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8" t="s">
        <v>3483</v>
      </c>
      <c r="D107" s="3168" t="s">
        <v>3484</v>
      </c>
      <c r="E107" s="3168" t="s">
        <v>3485</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2">D111+$K36</f>
        <v>104</v>
      </c>
      <c r="F111" s="501">
        <f t="shared" si="22"/>
        <v>106</v>
      </c>
      <c r="G111" s="501">
        <f t="shared" si="22"/>
        <v>108</v>
      </c>
      <c r="H111" s="501">
        <f t="shared" si="22"/>
        <v>110</v>
      </c>
      <c r="I111" s="501">
        <f t="shared" si="22"/>
        <v>112</v>
      </c>
      <c r="J111" s="501">
        <f t="shared" si="22"/>
        <v>114</v>
      </c>
      <c r="K111" s="501">
        <f t="shared" si="22"/>
        <v>116</v>
      </c>
      <c r="L111" s="501">
        <f t="shared" si="22"/>
        <v>118</v>
      </c>
      <c r="M111" s="501">
        <f t="shared" si="22"/>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6" t="s">
        <v>3560</v>
      </c>
      <c r="D112" s="3186" t="s">
        <v>3561</v>
      </c>
      <c r="E112" s="3186" t="s">
        <v>3562</v>
      </c>
      <c r="F112" s="3186" t="s">
        <v>3563</v>
      </c>
      <c r="G112" s="3186" t="s">
        <v>3564</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8" t="s">
        <v>3483</v>
      </c>
      <c r="D122" s="3168" t="s">
        <v>3484</v>
      </c>
      <c r="E122" s="3168" t="s">
        <v>3485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2 H52">
    <cfRule type="containsText" dxfId="118" priority="20"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48" xr:uid="{00000000-0002-0000-2400-000000000000}">
      <formula1>"简单平均,加权平均"</formula1>
    </dataValidation>
    <dataValidation type="list" allowBlank="1" showInputMessage="1" showErrorMessage="1" sqref="F2" xr:uid="{00000000-0002-0000-2400-000001000000}">
      <formula1>估价方法</formula1>
    </dataValidation>
    <dataValidation type="list" allowBlank="1" showInputMessage="1" showErrorMessage="1" sqref="C2" xr:uid="{00000000-0002-0000-2400-000002000000}">
      <formula1>"需扣减承租人权益,——"</formula1>
    </dataValidation>
    <dataValidation type="list" allowBlank="1" showInputMessage="1" showErrorMessage="1" sqref="F1" xr:uid="{00000000-0002-0000-2400-000003000000}">
      <formula1>"售价,租金"</formula1>
    </dataValidation>
    <dataValidation type="list" allowBlank="1" showInputMessage="1" showErrorMessage="1" sqref="C22 E22 G22 I22" xr:uid="{00000000-0002-0000-2400-000004000000}">
      <formula1>基础设施水平</formula1>
    </dataValidation>
    <dataValidation type="list" allowBlank="1" showInputMessage="1" showErrorMessage="1" sqref="C16 E16 G16 I16" xr:uid="{00000000-0002-0000-2400-000005000000}">
      <formula1>商业繁华度</formula1>
    </dataValidation>
    <dataValidation type="list" allowBlank="1" showInputMessage="1" showErrorMessage="1" sqref="C8 E8 G8 I8" xr:uid="{00000000-0002-0000-2400-000006000000}">
      <formula1>商业交易情况</formula1>
    </dataValidation>
    <dataValidation type="list" allowBlank="1" showInputMessage="1" showErrorMessage="1" sqref="C39 E39 G39 I39" xr:uid="{00000000-0002-0000-2400-000007000000}">
      <formula1>商业层高</formula1>
    </dataValidation>
    <dataValidation type="list" allowBlank="1" showInputMessage="1" showErrorMessage="1" sqref="C38 E38 G38 I38" xr:uid="{00000000-0002-0000-2400-000008000000}">
      <formula1>商业业态</formula1>
    </dataValidation>
    <dataValidation type="list" allowBlank="1" showInputMessage="1" showErrorMessage="1" sqref="E9 G9 I9" xr:uid="{00000000-0002-0000-2400-000009000000}">
      <formula1>商业用途</formula1>
    </dataValidation>
    <dataValidation type="list" allowBlank="1" showInputMessage="1" showErrorMessage="1" sqref="C42 E42 G42 I42" xr:uid="{00000000-0002-0000-2400-00000A000000}">
      <formula1>商业内部装修</formula1>
    </dataValidation>
    <dataValidation type="list" allowBlank="1" showInputMessage="1" showErrorMessage="1" sqref="C41 E41 G41 I41" xr:uid="{00000000-0002-0000-2400-00000B000000}">
      <formula1>商业进深比</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35 E35 G35 I35" xr:uid="{00000000-0002-0000-2400-00000D000000}">
      <formula1>商业公共部分装修</formula1>
    </dataValidation>
    <dataValidation type="list" allowBlank="1" showInputMessage="1" showErrorMessage="1" sqref="C34 E34 G34 I34" xr:uid="{00000000-0002-0000-2400-00000E000000}">
      <formula1>商业建筑结构</formula1>
    </dataValidation>
    <dataValidation type="list" allowBlank="1" showInputMessage="1" showErrorMessage="1" sqref="C32 E32 G32 I32" xr:uid="{00000000-0002-0000-2400-00000F000000}">
      <formula1>商业类型</formula1>
    </dataValidation>
    <dataValidation type="list" allowBlank="1" showInputMessage="1" showErrorMessage="1" sqref="C28 E28 G28 I28" xr:uid="{00000000-0002-0000-2400-000010000000}">
      <formula1>商业楼层</formula1>
    </dataValidation>
    <dataValidation type="list" allowBlank="1" showInputMessage="1" showErrorMessage="1" sqref="C27 E27 G27 I27" xr:uid="{00000000-0002-0000-2400-000011000000}">
      <formula1>商业人流量</formula1>
    </dataValidation>
    <dataValidation type="list" allowBlank="1" showInputMessage="1" showErrorMessage="1" sqref="C25 E25 G25 I25" xr:uid="{00000000-0002-0000-2400-000012000000}">
      <formula1>商业临街状况</formula1>
    </dataValidation>
    <dataValidation type="list" allowBlank="1" showInputMessage="1" showErrorMessage="1" sqref="E24 G24 I24 C24" xr:uid="{00000000-0002-0000-2400-000013000000}">
      <formula1>环境</formula1>
    </dataValidation>
    <dataValidation type="list" allowBlank="1" showInputMessage="1" showErrorMessage="1" sqref="E18 G18 I18 C18" xr:uid="{00000000-0002-0000-2400-000014000000}">
      <formula1>交通便捷度</formula1>
    </dataValidation>
    <dataValidation type="list" allowBlank="1" showInputMessage="1" showErrorMessage="1" sqref="E20 I20 G20 C20" xr:uid="{00000000-0002-0000-2400-000015000000}">
      <formula1>公共配套设施</formula1>
    </dataValidation>
    <dataValidation type="list" allowBlank="1" showInputMessage="1" showErrorMessage="1" sqref="C43 E43 G43 I43" xr:uid="{00000000-0002-0000-2400-000016000000}">
      <formula1>内部装修维护情况</formula1>
    </dataValidation>
    <dataValidation type="list" allowBlank="1" showInputMessage="1" showErrorMessage="1" sqref="D1" xr:uid="{00000000-0002-0000-2400-000017000000}">
      <formula1>项目类型</formula1>
    </dataValidation>
    <dataValidation type="list" allowBlank="1" showInputMessage="1" showErrorMessage="1" sqref="C10 E10 G10 I10" xr:uid="{00000000-0002-0000-2400-00001800000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132"/>
  <sheetViews>
    <sheetView view="pageBreakPreview" zoomScale="90" zoomScaleNormal="70" zoomScaleSheetLayoutView="90" workbookViewId="0">
      <selection activeCell="I16" sqref="I1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7.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3755</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177990</v>
      </c>
      <c r="C2" s="2067" t="s">
        <v>70</v>
      </c>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37323</v>
      </c>
      <c r="C3" s="360" t="s">
        <v>2355</v>
      </c>
      <c r="D3" s="359">
        <f>IF(D1="",'数据-汇总表'!E3,SUMIF('数据-汇总表'!$C19:$C33,D1,'数据-汇总表'!$E19:$E33))</f>
        <v>47689.05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2356</v>
      </c>
      <c r="B4" s="362"/>
      <c r="C4" s="3781" t="s">
        <v>2357</v>
      </c>
      <c r="D4" s="3782"/>
      <c r="E4" s="3783" t="s">
        <v>2358</v>
      </c>
      <c r="F4" s="3784"/>
      <c r="G4" s="3781" t="s">
        <v>2359</v>
      </c>
      <c r="H4" s="3782"/>
      <c r="I4" s="3781" t="s">
        <v>2360</v>
      </c>
      <c r="J4" s="3782"/>
      <c r="K4" s="567" t="s">
        <v>2361</v>
      </c>
      <c r="L4" s="2942"/>
      <c r="M4" s="2943"/>
      <c r="N4" s="2943"/>
      <c r="O4" s="2943"/>
      <c r="P4" s="3851" t="s">
        <v>2362</v>
      </c>
      <c r="Q4" s="3852"/>
      <c r="R4" s="3855" t="s">
        <v>2358</v>
      </c>
      <c r="S4" s="3856"/>
      <c r="T4" s="3855" t="s">
        <v>2359</v>
      </c>
      <c r="U4" s="3856"/>
      <c r="V4" s="3860" t="s">
        <v>2360</v>
      </c>
      <c r="W4" s="3860"/>
      <c r="X4" s="3179"/>
      <c r="Y4" s="3855" t="s">
        <v>2362</v>
      </c>
      <c r="Z4" s="3856"/>
      <c r="AA4" s="3861" t="s">
        <v>2358</v>
      </c>
      <c r="AB4" s="3861" t="s">
        <v>2359</v>
      </c>
      <c r="AC4" s="3848" t="s">
        <v>2360</v>
      </c>
    </row>
    <row r="5" spans="1:29" ht="15">
      <c r="A5" s="364"/>
      <c r="B5" s="365"/>
      <c r="C5" s="3846" t="s">
        <v>3756</v>
      </c>
      <c r="D5" s="3801"/>
      <c r="E5" s="3857" t="str">
        <f>'案例-销售'!B6</f>
        <v>恒基中心</v>
      </c>
      <c r="F5" s="3808"/>
      <c r="G5" s="3846" t="str">
        <f>'案例-销售'!B11</f>
        <v>北京长安街W酒店</v>
      </c>
      <c r="H5" s="3801"/>
      <c r="I5" s="3846" t="str">
        <f>'案例-销售'!B8</f>
        <v>九和大厦</v>
      </c>
      <c r="J5" s="3801"/>
      <c r="K5" s="567"/>
      <c r="L5" s="2942"/>
      <c r="M5" s="2943"/>
      <c r="N5" s="2943"/>
      <c r="O5" s="2943"/>
      <c r="P5" s="3853"/>
      <c r="Q5" s="3788"/>
      <c r="R5" s="3793"/>
      <c r="S5" s="3794"/>
      <c r="T5" s="3793"/>
      <c r="U5" s="3794"/>
      <c r="V5" s="3797"/>
      <c r="W5" s="3797"/>
      <c r="X5" s="3174"/>
      <c r="Y5" s="3793"/>
      <c r="Z5" s="3794"/>
      <c r="AA5" s="3779"/>
      <c r="AB5" s="3779"/>
      <c r="AC5" s="3849"/>
    </row>
    <row r="6" spans="1:29" ht="15.75" thickBot="1">
      <c r="A6" s="366"/>
      <c r="B6" s="367"/>
      <c r="C6" s="3847" t="s">
        <v>3482</v>
      </c>
      <c r="D6" s="3799"/>
      <c r="E6" s="3858" t="s">
        <v>4306</v>
      </c>
      <c r="F6" s="3806"/>
      <c r="G6" s="3847" t="s">
        <v>4305</v>
      </c>
      <c r="H6" s="3799"/>
      <c r="I6" s="3859" t="s">
        <v>4304</v>
      </c>
      <c r="J6" s="3799"/>
      <c r="K6" s="567" t="s">
        <v>2368</v>
      </c>
      <c r="L6" s="2942"/>
      <c r="M6" s="2943"/>
      <c r="N6" s="2943"/>
      <c r="O6" s="2943"/>
      <c r="P6" s="3854"/>
      <c r="Q6" s="3790"/>
      <c r="R6" s="3793"/>
      <c r="S6" s="3794"/>
      <c r="T6" s="3795"/>
      <c r="U6" s="3796"/>
      <c r="V6" s="3797"/>
      <c r="W6" s="3797"/>
      <c r="X6" s="3174"/>
      <c r="Y6" s="3795"/>
      <c r="Z6" s="3796"/>
      <c r="AA6" s="3780"/>
      <c r="AB6" s="3780"/>
      <c r="AC6" s="3850"/>
    </row>
    <row r="7" spans="1:29" s="113" customFormat="1" ht="15.75" thickBot="1">
      <c r="A7" s="368" t="s">
        <v>2369</v>
      </c>
      <c r="B7" s="369"/>
      <c r="C7" s="370">
        <f>'数据-取费表'!B2</f>
        <v>42914</v>
      </c>
      <c r="D7" s="371">
        <v>100</v>
      </c>
      <c r="E7" s="372">
        <v>42705</v>
      </c>
      <c r="F7" s="373">
        <f>SUMIF(59:59,YEAR(E7)&amp;"-"&amp;MONTH(E7),60:60)</f>
        <v>99</v>
      </c>
      <c r="G7" s="372">
        <v>42826</v>
      </c>
      <c r="H7" s="371">
        <f>SUMIF(59:59,YEAR(G7)&amp;"-"&amp;MONTH(G7),60:60)</f>
        <v>100</v>
      </c>
      <c r="I7" s="372">
        <v>42887</v>
      </c>
      <c r="J7" s="371">
        <f>SUMIF(59:59,YEAR(I7)&amp;"-"&amp;MONTH(I7),60:60)</f>
        <v>100</v>
      </c>
      <c r="K7" s="568"/>
      <c r="L7" s="2944"/>
      <c r="M7" s="2945"/>
      <c r="N7" s="2945"/>
      <c r="O7" s="2945"/>
      <c r="P7" s="3862" t="s">
        <v>2370</v>
      </c>
      <c r="Q7" s="3804"/>
      <c r="R7" s="710" t="s">
        <v>17</v>
      </c>
      <c r="S7" s="711">
        <f t="shared" ref="S7:S15" si="0">F7</f>
        <v>99</v>
      </c>
      <c r="T7" s="710" t="s">
        <v>17</v>
      </c>
      <c r="U7" s="711">
        <f t="shared" ref="U7:U15" si="1">H7</f>
        <v>100</v>
      </c>
      <c r="V7" s="710" t="s">
        <v>17</v>
      </c>
      <c r="W7" s="711">
        <f t="shared" ref="W7:W15" si="2">J7</f>
        <v>100</v>
      </c>
      <c r="X7" s="712"/>
      <c r="Y7" s="3802" t="s">
        <v>2370</v>
      </c>
      <c r="Z7" s="3803"/>
      <c r="AA7" s="713">
        <f>D7/F7</f>
        <v>1.0101010101010102</v>
      </c>
      <c r="AB7" s="713">
        <f>D7/H7</f>
        <v>1</v>
      </c>
      <c r="AC7" s="2145">
        <f>D7/J7</f>
        <v>1</v>
      </c>
    </row>
    <row r="8" spans="1:29" s="113" customFormat="1" ht="15.75" thickBot="1">
      <c r="A8" s="368" t="s">
        <v>2371</v>
      </c>
      <c r="B8" s="369"/>
      <c r="C8" s="374" t="s">
        <v>2408</v>
      </c>
      <c r="D8" s="371">
        <v>100</v>
      </c>
      <c r="E8" s="374" t="s">
        <v>3461</v>
      </c>
      <c r="F8" s="373">
        <f>SUMIF(62:62,E8,63:63)-SUMIF(62:62,C8,63:63)+100</f>
        <v>100</v>
      </c>
      <c r="G8" s="374" t="s">
        <v>3461</v>
      </c>
      <c r="H8" s="371">
        <f>SUMIF(62:62,G8,63:63)-SUMIF(62:62,C8,63:63)+100</f>
        <v>100</v>
      </c>
      <c r="I8" s="374" t="s">
        <v>3461</v>
      </c>
      <c r="J8" s="371">
        <f>SUMIF(62:62,I8,63:63)-SUMIF(62:62,C8,63:63)+100</f>
        <v>100</v>
      </c>
      <c r="K8" s="568"/>
      <c r="L8" s="2944"/>
      <c r="M8" s="2945"/>
      <c r="N8" s="2945"/>
      <c r="O8" s="2945"/>
      <c r="P8" s="3862" t="s">
        <v>2373</v>
      </c>
      <c r="Q8" s="3803"/>
      <c r="R8" s="710" t="s">
        <v>17</v>
      </c>
      <c r="S8" s="711">
        <f t="shared" si="0"/>
        <v>100</v>
      </c>
      <c r="T8" s="710" t="s">
        <v>17</v>
      </c>
      <c r="U8" s="711">
        <f t="shared" si="1"/>
        <v>100</v>
      </c>
      <c r="V8" s="710" t="s">
        <v>17</v>
      </c>
      <c r="W8" s="711">
        <f t="shared" si="2"/>
        <v>100</v>
      </c>
      <c r="X8" s="712"/>
      <c r="Y8" s="3802" t="s">
        <v>2373</v>
      </c>
      <c r="Z8" s="3803"/>
      <c r="AA8" s="713">
        <f t="shared" ref="AA8:AA47" si="3">D8/F8</f>
        <v>1</v>
      </c>
      <c r="AB8" s="713">
        <f t="shared" ref="AB8:AB47" si="4">D8/H8</f>
        <v>1</v>
      </c>
      <c r="AC8" s="2145">
        <f t="shared" ref="AC8:AC47" si="5">D8/J8</f>
        <v>1</v>
      </c>
    </row>
    <row r="9" spans="1:29" s="113" customFormat="1" ht="15">
      <c r="A9" s="375" t="s">
        <v>2374</v>
      </c>
      <c r="B9" s="67" t="s">
        <v>2375</v>
      </c>
      <c r="C9" s="3167" t="s">
        <v>3473</v>
      </c>
      <c r="D9" s="131">
        <v>100</v>
      </c>
      <c r="E9" s="379" t="s">
        <v>27</v>
      </c>
      <c r="F9" s="131">
        <f>SUMIF(64:64,E9,65:65)-SUMIF(64:64,C9,65:65)+100</f>
        <v>100</v>
      </c>
      <c r="G9" s="379" t="s">
        <v>4307</v>
      </c>
      <c r="H9" s="131">
        <f>SUMIF(64:64,G9,65:65)-SUMIF(64:64,C9,65:65)+100</f>
        <v>95</v>
      </c>
      <c r="I9" s="379" t="s">
        <v>27</v>
      </c>
      <c r="J9" s="131">
        <f>SUMIF(64:64,I9,65:65)-SUMIF(64:64,C9,65:65)+100</f>
        <v>100</v>
      </c>
      <c r="K9" s="568"/>
      <c r="L9" s="2944"/>
      <c r="M9" s="2945"/>
      <c r="N9" s="2945"/>
      <c r="O9" s="2945"/>
      <c r="P9" s="3777" t="s">
        <v>2376</v>
      </c>
      <c r="Q9" s="3173" t="str">
        <f t="shared" ref="Q9:Q15" si="6">B9</f>
        <v>用途</v>
      </c>
      <c r="R9" s="710" t="s">
        <v>17</v>
      </c>
      <c r="S9" s="711">
        <f t="shared" si="0"/>
        <v>100</v>
      </c>
      <c r="T9" s="710" t="s">
        <v>17</v>
      </c>
      <c r="U9" s="711">
        <f t="shared" si="1"/>
        <v>95</v>
      </c>
      <c r="V9" s="710" t="s">
        <v>17</v>
      </c>
      <c r="W9" s="711">
        <f t="shared" si="2"/>
        <v>100</v>
      </c>
      <c r="X9" s="712"/>
      <c r="Y9" s="3636" t="s">
        <v>2377</v>
      </c>
      <c r="Z9" s="3172" t="str">
        <f t="shared" ref="Z9:Z15" si="7">Q9</f>
        <v>用途</v>
      </c>
      <c r="AA9" s="713">
        <f t="shared" si="3"/>
        <v>1</v>
      </c>
      <c r="AB9" s="713">
        <f t="shared" si="4"/>
        <v>1.0526315789473684</v>
      </c>
      <c r="AC9" s="2145">
        <f t="shared" si="5"/>
        <v>1</v>
      </c>
    </row>
    <row r="10" spans="1:29" s="386" customFormat="1" ht="27.75" thickBot="1">
      <c r="A10" s="380"/>
      <c r="B10" s="381" t="s">
        <v>2378</v>
      </c>
      <c r="C10" s="382" t="s">
        <v>4330</v>
      </c>
      <c r="D10" s="132">
        <v>100</v>
      </c>
      <c r="E10" s="382" t="s">
        <v>4330</v>
      </c>
      <c r="F10" s="132">
        <f>SUMIF(66:66,E10,67:67)-SUMIF(66:66,C10,67:67)+100</f>
        <v>100</v>
      </c>
      <c r="G10" s="383" t="s">
        <v>4331</v>
      </c>
      <c r="H10" s="132">
        <f>SUMIF(66:66,G10,67:67)-SUMIF(66:66,C10,67:67)+100</f>
        <v>98</v>
      </c>
      <c r="I10" s="382" t="s">
        <v>4330</v>
      </c>
      <c r="J10" s="132">
        <f>SUMIF(66:66,I10,67:67)-SUMIF(66:66,C10,67:67)+100</f>
        <v>100</v>
      </c>
      <c r="K10" s="569">
        <v>2</v>
      </c>
      <c r="L10" s="2946"/>
      <c r="M10" s="2947"/>
      <c r="N10" s="2947"/>
      <c r="O10" s="2947"/>
      <c r="P10" s="3777"/>
      <c r="Q10" s="3173" t="str">
        <f t="shared" si="6"/>
        <v>土地使用年限（年）</v>
      </c>
      <c r="R10" s="710" t="s">
        <v>17</v>
      </c>
      <c r="S10" s="711">
        <f t="shared" si="0"/>
        <v>100</v>
      </c>
      <c r="T10" s="710" t="s">
        <v>17</v>
      </c>
      <c r="U10" s="711">
        <f t="shared" si="1"/>
        <v>98</v>
      </c>
      <c r="V10" s="710" t="s">
        <v>17</v>
      </c>
      <c r="W10" s="711">
        <f t="shared" si="2"/>
        <v>100</v>
      </c>
      <c r="X10" s="712"/>
      <c r="Y10" s="3636"/>
      <c r="Z10" s="3172" t="str">
        <f t="shared" si="7"/>
        <v>土地使用年限（年）</v>
      </c>
      <c r="AA10" s="713">
        <f t="shared" si="3"/>
        <v>1</v>
      </c>
      <c r="AB10" s="713">
        <f t="shared" si="4"/>
        <v>1.0204081632653061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77"/>
      <c r="Q11" s="3173" t="str">
        <f t="shared" si="6"/>
        <v>容积率</v>
      </c>
      <c r="R11" s="710" t="s">
        <v>17</v>
      </c>
      <c r="S11" s="711">
        <f t="shared" si="0"/>
        <v>100</v>
      </c>
      <c r="T11" s="710" t="s">
        <v>17</v>
      </c>
      <c r="U11" s="711">
        <f t="shared" si="1"/>
        <v>100</v>
      </c>
      <c r="V11" s="710" t="s">
        <v>17</v>
      </c>
      <c r="W11" s="711">
        <f t="shared" si="2"/>
        <v>100</v>
      </c>
      <c r="X11" s="712"/>
      <c r="Y11" s="3636"/>
      <c r="Z11" s="3172" t="str">
        <f t="shared" si="7"/>
        <v>容积率</v>
      </c>
      <c r="AA11" s="713">
        <f t="shared" si="3"/>
        <v>1</v>
      </c>
      <c r="AB11" s="713">
        <f t="shared" si="4"/>
        <v>1</v>
      </c>
      <c r="AC11" s="2145">
        <f t="shared" si="5"/>
        <v>1</v>
      </c>
    </row>
    <row r="12" spans="1:29" s="113" customFormat="1" ht="15" hidden="1">
      <c r="A12" s="390"/>
      <c r="B12" s="3315" t="s">
        <v>4207</v>
      </c>
      <c r="C12" s="3313" t="s">
        <v>4208</v>
      </c>
      <c r="D12" s="392">
        <v>100</v>
      </c>
      <c r="E12" s="3313" t="s">
        <v>4208</v>
      </c>
      <c r="F12" s="132">
        <f>SUMIF(71:71,E12,72:72)-SUMIF(71:71,C12,72:72)+100</f>
        <v>100</v>
      </c>
      <c r="G12" s="3313" t="s">
        <v>4208</v>
      </c>
      <c r="H12" s="132">
        <f>SUMIF(71:71,G12,72:72)-SUMIF(71:71,C12,72:72)+100</f>
        <v>100</v>
      </c>
      <c r="I12" s="3313" t="s">
        <v>4208</v>
      </c>
      <c r="J12" s="132">
        <f>SUMIF(71:71,I12,72:72)-SUMIF(71:71,C12,72:72)+100</f>
        <v>100</v>
      </c>
      <c r="K12" s="570"/>
      <c r="L12" s="2944"/>
      <c r="M12" s="2945"/>
      <c r="N12" s="2945"/>
      <c r="O12" s="2945"/>
      <c r="P12" s="3777"/>
      <c r="Q12" s="3173" t="str">
        <f t="shared" si="6"/>
        <v>产权</v>
      </c>
      <c r="R12" s="710" t="s">
        <v>17</v>
      </c>
      <c r="S12" s="711">
        <f t="shared" si="0"/>
        <v>100</v>
      </c>
      <c r="T12" s="710" t="s">
        <v>17</v>
      </c>
      <c r="U12" s="711">
        <f t="shared" si="1"/>
        <v>100</v>
      </c>
      <c r="V12" s="710" t="s">
        <v>17</v>
      </c>
      <c r="W12" s="711">
        <f t="shared" si="2"/>
        <v>100</v>
      </c>
      <c r="X12" s="712"/>
      <c r="Y12" s="3636"/>
      <c r="Z12" s="3172" t="str">
        <f t="shared" si="7"/>
        <v>产权</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777"/>
      <c r="Q13" s="3173">
        <f t="shared" si="6"/>
        <v>111</v>
      </c>
      <c r="R13" s="710" t="s">
        <v>17</v>
      </c>
      <c r="S13" s="711">
        <f t="shared" si="0"/>
        <v>100</v>
      </c>
      <c r="T13" s="710" t="s">
        <v>17</v>
      </c>
      <c r="U13" s="711">
        <f t="shared" si="1"/>
        <v>100</v>
      </c>
      <c r="V13" s="710" t="s">
        <v>17</v>
      </c>
      <c r="W13" s="711">
        <f t="shared" si="2"/>
        <v>100</v>
      </c>
      <c r="X13" s="712"/>
      <c r="Y13" s="3636"/>
      <c r="Z13" s="3172">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77"/>
      <c r="Q14" s="3173">
        <f t="shared" si="6"/>
        <v>111</v>
      </c>
      <c r="R14" s="710" t="s">
        <v>17</v>
      </c>
      <c r="S14" s="711">
        <f t="shared" si="0"/>
        <v>100</v>
      </c>
      <c r="T14" s="710" t="s">
        <v>17</v>
      </c>
      <c r="U14" s="711">
        <f t="shared" si="1"/>
        <v>100</v>
      </c>
      <c r="V14" s="710" t="s">
        <v>17</v>
      </c>
      <c r="W14" s="711">
        <f t="shared" si="2"/>
        <v>100</v>
      </c>
      <c r="X14" s="712"/>
      <c r="Y14" s="3636"/>
      <c r="Z14" s="3172">
        <f t="shared" si="7"/>
        <v>111</v>
      </c>
      <c r="AA14" s="713">
        <f t="shared" si="3"/>
        <v>1</v>
      </c>
      <c r="AB14" s="713">
        <f t="shared" si="4"/>
        <v>1</v>
      </c>
      <c r="AC14" s="2145">
        <f t="shared" si="5"/>
        <v>1</v>
      </c>
    </row>
    <row r="15" spans="1:29" ht="40.9"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434" t="s">
        <v>4203</v>
      </c>
      <c r="F15" s="400">
        <f>SUMIF(77:77,E16,78:78)-SUMIF(77:77,C16,78:78)+100</f>
        <v>100</v>
      </c>
      <c r="G15" s="3434" t="s">
        <v>4210</v>
      </c>
      <c r="H15" s="400">
        <f>SUMIF(77:77,G16,78:78)-SUMIF(77:77,C16,78:78)+100</f>
        <v>100</v>
      </c>
      <c r="I15" s="3225" t="s">
        <v>4264</v>
      </c>
      <c r="J15" s="400">
        <f>SUMIF(77:77,I16,78:78)-SUMIF(77:77,C16,78:78)+100</f>
        <v>100</v>
      </c>
      <c r="K15" s="571">
        <v>5</v>
      </c>
      <c r="L15" s="2949"/>
      <c r="M15" s="2943"/>
      <c r="N15" s="2943"/>
      <c r="O15" s="2943"/>
      <c r="P15" s="3775" t="s">
        <v>2381</v>
      </c>
      <c r="Q15" s="3177" t="str">
        <f t="shared" si="6"/>
        <v>办公集聚程度</v>
      </c>
      <c r="R15" s="714" t="s">
        <v>17</v>
      </c>
      <c r="S15" s="715">
        <f t="shared" si="0"/>
        <v>100</v>
      </c>
      <c r="T15" s="714" t="s">
        <v>17</v>
      </c>
      <c r="U15" s="715">
        <f t="shared" si="1"/>
        <v>100</v>
      </c>
      <c r="V15" s="714" t="s">
        <v>17</v>
      </c>
      <c r="W15" s="715">
        <f t="shared" si="2"/>
        <v>100</v>
      </c>
      <c r="X15" s="3174"/>
      <c r="Y15" s="3768" t="s">
        <v>2381</v>
      </c>
      <c r="Z15" s="3175" t="str">
        <f t="shared" si="7"/>
        <v>办公集聚程度</v>
      </c>
      <c r="AA15" s="3178">
        <f t="shared" si="3"/>
        <v>1</v>
      </c>
      <c r="AB15" s="3178">
        <f t="shared" si="4"/>
        <v>1</v>
      </c>
      <c r="AC15" s="2148">
        <f t="shared" si="5"/>
        <v>1</v>
      </c>
    </row>
    <row r="16" spans="1:29" ht="15">
      <c r="A16" s="387"/>
      <c r="B16" s="586"/>
      <c r="C16" s="2090" t="s">
        <v>3474</v>
      </c>
      <c r="D16" s="407"/>
      <c r="E16" s="406" t="s">
        <v>3474</v>
      </c>
      <c r="F16" s="407"/>
      <c r="G16" s="406" t="s">
        <v>3474</v>
      </c>
      <c r="H16" s="409"/>
      <c r="I16" s="406" t="s">
        <v>3474</v>
      </c>
      <c r="J16" s="407"/>
      <c r="K16" s="572"/>
      <c r="L16" s="2949"/>
      <c r="M16" s="2943"/>
      <c r="N16" s="2943"/>
      <c r="O16" s="2943"/>
      <c r="P16" s="3776"/>
      <c r="Q16" s="3177"/>
      <c r="R16" s="714"/>
      <c r="S16" s="715"/>
      <c r="T16" s="714"/>
      <c r="U16" s="715"/>
      <c r="V16" s="714"/>
      <c r="W16" s="715"/>
      <c r="X16" s="3174"/>
      <c r="Y16" s="3769"/>
      <c r="Z16" s="3175"/>
      <c r="AA16" s="3178">
        <v>1</v>
      </c>
      <c r="AB16" s="3178">
        <v>1</v>
      </c>
      <c r="AC16" s="2148">
        <v>1</v>
      </c>
    </row>
    <row r="17" spans="1:29" ht="78.599999999999994"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435" t="s">
        <v>4209</v>
      </c>
      <c r="F17" s="409">
        <f>SUMIF(79:79,E18,80:80)-SUMIF(79:79,C18,80:80)+100</f>
        <v>97</v>
      </c>
      <c r="G17" s="3435" t="s">
        <v>4214</v>
      </c>
      <c r="H17" s="414">
        <f>SUMIF(79:79,G18,80:80)-SUMIF(79:79,C18,80:80)+100</f>
        <v>97</v>
      </c>
      <c r="I17" s="3226" t="s">
        <v>4162</v>
      </c>
      <c r="J17" s="414">
        <f>SUMIF(79:79,I18,80:80)-SUMIF(79:79,C18,80:80)+100</f>
        <v>100</v>
      </c>
      <c r="K17" s="571">
        <v>3</v>
      </c>
      <c r="L17" s="2949"/>
      <c r="M17" s="2943"/>
      <c r="N17" s="2943"/>
      <c r="O17" s="2943"/>
      <c r="P17" s="3776"/>
      <c r="Q17" s="3177" t="str">
        <f>B17</f>
        <v>交通便捷度</v>
      </c>
      <c r="R17" s="714" t="s">
        <v>17</v>
      </c>
      <c r="S17" s="715">
        <f>F17</f>
        <v>97</v>
      </c>
      <c r="T17" s="714" t="s">
        <v>17</v>
      </c>
      <c r="U17" s="715">
        <f>H17</f>
        <v>97</v>
      </c>
      <c r="V17" s="714" t="s">
        <v>17</v>
      </c>
      <c r="W17" s="715">
        <f>J17</f>
        <v>100</v>
      </c>
      <c r="X17" s="3174"/>
      <c r="Y17" s="3769"/>
      <c r="Z17" s="3175" t="str">
        <f>Q17</f>
        <v>交通便捷度</v>
      </c>
      <c r="AA17" s="3178">
        <f t="shared" si="3"/>
        <v>1.0309278350515463</v>
      </c>
      <c r="AB17" s="3178">
        <f t="shared" si="4"/>
        <v>1.0309278350515463</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776"/>
      <c r="Q18" s="3177"/>
      <c r="R18" s="714"/>
      <c r="S18" s="715"/>
      <c r="T18" s="714"/>
      <c r="U18" s="715"/>
      <c r="V18" s="714"/>
      <c r="W18" s="715"/>
      <c r="X18" s="3174"/>
      <c r="Y18" s="3769"/>
      <c r="Z18" s="3175"/>
      <c r="AA18" s="3178">
        <v>1</v>
      </c>
      <c r="AB18" s="3178">
        <v>1</v>
      </c>
      <c r="AC18" s="2148">
        <v>1</v>
      </c>
    </row>
    <row r="19" spans="1:29" ht="68.4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436" t="s">
        <v>4204</v>
      </c>
      <c r="F19" s="414">
        <f>SUMIF(81:81,E20,82:82)-SUMIF(81:81,C20,82:82)+100</f>
        <v>100</v>
      </c>
      <c r="G19" s="3436" t="s">
        <v>4205</v>
      </c>
      <c r="H19" s="409">
        <f>SUMIF(81:81,G20,82:82)-SUMIF(81:81,C20,82:82)+100</f>
        <v>100</v>
      </c>
      <c r="I19" s="3224" t="s">
        <v>4156</v>
      </c>
      <c r="J19" s="409">
        <f>SUMIF(81:81,I20,82:82)-SUMIF(81:81,C20,82:82)+100</f>
        <v>100</v>
      </c>
      <c r="K19" s="571">
        <v>3</v>
      </c>
      <c r="L19" s="2949"/>
      <c r="M19" s="2943"/>
      <c r="N19" s="2943"/>
      <c r="O19" s="2943"/>
      <c r="P19" s="3776"/>
      <c r="Q19" s="3177" t="str">
        <f>B19</f>
        <v>公共配套设施</v>
      </c>
      <c r="R19" s="714" t="s">
        <v>17</v>
      </c>
      <c r="S19" s="715">
        <f>F19</f>
        <v>100</v>
      </c>
      <c r="T19" s="714" t="s">
        <v>17</v>
      </c>
      <c r="U19" s="715">
        <f>H19</f>
        <v>100</v>
      </c>
      <c r="V19" s="714" t="s">
        <v>17</v>
      </c>
      <c r="W19" s="715">
        <f>J19</f>
        <v>100</v>
      </c>
      <c r="X19" s="3174"/>
      <c r="Y19" s="3769"/>
      <c r="Z19" s="3175" t="str">
        <f>Q19</f>
        <v>公共配套设施</v>
      </c>
      <c r="AA19" s="3178">
        <f t="shared" si="3"/>
        <v>1</v>
      </c>
      <c r="AB19" s="3178">
        <f t="shared" si="4"/>
        <v>1</v>
      </c>
      <c r="AC19" s="2148">
        <f t="shared" si="5"/>
        <v>1</v>
      </c>
    </row>
    <row r="20" spans="1:29" ht="16.5">
      <c r="A20" s="387"/>
      <c r="B20" s="588"/>
      <c r="C20" s="2090" t="s">
        <v>3094</v>
      </c>
      <c r="D20" s="407"/>
      <c r="E20" s="3400" t="s">
        <v>3094</v>
      </c>
      <c r="F20" s="407"/>
      <c r="G20" s="2150" t="s">
        <v>3094</v>
      </c>
      <c r="H20" s="407"/>
      <c r="I20" s="2150" t="s">
        <v>3094</v>
      </c>
      <c r="J20" s="407"/>
      <c r="K20" s="572"/>
      <c r="L20" s="2949"/>
      <c r="M20" s="2943"/>
      <c r="N20" s="2943"/>
      <c r="O20" s="2943"/>
      <c r="P20" s="3776"/>
      <c r="Q20" s="3177"/>
      <c r="R20" s="714"/>
      <c r="S20" s="715"/>
      <c r="T20" s="714"/>
      <c r="U20" s="715"/>
      <c r="V20" s="714"/>
      <c r="W20" s="715"/>
      <c r="X20" s="3174"/>
      <c r="Y20" s="3769"/>
      <c r="Z20" s="3175"/>
      <c r="AA20" s="3178">
        <v>1</v>
      </c>
      <c r="AB20" s="3178">
        <v>1</v>
      </c>
      <c r="AC20" s="2148">
        <v>1</v>
      </c>
    </row>
    <row r="21" spans="1:29" ht="18.600000000000001"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776"/>
      <c r="Q21" s="3177" t="str">
        <f>B21</f>
        <v>基础设施水平</v>
      </c>
      <c r="R21" s="714" t="s">
        <v>17</v>
      </c>
      <c r="S21" s="715">
        <f>F21</f>
        <v>100</v>
      </c>
      <c r="T21" s="714" t="s">
        <v>17</v>
      </c>
      <c r="U21" s="715">
        <f>H21</f>
        <v>100</v>
      </c>
      <c r="V21" s="714" t="s">
        <v>17</v>
      </c>
      <c r="W21" s="715">
        <f>J21</f>
        <v>100</v>
      </c>
      <c r="X21" s="3174"/>
      <c r="Y21" s="3769"/>
      <c r="Z21" s="3175" t="str">
        <f>Q21</f>
        <v>基础设施水平</v>
      </c>
      <c r="AA21" s="3178">
        <f>D21/F21</f>
        <v>1</v>
      </c>
      <c r="AB21" s="3178">
        <f>D21/H21</f>
        <v>1</v>
      </c>
      <c r="AC21" s="2148">
        <f>D21/J21</f>
        <v>1</v>
      </c>
    </row>
    <row r="22" spans="1:29" ht="15">
      <c r="A22" s="387"/>
      <c r="B22" s="589"/>
      <c r="C22" s="2150" t="s">
        <v>3475</v>
      </c>
      <c r="D22" s="407"/>
      <c r="E22" s="2150" t="s">
        <v>3475</v>
      </c>
      <c r="F22" s="407"/>
      <c r="G22" s="2150" t="s">
        <v>3475</v>
      </c>
      <c r="H22" s="407"/>
      <c r="I22" s="2150" t="s">
        <v>3475</v>
      </c>
      <c r="J22" s="407"/>
      <c r="K22" s="1292"/>
      <c r="L22" s="2949"/>
      <c r="M22" s="2943"/>
      <c r="N22" s="2943"/>
      <c r="O22" s="2943"/>
      <c r="P22" s="3776"/>
      <c r="Q22" s="3177"/>
      <c r="R22" s="714"/>
      <c r="S22" s="715"/>
      <c r="T22" s="714"/>
      <c r="U22" s="715"/>
      <c r="V22" s="714"/>
      <c r="W22" s="715"/>
      <c r="X22" s="3174"/>
      <c r="Y22" s="3769"/>
      <c r="Z22" s="3175"/>
      <c r="AA22" s="3178">
        <v>1</v>
      </c>
      <c r="AB22" s="3178">
        <v>1</v>
      </c>
      <c r="AC22" s="2148">
        <v>1</v>
      </c>
    </row>
    <row r="23" spans="1:29" ht="34.9" customHeight="1">
      <c r="A23" s="387"/>
      <c r="B23" s="587" t="s">
        <v>2511</v>
      </c>
      <c r="C23" s="2149" t="str">
        <f>估价对象房地状况!C9</f>
        <v>周边有隆福寺广场、东四清真寺等，自然及人文环境较好</v>
      </c>
      <c r="D23" s="409">
        <v>100</v>
      </c>
      <c r="E23" s="3437" t="s">
        <v>3765</v>
      </c>
      <c r="F23" s="409">
        <f>SUMIF(85:85,E24,86:86)-SUMIF(85:85,C24,86:86)+100</f>
        <v>100</v>
      </c>
      <c r="G23" s="3437" t="s">
        <v>3765</v>
      </c>
      <c r="H23" s="409">
        <f>SUMIF(85:85,G24,86:86)-SUMIF(85:85,C24,86:86)+100</f>
        <v>100</v>
      </c>
      <c r="I23" s="3223" t="s">
        <v>4157</v>
      </c>
      <c r="J23" s="409">
        <f>SUMIF(85:85,I24,86:86)-SUMIF(85:85,C24,86:86)+100</f>
        <v>100</v>
      </c>
      <c r="K23" s="571">
        <v>2</v>
      </c>
      <c r="L23" s="2949"/>
      <c r="M23" s="2943"/>
      <c r="N23" s="2943"/>
      <c r="O23" s="2943"/>
      <c r="P23" s="3776"/>
      <c r="Q23" s="3177" t="str">
        <f>B23</f>
        <v>环境质量</v>
      </c>
      <c r="R23" s="714" t="s">
        <v>17</v>
      </c>
      <c r="S23" s="715">
        <f>F23</f>
        <v>100</v>
      </c>
      <c r="T23" s="714" t="s">
        <v>17</v>
      </c>
      <c r="U23" s="715">
        <f>H23</f>
        <v>100</v>
      </c>
      <c r="V23" s="714" t="s">
        <v>17</v>
      </c>
      <c r="W23" s="715">
        <f>J23</f>
        <v>100</v>
      </c>
      <c r="X23" s="3174"/>
      <c r="Y23" s="3769"/>
      <c r="Z23" s="3175" t="str">
        <f>Q23</f>
        <v>环境质量</v>
      </c>
      <c r="AA23" s="3178">
        <f t="shared" si="3"/>
        <v>1</v>
      </c>
      <c r="AB23" s="3178">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776"/>
      <c r="Q24" s="3177"/>
      <c r="R24" s="714"/>
      <c r="S24" s="715"/>
      <c r="T24" s="714"/>
      <c r="U24" s="715"/>
      <c r="V24" s="714"/>
      <c r="W24" s="715"/>
      <c r="X24" s="3174"/>
      <c r="Y24" s="3769"/>
      <c r="Z24" s="3175"/>
      <c r="AA24" s="3178">
        <v>1</v>
      </c>
      <c r="AB24" s="3178">
        <v>1</v>
      </c>
      <c r="AC24" s="2148">
        <v>1</v>
      </c>
    </row>
    <row r="25" spans="1:29" ht="27">
      <c r="A25" s="364"/>
      <c r="B25" s="587" t="s">
        <v>2512</v>
      </c>
      <c r="C25" s="3169" t="s">
        <v>3479</v>
      </c>
      <c r="D25" s="394">
        <v>100</v>
      </c>
      <c r="E25" s="3438" t="s">
        <v>629</v>
      </c>
      <c r="F25" s="394">
        <f>SUMIF(87:87,E26,88:88)-SUMIF(87:87,C26,88:88)+100</f>
        <v>97.5</v>
      </c>
      <c r="G25" s="3438" t="s">
        <v>689</v>
      </c>
      <c r="H25" s="394">
        <f>SUMIF(87:87,G26,88:88)-SUMIF(87:87,C26,88:88)+100</f>
        <v>100</v>
      </c>
      <c r="I25" s="3170" t="s">
        <v>4155</v>
      </c>
      <c r="J25" s="394">
        <f>SUMIF(87:87,I26,88:88)-SUMIF(87:87,C26,88:88)+100</f>
        <v>97.5</v>
      </c>
      <c r="K25" s="571">
        <v>2.5</v>
      </c>
      <c r="L25" s="2949"/>
      <c r="M25" s="2943"/>
      <c r="N25" s="2943"/>
      <c r="O25" s="2943"/>
      <c r="P25" s="3776"/>
      <c r="Q25" s="3177" t="str">
        <f>B25</f>
        <v>毗邻道路的类型与等级</v>
      </c>
      <c r="R25" s="714" t="s">
        <v>17</v>
      </c>
      <c r="S25" s="715">
        <f>F25</f>
        <v>97.5</v>
      </c>
      <c r="T25" s="714" t="s">
        <v>17</v>
      </c>
      <c r="U25" s="715">
        <f>H25</f>
        <v>100</v>
      </c>
      <c r="V25" s="714" t="s">
        <v>17</v>
      </c>
      <c r="W25" s="715">
        <f>J25</f>
        <v>97.5</v>
      </c>
      <c r="X25" s="3174"/>
      <c r="Y25" s="3769"/>
      <c r="Z25" s="3175" t="str">
        <f>Q25</f>
        <v>毗邻道路的类型与等级</v>
      </c>
      <c r="AA25" s="3178">
        <f t="shared" si="3"/>
        <v>1.0256410256410255</v>
      </c>
      <c r="AB25" s="3178">
        <f t="shared" si="4"/>
        <v>1</v>
      </c>
      <c r="AC25" s="2148">
        <f t="shared" si="5"/>
        <v>1.0256410256410255</v>
      </c>
    </row>
    <row r="26" spans="1:29" ht="15">
      <c r="A26" s="364"/>
      <c r="B26" s="588"/>
      <c r="C26" s="590" t="s">
        <v>3476</v>
      </c>
      <c r="D26" s="394"/>
      <c r="E26" s="573" t="s">
        <v>3763</v>
      </c>
      <c r="F26" s="394"/>
      <c r="G26" s="573" t="s">
        <v>3476</v>
      </c>
      <c r="H26" s="394"/>
      <c r="I26" s="573" t="s">
        <v>3763</v>
      </c>
      <c r="J26" s="394"/>
      <c r="K26" s="572"/>
      <c r="L26" s="2949"/>
      <c r="M26" s="2943"/>
      <c r="N26" s="2943"/>
      <c r="O26" s="2943"/>
      <c r="P26" s="3776"/>
      <c r="Q26" s="3177"/>
      <c r="R26" s="714"/>
      <c r="S26" s="715"/>
      <c r="T26" s="714"/>
      <c r="U26" s="715"/>
      <c r="V26" s="714"/>
      <c r="W26" s="715"/>
      <c r="X26" s="3174"/>
      <c r="Y26" s="3769"/>
      <c r="Z26" s="3175"/>
      <c r="AA26" s="3178">
        <v>1</v>
      </c>
      <c r="AB26" s="3178">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776"/>
      <c r="Q27" s="3177" t="str">
        <f t="shared" ref="Q27:Q47" si="8">B27</f>
        <v>楼层</v>
      </c>
      <c r="R27" s="714" t="s">
        <v>17</v>
      </c>
      <c r="S27" s="715">
        <f>F27</f>
        <v>100</v>
      </c>
      <c r="T27" s="714" t="s">
        <v>17</v>
      </c>
      <c r="U27" s="715">
        <f>H27</f>
        <v>100</v>
      </c>
      <c r="V27" s="714" t="s">
        <v>17</v>
      </c>
      <c r="W27" s="715">
        <f>J27</f>
        <v>100</v>
      </c>
      <c r="X27" s="3174"/>
      <c r="Y27" s="3769"/>
      <c r="Z27" s="3175" t="str">
        <f>Q27</f>
        <v>楼层</v>
      </c>
      <c r="AA27" s="3178">
        <f t="shared" si="3"/>
        <v>1</v>
      </c>
      <c r="AB27" s="3178">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776"/>
      <c r="Q28" s="3173" t="str">
        <f t="shared" si="8"/>
        <v>朝向</v>
      </c>
      <c r="R28" s="710" t="s">
        <v>17</v>
      </c>
      <c r="S28" s="711">
        <f>F28</f>
        <v>100</v>
      </c>
      <c r="T28" s="710" t="s">
        <v>17</v>
      </c>
      <c r="U28" s="711">
        <f>H28</f>
        <v>100</v>
      </c>
      <c r="V28" s="710" t="s">
        <v>17</v>
      </c>
      <c r="W28" s="711">
        <f>J28</f>
        <v>100</v>
      </c>
      <c r="X28" s="712"/>
      <c r="Y28" s="3769"/>
      <c r="Z28" s="3172" t="str">
        <f>Q28</f>
        <v>朝向</v>
      </c>
      <c r="AA28" s="3178">
        <f>D28/F28</f>
        <v>1</v>
      </c>
      <c r="AB28" s="3178">
        <f>D28/H28</f>
        <v>1</v>
      </c>
      <c r="AC28" s="2148">
        <f>D28/J28</f>
        <v>1</v>
      </c>
    </row>
    <row r="29" spans="1:29" ht="15">
      <c r="A29" s="387"/>
      <c r="B29" s="3439" t="s">
        <v>4211</v>
      </c>
      <c r="C29" s="3169" t="s">
        <v>4212</v>
      </c>
      <c r="D29" s="394">
        <v>100</v>
      </c>
      <c r="E29" s="3313" t="s">
        <v>4212</v>
      </c>
      <c r="F29" s="394">
        <f>SUMIF(93:93,E29,94:94)-SUMIF(93:93,C29,94:94)+100</f>
        <v>100</v>
      </c>
      <c r="G29" s="3314" t="s">
        <v>4213</v>
      </c>
      <c r="H29" s="394">
        <f>SUMIF(93:93,G29,94:94)-SUMIF(93:93,C29,94:94)+100</f>
        <v>90</v>
      </c>
      <c r="I29" s="3313" t="s">
        <v>4212</v>
      </c>
      <c r="J29" s="394">
        <f>SUMIF(93:93,I29,94:94)-SUMIF(93:93,C29,94:94)+100</f>
        <v>100</v>
      </c>
      <c r="K29" s="570"/>
      <c r="L29" s="2949"/>
      <c r="M29" s="2943"/>
      <c r="N29" s="2943"/>
      <c r="O29" s="2943"/>
      <c r="P29" s="3776"/>
      <c r="Q29" s="3177" t="str">
        <f t="shared" si="8"/>
        <v>外部可视性</v>
      </c>
      <c r="R29" s="714" t="s">
        <v>17</v>
      </c>
      <c r="S29" s="715">
        <f t="shared" ref="S29:S47" si="9">F29</f>
        <v>100</v>
      </c>
      <c r="T29" s="714" t="s">
        <v>17</v>
      </c>
      <c r="U29" s="715">
        <f t="shared" ref="U29:U47" si="10">H29</f>
        <v>90</v>
      </c>
      <c r="V29" s="714" t="s">
        <v>17</v>
      </c>
      <c r="W29" s="715">
        <f t="shared" ref="W29:W47" si="11">J29</f>
        <v>100</v>
      </c>
      <c r="X29" s="3174"/>
      <c r="Y29" s="3769"/>
      <c r="Z29" s="3175" t="str">
        <f t="shared" ref="Z29:Z47" si="12">Q29</f>
        <v>外部可视性</v>
      </c>
      <c r="AA29" s="3178">
        <f t="shared" si="3"/>
        <v>1</v>
      </c>
      <c r="AB29" s="3178">
        <f t="shared" si="4"/>
        <v>1.1111111111111112</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776"/>
      <c r="Q30" s="3177">
        <f t="shared" si="8"/>
        <v>111</v>
      </c>
      <c r="R30" s="714" t="s">
        <v>17</v>
      </c>
      <c r="S30" s="715">
        <f t="shared" si="9"/>
        <v>100</v>
      </c>
      <c r="T30" s="714" t="s">
        <v>17</v>
      </c>
      <c r="U30" s="715">
        <f t="shared" si="10"/>
        <v>100</v>
      </c>
      <c r="V30" s="714" t="s">
        <v>17</v>
      </c>
      <c r="W30" s="715">
        <f t="shared" si="11"/>
        <v>100</v>
      </c>
      <c r="X30" s="3174"/>
      <c r="Y30" s="3769"/>
      <c r="Z30" s="3175">
        <f t="shared" si="12"/>
        <v>111</v>
      </c>
      <c r="AA30" s="3178">
        <f t="shared" si="3"/>
        <v>1</v>
      </c>
      <c r="AB30" s="317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776"/>
      <c r="Q31" s="3177">
        <f t="shared" si="8"/>
        <v>111</v>
      </c>
      <c r="R31" s="714" t="s">
        <v>17</v>
      </c>
      <c r="S31" s="715">
        <f t="shared" si="9"/>
        <v>100</v>
      </c>
      <c r="T31" s="714" t="s">
        <v>17</v>
      </c>
      <c r="U31" s="715">
        <f t="shared" si="10"/>
        <v>100</v>
      </c>
      <c r="V31" s="714" t="s">
        <v>17</v>
      </c>
      <c r="W31" s="715">
        <f t="shared" si="11"/>
        <v>100</v>
      </c>
      <c r="X31" s="3174"/>
      <c r="Y31" s="3769"/>
      <c r="Z31" s="3175">
        <f t="shared" si="12"/>
        <v>111</v>
      </c>
      <c r="AA31" s="3178">
        <f t="shared" si="3"/>
        <v>1</v>
      </c>
      <c r="AB31" s="317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776"/>
      <c r="Q32" s="3177">
        <f t="shared" si="8"/>
        <v>111</v>
      </c>
      <c r="R32" s="714" t="s">
        <v>17</v>
      </c>
      <c r="S32" s="715">
        <f t="shared" si="9"/>
        <v>100</v>
      </c>
      <c r="T32" s="714" t="s">
        <v>17</v>
      </c>
      <c r="U32" s="715">
        <f t="shared" si="10"/>
        <v>100</v>
      </c>
      <c r="V32" s="714" t="s">
        <v>17</v>
      </c>
      <c r="W32" s="715">
        <f t="shared" si="11"/>
        <v>100</v>
      </c>
      <c r="X32" s="3174"/>
      <c r="Y32" s="3769"/>
      <c r="Z32" s="3175">
        <f t="shared" si="12"/>
        <v>111</v>
      </c>
      <c r="AA32" s="3178">
        <f t="shared" si="3"/>
        <v>1</v>
      </c>
      <c r="AB32" s="3178">
        <f t="shared" si="4"/>
        <v>1</v>
      </c>
      <c r="AC32" s="2148">
        <f t="shared" si="5"/>
        <v>1</v>
      </c>
    </row>
    <row r="33" spans="1:29" ht="15">
      <c r="A33" s="399" t="s">
        <v>2384</v>
      </c>
      <c r="B33" s="67" t="s">
        <v>2514</v>
      </c>
      <c r="C33" s="2153" t="s">
        <v>4201</v>
      </c>
      <c r="D33" s="426">
        <v>100</v>
      </c>
      <c r="E33" s="2153" t="s">
        <v>4201</v>
      </c>
      <c r="F33" s="420">
        <f>SUMIF(101:101,E33,102:102)-SUMIF(101:101,C33,102:102)+100</f>
        <v>100</v>
      </c>
      <c r="G33" s="2153" t="s">
        <v>4201</v>
      </c>
      <c r="H33" s="394">
        <f>SUMIF(101:101,G33,102:102)-SUMIF(101:101,C33,102:102)+100</f>
        <v>100</v>
      </c>
      <c r="I33" s="2153" t="s">
        <v>4201</v>
      </c>
      <c r="J33" s="426">
        <f>SUMIF(101:101,I33,102:102)-SUMIF(101:101,C33,102:102)+100</f>
        <v>100</v>
      </c>
      <c r="K33" s="569">
        <v>5</v>
      </c>
      <c r="L33" s="2949"/>
      <c r="M33" s="2943"/>
      <c r="N33" s="2943"/>
      <c r="O33" s="2943"/>
      <c r="P33" s="3770" t="s">
        <v>2386</v>
      </c>
      <c r="Q33" s="3177" t="str">
        <f t="shared" si="8"/>
        <v>建筑类型</v>
      </c>
      <c r="R33" s="714" t="s">
        <v>17</v>
      </c>
      <c r="S33" s="715">
        <f t="shared" si="9"/>
        <v>100</v>
      </c>
      <c r="T33" s="714" t="s">
        <v>17</v>
      </c>
      <c r="U33" s="715">
        <f t="shared" si="10"/>
        <v>100</v>
      </c>
      <c r="V33" s="714" t="s">
        <v>17</v>
      </c>
      <c r="W33" s="715">
        <f t="shared" si="11"/>
        <v>100</v>
      </c>
      <c r="X33" s="3174"/>
      <c r="Y33" s="3773" t="s">
        <v>2386</v>
      </c>
      <c r="Z33" s="3175" t="str">
        <f t="shared" si="12"/>
        <v>建筑类型</v>
      </c>
      <c r="AA33" s="3178">
        <f t="shared" si="3"/>
        <v>1</v>
      </c>
      <c r="AB33" s="3178">
        <f t="shared" si="4"/>
        <v>1</v>
      </c>
      <c r="AC33" s="2148">
        <f t="shared" si="5"/>
        <v>1</v>
      </c>
    </row>
    <row r="34" spans="1:29" s="430" customFormat="1" ht="15">
      <c r="A34" s="427"/>
      <c r="B34" s="381" t="s">
        <v>2387</v>
      </c>
      <c r="C34" s="428">
        <f>面积表及结果!H20</f>
        <v>46189.05</v>
      </c>
      <c r="D34" s="132">
        <v>100</v>
      </c>
      <c r="E34" s="3171">
        <f>'案例-销售'!I6</f>
        <v>85690.34</v>
      </c>
      <c r="F34" s="384">
        <f>LOOKUP(E34,104:104,105:105)-LOOKUP(C34,104:104,105:105)+100</f>
        <v>101</v>
      </c>
      <c r="G34" s="388">
        <f>'案例-销售'!I11</f>
        <v>62805</v>
      </c>
      <c r="H34" s="132">
        <f>LOOKUP(G34,104:104,105:105)-LOOKUP(C34,104:104,105:105)+100</f>
        <v>100.5</v>
      </c>
      <c r="I34" s="388">
        <f>'案例-销售'!I8</f>
        <v>17558</v>
      </c>
      <c r="J34" s="132">
        <f>LOOKUP(I34,104:104,105:105)-LOOKUP(C34,104:104,105:105)+100</f>
        <v>99</v>
      </c>
      <c r="K34" s="570"/>
      <c r="L34" s="2948"/>
      <c r="M34" s="2950"/>
      <c r="N34" s="2950"/>
      <c r="O34" s="2950"/>
      <c r="P34" s="3771"/>
      <c r="Q34" s="716" t="str">
        <f t="shared" si="8"/>
        <v>项目建筑规模</v>
      </c>
      <c r="R34" s="717" t="s">
        <v>17</v>
      </c>
      <c r="S34" s="718">
        <f t="shared" si="9"/>
        <v>101</v>
      </c>
      <c r="T34" s="717" t="s">
        <v>17</v>
      </c>
      <c r="U34" s="718">
        <f t="shared" si="10"/>
        <v>100.5</v>
      </c>
      <c r="V34" s="717" t="s">
        <v>17</v>
      </c>
      <c r="W34" s="718">
        <f t="shared" si="11"/>
        <v>99</v>
      </c>
      <c r="X34" s="719"/>
      <c r="Y34" s="3773"/>
      <c r="Z34" s="720" t="str">
        <f t="shared" si="12"/>
        <v>项目建筑规模</v>
      </c>
      <c r="AA34" s="3178">
        <f t="shared" si="3"/>
        <v>0.99009900990099009</v>
      </c>
      <c r="AB34" s="3178">
        <f t="shared" si="4"/>
        <v>0.99502487562189057</v>
      </c>
      <c r="AC34" s="2148">
        <f t="shared" si="5"/>
        <v>1.0101010101010102</v>
      </c>
    </row>
    <row r="35" spans="1:29" ht="15">
      <c r="A35" s="431"/>
      <c r="B35" s="381" t="s">
        <v>2388</v>
      </c>
      <c r="C35" s="419" t="s">
        <v>3499</v>
      </c>
      <c r="D35" s="394">
        <v>100</v>
      </c>
      <c r="E35" s="419" t="s">
        <v>3499</v>
      </c>
      <c r="F35" s="420">
        <f>SUMIF(106:106,E35,107:107)-SUMIF(106:106,C35,107:107)+100</f>
        <v>100</v>
      </c>
      <c r="G35" s="419" t="s">
        <v>3499</v>
      </c>
      <c r="H35" s="394">
        <f>SUMIF(106:106,G35,107:107)-SUMIF(106:106,C35,107:107)+100</f>
        <v>100</v>
      </c>
      <c r="I35" s="419" t="s">
        <v>3499</v>
      </c>
      <c r="J35" s="394">
        <f>SUMIF(106:106,I35,107:107)-SUMIF(106:106,C35,107:107)+100</f>
        <v>100</v>
      </c>
      <c r="K35" s="569">
        <v>2</v>
      </c>
      <c r="L35" s="2949"/>
      <c r="M35" s="2943"/>
      <c r="N35" s="2943"/>
      <c r="O35" s="2943"/>
      <c r="P35" s="3771"/>
      <c r="Q35" s="3177" t="str">
        <f t="shared" si="8"/>
        <v>建筑结构</v>
      </c>
      <c r="R35" s="714" t="s">
        <v>17</v>
      </c>
      <c r="S35" s="715">
        <f t="shared" si="9"/>
        <v>100</v>
      </c>
      <c r="T35" s="714" t="s">
        <v>17</v>
      </c>
      <c r="U35" s="715">
        <f t="shared" si="10"/>
        <v>100</v>
      </c>
      <c r="V35" s="714" t="s">
        <v>17</v>
      </c>
      <c r="W35" s="715">
        <f t="shared" si="11"/>
        <v>100</v>
      </c>
      <c r="X35" s="3174"/>
      <c r="Y35" s="3773"/>
      <c r="Z35" s="3175" t="str">
        <f t="shared" si="12"/>
        <v>建筑结构</v>
      </c>
      <c r="AA35" s="3178">
        <f t="shared" si="3"/>
        <v>1</v>
      </c>
      <c r="AB35" s="3178">
        <f t="shared" si="4"/>
        <v>1</v>
      </c>
      <c r="AC35" s="2148">
        <f t="shared" si="5"/>
        <v>1</v>
      </c>
    </row>
    <row r="36" spans="1:29" ht="15">
      <c r="A36" s="431"/>
      <c r="B36" s="381" t="s">
        <v>2482</v>
      </c>
      <c r="C36" s="419" t="s">
        <v>3503</v>
      </c>
      <c r="D36" s="394">
        <v>100</v>
      </c>
      <c r="E36" s="419" t="s">
        <v>3500</v>
      </c>
      <c r="F36" s="420">
        <f>SUMIF(108:108,E36,109:109)-SUMIF(108:108,C36,109:109)+100</f>
        <v>107</v>
      </c>
      <c r="G36" s="419" t="s">
        <v>3500</v>
      </c>
      <c r="H36" s="394">
        <f>SUMIF(108:108,G36,109:109)-SUMIF(108:108,C36,109:109)+100</f>
        <v>107</v>
      </c>
      <c r="I36" s="419" t="s">
        <v>3500</v>
      </c>
      <c r="J36" s="394">
        <f>SUMIF(108:108,I36,109:109)-SUMIF(108:108,C36,109:109)+100</f>
        <v>107</v>
      </c>
      <c r="K36" s="569">
        <v>3.5</v>
      </c>
      <c r="L36" s="2949"/>
      <c r="M36" s="2943"/>
      <c r="N36" s="2943"/>
      <c r="O36" s="2943"/>
      <c r="P36" s="3771"/>
      <c r="Q36" s="3177" t="str">
        <f t="shared" si="8"/>
        <v>公共部分装修</v>
      </c>
      <c r="R36" s="714" t="s">
        <v>17</v>
      </c>
      <c r="S36" s="715">
        <f t="shared" si="9"/>
        <v>107</v>
      </c>
      <c r="T36" s="714" t="s">
        <v>17</v>
      </c>
      <c r="U36" s="715">
        <f t="shared" si="10"/>
        <v>107</v>
      </c>
      <c r="V36" s="714" t="s">
        <v>17</v>
      </c>
      <c r="W36" s="715">
        <f t="shared" si="11"/>
        <v>107</v>
      </c>
      <c r="X36" s="3174"/>
      <c r="Y36" s="3773"/>
      <c r="Z36" s="3175" t="str">
        <f t="shared" si="12"/>
        <v>公共部分装修</v>
      </c>
      <c r="AA36" s="3178">
        <f t="shared" si="3"/>
        <v>0.93457943925233644</v>
      </c>
      <c r="AB36" s="3178">
        <f t="shared" si="4"/>
        <v>0.93457943925233644</v>
      </c>
      <c r="AC36" s="2148">
        <f t="shared" si="5"/>
        <v>0.93457943925233644</v>
      </c>
    </row>
    <row r="37" spans="1:29" ht="15">
      <c r="A37" s="431"/>
      <c r="B37" s="381" t="s">
        <v>2483</v>
      </c>
      <c r="C37" s="433">
        <v>0.8</v>
      </c>
      <c r="D37" s="394">
        <v>100</v>
      </c>
      <c r="E37" s="433">
        <v>0.8</v>
      </c>
      <c r="F37" s="420">
        <f>LOOKUP(E37,111:111,112:112)-LOOKUP(C37,111:111,112:112)+100</f>
        <v>100</v>
      </c>
      <c r="G37" s="433">
        <v>0.8</v>
      </c>
      <c r="H37" s="420">
        <f>LOOKUP(G37,111:111,112:112)-LOOKUP(C37,111:111,112:112)+100</f>
        <v>100</v>
      </c>
      <c r="I37" s="433">
        <v>1</v>
      </c>
      <c r="J37" s="394">
        <f>LOOKUP(I37,111:111,112:112)-LOOKUP(C37,111:111,112:112)+100</f>
        <v>103</v>
      </c>
      <c r="K37" s="569">
        <v>3</v>
      </c>
      <c r="L37" s="2949"/>
      <c r="M37" s="2943"/>
      <c r="N37" s="2943"/>
      <c r="O37" s="2943"/>
      <c r="P37" s="3771"/>
      <c r="Q37" s="3177" t="str">
        <f t="shared" si="8"/>
        <v>成新度</v>
      </c>
      <c r="R37" s="714" t="s">
        <v>17</v>
      </c>
      <c r="S37" s="715">
        <f t="shared" si="9"/>
        <v>100</v>
      </c>
      <c r="T37" s="714" t="s">
        <v>17</v>
      </c>
      <c r="U37" s="715">
        <f t="shared" si="10"/>
        <v>100</v>
      </c>
      <c r="V37" s="714" t="s">
        <v>17</v>
      </c>
      <c r="W37" s="715">
        <f t="shared" si="11"/>
        <v>103</v>
      </c>
      <c r="X37" s="3174"/>
      <c r="Y37" s="3773"/>
      <c r="Z37" s="3175" t="str">
        <f t="shared" si="12"/>
        <v>成新度</v>
      </c>
      <c r="AA37" s="3178">
        <f t="shared" si="3"/>
        <v>1</v>
      </c>
      <c r="AB37" s="3178">
        <f t="shared" si="4"/>
        <v>1</v>
      </c>
      <c r="AC37" s="2148">
        <f t="shared" si="5"/>
        <v>0.970873786407767</v>
      </c>
    </row>
    <row r="38" spans="1:29" s="113" customFormat="1" ht="15">
      <c r="A38" s="432"/>
      <c r="B38" s="381" t="s">
        <v>2515</v>
      </c>
      <c r="C38" s="419" t="s">
        <v>3501</v>
      </c>
      <c r="D38" s="132">
        <v>100</v>
      </c>
      <c r="E38" s="419" t="s">
        <v>3501</v>
      </c>
      <c r="F38" s="420">
        <f>SUMIF(113:113,E38,114:114)-SUMIF(113:113,C38,114:114)+100</f>
        <v>100</v>
      </c>
      <c r="G38" s="419" t="s">
        <v>3501</v>
      </c>
      <c r="H38" s="394">
        <f>SUMIF(113:113,G38,114:114)-SUMIF(113:113,C38,114:114)+100</f>
        <v>100</v>
      </c>
      <c r="I38" s="419" t="s">
        <v>3501</v>
      </c>
      <c r="J38" s="394">
        <f>SUMIF(113:113,I38,114:114)-SUMIF(113:113,C38,114:114)+100</f>
        <v>100</v>
      </c>
      <c r="K38" s="569">
        <v>2</v>
      </c>
      <c r="L38" s="2944"/>
      <c r="M38" s="2945"/>
      <c r="N38" s="2945"/>
      <c r="O38" s="2945"/>
      <c r="P38" s="3771"/>
      <c r="Q38" s="3173" t="str">
        <f t="shared" si="8"/>
        <v>写字楼等级</v>
      </c>
      <c r="R38" s="710" t="s">
        <v>17</v>
      </c>
      <c r="S38" s="711">
        <f t="shared" si="9"/>
        <v>100</v>
      </c>
      <c r="T38" s="710" t="s">
        <v>17</v>
      </c>
      <c r="U38" s="711">
        <f t="shared" si="10"/>
        <v>100</v>
      </c>
      <c r="V38" s="710" t="s">
        <v>17</v>
      </c>
      <c r="W38" s="711">
        <f t="shared" si="11"/>
        <v>100</v>
      </c>
      <c r="X38" s="712"/>
      <c r="Y38" s="3773"/>
      <c r="Z38" s="3172" t="str">
        <f t="shared" si="12"/>
        <v>写字楼等级</v>
      </c>
      <c r="AA38" s="713">
        <f t="shared" si="3"/>
        <v>1</v>
      </c>
      <c r="AB38" s="713">
        <f t="shared" si="4"/>
        <v>1</v>
      </c>
      <c r="AC38" s="2145">
        <f t="shared" si="5"/>
        <v>1</v>
      </c>
    </row>
    <row r="39" spans="1:29" ht="15">
      <c r="A39" s="431"/>
      <c r="B39" s="381" t="s">
        <v>2516</v>
      </c>
      <c r="C39" s="419" t="s">
        <v>3557</v>
      </c>
      <c r="D39" s="394">
        <v>100</v>
      </c>
      <c r="E39" s="419" t="s">
        <v>3502</v>
      </c>
      <c r="F39" s="420">
        <f>SUMIF(115:115,E39,116:116)-SUMIF(115:115,C39,116:116)+100</f>
        <v>100</v>
      </c>
      <c r="G39" s="419" t="s">
        <v>3502</v>
      </c>
      <c r="H39" s="394">
        <f>SUMIF(115:115,G39,116:116)-SUMIF(115:115,C39,116:116)+100</f>
        <v>100</v>
      </c>
      <c r="I39" s="419" t="s">
        <v>3502</v>
      </c>
      <c r="J39" s="394">
        <f>SUMIF(115:115,I39,116:116)-SUMIF(115:115,C39,116:116)+100</f>
        <v>100</v>
      </c>
      <c r="K39" s="569">
        <v>0</v>
      </c>
      <c r="L39" s="2949"/>
      <c r="M39" s="2943"/>
      <c r="N39" s="2943"/>
      <c r="O39" s="2943"/>
      <c r="P39" s="3771" t="s">
        <v>2386</v>
      </c>
      <c r="Q39" s="3177" t="str">
        <f t="shared" si="8"/>
        <v>物业管理</v>
      </c>
      <c r="R39" s="714" t="s">
        <v>17</v>
      </c>
      <c r="S39" s="715">
        <f t="shared" si="9"/>
        <v>100</v>
      </c>
      <c r="T39" s="714" t="s">
        <v>17</v>
      </c>
      <c r="U39" s="715">
        <f t="shared" si="10"/>
        <v>100</v>
      </c>
      <c r="V39" s="714" t="s">
        <v>17</v>
      </c>
      <c r="W39" s="715">
        <f t="shared" si="11"/>
        <v>100</v>
      </c>
      <c r="X39" s="3174"/>
      <c r="Y39" s="3773" t="s">
        <v>2386</v>
      </c>
      <c r="Z39" s="3175" t="str">
        <f t="shared" si="12"/>
        <v>物业管理</v>
      </c>
      <c r="AA39" s="3178">
        <f t="shared" si="3"/>
        <v>1</v>
      </c>
      <c r="AB39" s="3178">
        <f t="shared" si="4"/>
        <v>1</v>
      </c>
      <c r="AC39" s="2148">
        <f t="shared" si="5"/>
        <v>1</v>
      </c>
    </row>
    <row r="40" spans="1:29" ht="15">
      <c r="A40" s="431"/>
      <c r="B40" s="381" t="s">
        <v>2484</v>
      </c>
      <c r="C40" s="419" t="s">
        <v>3475</v>
      </c>
      <c r="D40" s="394">
        <v>100</v>
      </c>
      <c r="E40" s="419" t="s">
        <v>3475</v>
      </c>
      <c r="F40" s="420">
        <f>SUMIF(117:117,E40,118:118)-SUMIF(117:117,C40,118:118)+100</f>
        <v>100</v>
      </c>
      <c r="G40" s="419" t="s">
        <v>3475</v>
      </c>
      <c r="H40" s="394">
        <f>SUMIF(117:117,G40,118:118)-SUMIF(117:117,C40,118:118)+100</f>
        <v>100</v>
      </c>
      <c r="I40" s="419" t="s">
        <v>3475</v>
      </c>
      <c r="J40" s="394">
        <f>SUMIF(117:117,I40,118:118)-SUMIF(117:117,C40,118:118)+100</f>
        <v>100</v>
      </c>
      <c r="K40" s="569">
        <v>2</v>
      </c>
      <c r="L40" s="2949"/>
      <c r="M40" s="2943"/>
      <c r="N40" s="2943"/>
      <c r="O40" s="2943"/>
      <c r="P40" s="3771"/>
      <c r="Q40" s="3177" t="str">
        <f t="shared" si="8"/>
        <v>市政基础设施</v>
      </c>
      <c r="R40" s="714" t="s">
        <v>17</v>
      </c>
      <c r="S40" s="715">
        <f t="shared" si="9"/>
        <v>100</v>
      </c>
      <c r="T40" s="714" t="s">
        <v>17</v>
      </c>
      <c r="U40" s="715">
        <f t="shared" si="10"/>
        <v>100</v>
      </c>
      <c r="V40" s="714" t="s">
        <v>17</v>
      </c>
      <c r="W40" s="715">
        <f t="shared" si="11"/>
        <v>100</v>
      </c>
      <c r="X40" s="3174"/>
      <c r="Y40" s="3773"/>
      <c r="Z40" s="3175" t="str">
        <f t="shared" si="12"/>
        <v>市政基础设施</v>
      </c>
      <c r="AA40" s="3178">
        <f t="shared" si="3"/>
        <v>1</v>
      </c>
      <c r="AB40" s="3178">
        <f t="shared" si="4"/>
        <v>1</v>
      </c>
      <c r="AC40" s="2148">
        <f t="shared" si="5"/>
        <v>1</v>
      </c>
    </row>
    <row r="41" spans="1:29" ht="15">
      <c r="A41" s="431"/>
      <c r="B41" s="381" t="s">
        <v>2486</v>
      </c>
      <c r="C41" s="573">
        <v>2.5</v>
      </c>
      <c r="D41" s="394">
        <v>100</v>
      </c>
      <c r="E41" s="573">
        <v>2.75</v>
      </c>
      <c r="F41" s="420">
        <f>SUMIF(119:119,E41,120:120)-SUMIF(119:119,C41,120:120)+100</f>
        <v>100</v>
      </c>
      <c r="G41" s="573">
        <v>3</v>
      </c>
      <c r="H41" s="394">
        <f>SUMIF(119:119,G41,120:120)-SUMIF(119:119,C41,120:120)+100</f>
        <v>100</v>
      </c>
      <c r="I41" s="573">
        <v>3</v>
      </c>
      <c r="J41" s="394">
        <f>SUMIF(119:119,I41,120:120)-SUMIF(119:119,C41,120:120)+100</f>
        <v>100</v>
      </c>
      <c r="K41" s="569">
        <v>0</v>
      </c>
      <c r="L41" s="2949"/>
      <c r="M41" s="2943"/>
      <c r="N41" s="2943"/>
      <c r="O41" s="2943"/>
      <c r="P41" s="3771"/>
      <c r="Q41" s="3177" t="str">
        <f t="shared" si="8"/>
        <v>层高</v>
      </c>
      <c r="R41" s="714" t="s">
        <v>17</v>
      </c>
      <c r="S41" s="715">
        <f t="shared" si="9"/>
        <v>100</v>
      </c>
      <c r="T41" s="714" t="s">
        <v>17</v>
      </c>
      <c r="U41" s="715">
        <f t="shared" si="10"/>
        <v>100</v>
      </c>
      <c r="V41" s="714" t="s">
        <v>17</v>
      </c>
      <c r="W41" s="715">
        <f t="shared" si="11"/>
        <v>100</v>
      </c>
      <c r="X41" s="3174"/>
      <c r="Y41" s="3773"/>
      <c r="Z41" s="3175" t="str">
        <f t="shared" si="12"/>
        <v>层高</v>
      </c>
      <c r="AA41" s="3178">
        <f t="shared" si="3"/>
        <v>1</v>
      </c>
      <c r="AB41" s="3178">
        <f t="shared" si="4"/>
        <v>1</v>
      </c>
      <c r="AC41" s="2148">
        <f t="shared" si="5"/>
        <v>1</v>
      </c>
    </row>
    <row r="42" spans="1:29" s="430" customFormat="1" ht="15">
      <c r="A42" s="427"/>
      <c r="B42" s="3394" t="s">
        <v>4153</v>
      </c>
      <c r="C42" s="393">
        <f>'数据-基础表'!I21</f>
        <v>3684.9</v>
      </c>
      <c r="D42" s="394">
        <v>100</v>
      </c>
      <c r="E42" s="393">
        <v>1020.87</v>
      </c>
      <c r="F42" s="420">
        <f>SUMIF(121:121,E42,122:122)-SUMIF(121:121,C42,122:122)+100</f>
        <v>100</v>
      </c>
      <c r="G42" s="393">
        <v>1867.59</v>
      </c>
      <c r="H42" s="394">
        <f>SUMIF(121:121,G42,122:122)-SUMIF(121:121,C42,122:122)+100</f>
        <v>100</v>
      </c>
      <c r="I42" s="393">
        <v>1200</v>
      </c>
      <c r="J42" s="394">
        <f>SUMIF(121:121,I42,122:122)-SUMIF(121:121,C42,122:122)+100</f>
        <v>100</v>
      </c>
      <c r="K42" s="570"/>
      <c r="L42" s="2948"/>
      <c r="M42" s="2950"/>
      <c r="N42" s="2950"/>
      <c r="O42" s="2950"/>
      <c r="P42" s="3771"/>
      <c r="Q42" s="716" t="str">
        <f t="shared" si="8"/>
        <v>标准层面积</v>
      </c>
      <c r="R42" s="717" t="s">
        <v>17</v>
      </c>
      <c r="S42" s="718">
        <f t="shared" si="9"/>
        <v>100</v>
      </c>
      <c r="T42" s="717" t="s">
        <v>17</v>
      </c>
      <c r="U42" s="718">
        <f t="shared" si="10"/>
        <v>100</v>
      </c>
      <c r="V42" s="717" t="s">
        <v>17</v>
      </c>
      <c r="W42" s="718">
        <f t="shared" si="11"/>
        <v>100</v>
      </c>
      <c r="X42" s="719"/>
      <c r="Y42" s="3773"/>
      <c r="Z42" s="720" t="str">
        <f t="shared" si="12"/>
        <v>标准层面积</v>
      </c>
      <c r="AA42" s="3178">
        <f t="shared" si="3"/>
        <v>1</v>
      </c>
      <c r="AB42" s="3178">
        <f t="shared" si="4"/>
        <v>1</v>
      </c>
      <c r="AC42" s="2148">
        <f t="shared" si="5"/>
        <v>1</v>
      </c>
    </row>
    <row r="43" spans="1:29" ht="15">
      <c r="A43" s="431"/>
      <c r="B43" s="381" t="s">
        <v>2489</v>
      </c>
      <c r="C43" s="419" t="s">
        <v>3503</v>
      </c>
      <c r="D43" s="394">
        <v>100</v>
      </c>
      <c r="E43" s="419" t="s">
        <v>3503</v>
      </c>
      <c r="F43" s="420">
        <f>SUMIF(123:123,E43,124:124)-SUMIF(123:123,C43,124:124)+100</f>
        <v>100</v>
      </c>
      <c r="G43" s="419" t="s">
        <v>3503</v>
      </c>
      <c r="H43" s="394">
        <f>SUMIF(123:123,G43,124:124)-SUMIF(123:123,C43,124:124)+100</f>
        <v>100</v>
      </c>
      <c r="I43" s="419" t="s">
        <v>3503</v>
      </c>
      <c r="J43" s="394">
        <f>SUMIF(123:123,I43,124:124)-SUMIF(123:123,C43,124:124)+100</f>
        <v>100</v>
      </c>
      <c r="K43" s="569">
        <v>1</v>
      </c>
      <c r="L43" s="2949"/>
      <c r="M43" s="2943"/>
      <c r="N43" s="2943"/>
      <c r="O43" s="2943"/>
      <c r="P43" s="3771"/>
      <c r="Q43" s="3177" t="str">
        <f t="shared" si="8"/>
        <v>内部装修</v>
      </c>
      <c r="R43" s="714" t="s">
        <v>17</v>
      </c>
      <c r="S43" s="715">
        <f t="shared" si="9"/>
        <v>100</v>
      </c>
      <c r="T43" s="714" t="s">
        <v>17</v>
      </c>
      <c r="U43" s="715">
        <f t="shared" si="10"/>
        <v>100</v>
      </c>
      <c r="V43" s="714" t="s">
        <v>17</v>
      </c>
      <c r="W43" s="715">
        <f t="shared" si="11"/>
        <v>100</v>
      </c>
      <c r="X43" s="3174"/>
      <c r="Y43" s="3773"/>
      <c r="Z43" s="3175" t="str">
        <f t="shared" si="12"/>
        <v>内部装修</v>
      </c>
      <c r="AA43" s="3178">
        <f t="shared" si="3"/>
        <v>1</v>
      </c>
      <c r="AB43" s="3178">
        <f t="shared" si="4"/>
        <v>1</v>
      </c>
      <c r="AC43" s="2148">
        <f t="shared" si="5"/>
        <v>1</v>
      </c>
    </row>
    <row r="44" spans="1:29" ht="15">
      <c r="A44" s="431"/>
      <c r="B44" s="381"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771"/>
      <c r="Q44" s="3177" t="str">
        <f t="shared" si="8"/>
        <v>内部装修维护情况</v>
      </c>
      <c r="R44" s="714" t="s">
        <v>17</v>
      </c>
      <c r="S44" s="715">
        <f t="shared" si="9"/>
        <v>100</v>
      </c>
      <c r="T44" s="714" t="s">
        <v>17</v>
      </c>
      <c r="U44" s="715">
        <f t="shared" si="10"/>
        <v>100</v>
      </c>
      <c r="V44" s="714" t="s">
        <v>17</v>
      </c>
      <c r="W44" s="715">
        <f t="shared" si="11"/>
        <v>100</v>
      </c>
      <c r="X44" s="3174"/>
      <c r="Y44" s="3773"/>
      <c r="Z44" s="3175" t="str">
        <f t="shared" si="12"/>
        <v>内部装修维护情况</v>
      </c>
      <c r="AA44" s="3178">
        <f t="shared" si="3"/>
        <v>1</v>
      </c>
      <c r="AB44" s="3178">
        <f t="shared" si="4"/>
        <v>1</v>
      </c>
      <c r="AC44" s="2148">
        <f t="shared" si="5"/>
        <v>1</v>
      </c>
    </row>
    <row r="45" spans="1:29" s="113" customFormat="1" ht="15">
      <c r="A45" s="432"/>
      <c r="B45" s="3154"/>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771"/>
      <c r="Q45" s="3173">
        <f t="shared" si="8"/>
        <v>0</v>
      </c>
      <c r="R45" s="710" t="s">
        <v>17</v>
      </c>
      <c r="S45" s="711">
        <f t="shared" si="9"/>
        <v>100</v>
      </c>
      <c r="T45" s="710" t="s">
        <v>17</v>
      </c>
      <c r="U45" s="711">
        <f t="shared" si="10"/>
        <v>100</v>
      </c>
      <c r="V45" s="710" t="s">
        <v>17</v>
      </c>
      <c r="W45" s="711">
        <f t="shared" si="11"/>
        <v>100</v>
      </c>
      <c r="X45" s="712"/>
      <c r="Y45" s="3773"/>
      <c r="Z45" s="3172">
        <f t="shared" si="12"/>
        <v>0</v>
      </c>
      <c r="AA45" s="713">
        <f t="shared" si="3"/>
        <v>1</v>
      </c>
      <c r="AB45" s="713">
        <f t="shared" si="4"/>
        <v>1</v>
      </c>
      <c r="AC45" s="2145">
        <f t="shared" si="5"/>
        <v>1</v>
      </c>
    </row>
    <row r="46" spans="1:29" ht="15">
      <c r="A46" s="431"/>
      <c r="B46" s="3154"/>
      <c r="C46" s="3184"/>
      <c r="D46" s="394">
        <v>100</v>
      </c>
      <c r="E46" s="3184"/>
      <c r="F46" s="420">
        <f>SUMIF(129:129,E46,130:130)-SUMIF(129:129,C46,130:130)+100</f>
        <v>100</v>
      </c>
      <c r="G46" s="3184"/>
      <c r="H46" s="394">
        <f>SUMIF(129:129,G46,130:130)-SUMIF(129:129,C46,130:130)+100</f>
        <v>100</v>
      </c>
      <c r="I46" s="3184"/>
      <c r="J46" s="394">
        <f>SUMIF(129:129,I46,130:130)-SUMIF(129:129,C46,130:130)+100</f>
        <v>100</v>
      </c>
      <c r="K46" s="570"/>
      <c r="L46" s="2949"/>
      <c r="M46" s="2943"/>
      <c r="N46" s="2943"/>
      <c r="O46" s="2943"/>
      <c r="P46" s="3771"/>
      <c r="Q46" s="3177">
        <f t="shared" si="8"/>
        <v>0</v>
      </c>
      <c r="R46" s="714" t="s">
        <v>17</v>
      </c>
      <c r="S46" s="715">
        <f t="shared" si="9"/>
        <v>100</v>
      </c>
      <c r="T46" s="714" t="s">
        <v>17</v>
      </c>
      <c r="U46" s="715">
        <f t="shared" si="10"/>
        <v>100</v>
      </c>
      <c r="V46" s="714" t="s">
        <v>17</v>
      </c>
      <c r="W46" s="715">
        <f t="shared" si="11"/>
        <v>100</v>
      </c>
      <c r="X46" s="3174"/>
      <c r="Y46" s="3773"/>
      <c r="Z46" s="3175">
        <f t="shared" si="12"/>
        <v>0</v>
      </c>
      <c r="AA46" s="3178">
        <f t="shared" si="3"/>
        <v>1</v>
      </c>
      <c r="AB46" s="317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772"/>
      <c r="Q47" s="3177">
        <f t="shared" si="8"/>
        <v>111</v>
      </c>
      <c r="R47" s="714" t="s">
        <v>17</v>
      </c>
      <c r="S47" s="715">
        <f t="shared" si="9"/>
        <v>100</v>
      </c>
      <c r="T47" s="714" t="s">
        <v>17</v>
      </c>
      <c r="U47" s="715">
        <f t="shared" si="10"/>
        <v>100</v>
      </c>
      <c r="V47" s="714" t="s">
        <v>17</v>
      </c>
      <c r="W47" s="715">
        <f t="shared" si="11"/>
        <v>100</v>
      </c>
      <c r="X47" s="3174"/>
      <c r="Y47" s="3774"/>
      <c r="Z47" s="3175">
        <f t="shared" si="12"/>
        <v>111</v>
      </c>
      <c r="AA47" s="3178">
        <f t="shared" si="3"/>
        <v>1</v>
      </c>
      <c r="AB47" s="3178">
        <f t="shared" si="4"/>
        <v>1</v>
      </c>
      <c r="AC47" s="2148">
        <f t="shared" si="5"/>
        <v>1</v>
      </c>
    </row>
    <row r="48" spans="1:29" ht="15">
      <c r="A48" s="438" t="s">
        <v>2398</v>
      </c>
      <c r="B48" s="439"/>
      <c r="C48" s="1316" t="s">
        <v>1</v>
      </c>
      <c r="D48" s="1317"/>
      <c r="E48" s="3398">
        <f>'案例-销售'!M6</f>
        <v>35010</v>
      </c>
      <c r="F48" s="1319"/>
      <c r="G48" s="3399">
        <f>'案例-销售'!M11</f>
        <v>31590</v>
      </c>
      <c r="H48" s="1321"/>
      <c r="I48" s="3398">
        <f>'案例-销售'!M8</f>
        <v>43855</v>
      </c>
      <c r="J48" s="444"/>
      <c r="K48" s="723"/>
      <c r="L48" s="2951"/>
      <c r="M48" s="2943"/>
      <c r="N48" s="2943"/>
      <c r="O48" s="2943"/>
      <c r="P48" s="3777" t="str">
        <f>A48</f>
        <v>成交单价（元/平方米）</v>
      </c>
      <c r="Q48" s="3766"/>
      <c r="R48" s="3767">
        <f>E48</f>
        <v>35010</v>
      </c>
      <c r="S48" s="3767"/>
      <c r="T48" s="3767">
        <f>G48</f>
        <v>31590</v>
      </c>
      <c r="U48" s="3767"/>
      <c r="V48" s="3767">
        <f>I48</f>
        <v>43855</v>
      </c>
      <c r="W48" s="3767"/>
      <c r="X48" s="405"/>
      <c r="Y48" s="721"/>
      <c r="Z48" s="405"/>
      <c r="AA48" s="405"/>
      <c r="AB48" s="405"/>
      <c r="AC48" s="586"/>
    </row>
    <row r="49" spans="1:29" ht="15.75" thickBot="1">
      <c r="A49" s="445" t="s">
        <v>2399</v>
      </c>
      <c r="B49" s="446"/>
      <c r="C49" s="1322">
        <f>R50</f>
        <v>37323</v>
      </c>
      <c r="D49" s="2538" t="s">
        <v>2877</v>
      </c>
      <c r="E49" s="1323">
        <f>R49</f>
        <v>34600</v>
      </c>
      <c r="F49" s="2539"/>
      <c r="G49" s="1322">
        <f>T49</f>
        <v>36144</v>
      </c>
      <c r="H49" s="2539"/>
      <c r="I49" s="1323">
        <f>V49</f>
        <v>41225</v>
      </c>
      <c r="J49" s="2539"/>
      <c r="K49" s="2541">
        <f>F49+H49+J49</f>
        <v>0</v>
      </c>
      <c r="L49" s="3461">
        <f>C49*面积表及结果!E21/10000</f>
        <v>172391.39131500004</v>
      </c>
      <c r="M49" s="2943">
        <f>L49/面积表及结果!E22</f>
        <v>5.3350293832750841</v>
      </c>
      <c r="N49" s="2943"/>
      <c r="O49" s="2943"/>
      <c r="P49" s="3777" t="str">
        <f>A49</f>
        <v>比较价值（元/平方米）</v>
      </c>
      <c r="Q49" s="3766"/>
      <c r="R49" s="3767">
        <f>IF(F1="售价",ROUND(PRODUCT(R48,AA7:AA47),0),ROUND(PRODUCT(R48,AA7:AA47),1))</f>
        <v>34600</v>
      </c>
      <c r="S49" s="3767"/>
      <c r="T49" s="3767">
        <f>IF(F1="售价",ROUND(PRODUCT(T48,AB7:AB47),0),ROUND(PRODUCT(T48,AB7:AB47),1))</f>
        <v>36144</v>
      </c>
      <c r="U49" s="3767"/>
      <c r="V49" s="3767">
        <f>IF(F1="售价",ROUND(PRODUCT(V48,AC7:AC47),0),ROUND(PRODUCT(V48,AC7:AC47),1))</f>
        <v>41225</v>
      </c>
      <c r="W49" s="3767"/>
      <c r="X49" s="405"/>
      <c r="Y49" s="405"/>
      <c r="Z49" s="405"/>
      <c r="AA49" s="405"/>
      <c r="AB49" s="405"/>
      <c r="AC49" s="586"/>
    </row>
    <row r="50" spans="1:29" ht="15.75" thickBot="1">
      <c r="A50" s="449" t="s">
        <v>2400</v>
      </c>
      <c r="B50" s="450"/>
      <c r="C50" s="1325">
        <f>R50</f>
        <v>37323</v>
      </c>
      <c r="D50" s="1325"/>
      <c r="E50" s="1325"/>
      <c r="F50" s="1325"/>
      <c r="G50" s="1325"/>
      <c r="H50" s="1325"/>
      <c r="I50" s="1325"/>
      <c r="J50" s="451"/>
      <c r="K50" s="724"/>
      <c r="L50" s="3461">
        <f>C49*面积表及结果!E22/10000</f>
        <v>120602.22045300007</v>
      </c>
      <c r="M50" s="2943"/>
      <c r="N50" s="2943"/>
      <c r="O50" s="2943"/>
      <c r="P50" s="3863" t="str">
        <f>A50</f>
        <v>估价对象XX用房的比较价值（楼面单价，元/平方米）</v>
      </c>
      <c r="Q50" s="3864"/>
      <c r="R50" s="3865">
        <f>IF(F1="售价",ROUND(IF(D49="简单平均",AVERAGE(R49:V49),R49*F49+T49*H49+V49*J49),0),ROUND(IF(D49="简单平均",AVERAGE(R49:V49),R49*F49+T49*H49+V49*J49),1))</f>
        <v>37323</v>
      </c>
      <c r="S50" s="3865"/>
      <c r="T50" s="3865"/>
      <c r="U50" s="3865"/>
      <c r="V50" s="3865"/>
      <c r="W50" s="3865"/>
      <c r="X50" s="2132"/>
      <c r="Y50" s="2132"/>
      <c r="Z50" s="2132"/>
      <c r="AA50" s="2132"/>
      <c r="AB50" s="2132"/>
      <c r="AC50" s="2133"/>
    </row>
    <row r="51" spans="1:29">
      <c r="A51" s="2952"/>
      <c r="B51" s="2952"/>
      <c r="C51" s="2952">
        <v>2004</v>
      </c>
      <c r="D51" s="2952"/>
      <c r="E51" s="2952">
        <v>2008</v>
      </c>
      <c r="F51" s="2952"/>
      <c r="G51" s="2956">
        <v>20.07</v>
      </c>
      <c r="H51" s="2952"/>
      <c r="I51" s="2952">
        <v>2008</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2401</v>
      </c>
      <c r="D53" s="455"/>
      <c r="E53" s="456">
        <f>IF(E48&lt;E49,E49/E48-1,E48/E49-1)</f>
        <v>1.1849710982658967E-2</v>
      </c>
      <c r="F53" s="457" t="str">
        <f>IF(OR(E53&gt;=0.3,E53&lt;=-0.3),"超过30%","")</f>
        <v/>
      </c>
      <c r="G53" s="456">
        <f>IF(G48&lt;G49,G49/G48-1,G48/G49-1)</f>
        <v>0.14415954415954424</v>
      </c>
      <c r="H53" s="457" t="str">
        <f>IF(OR(G53&gt;=0.3,G53&lt;=-0.3),"超过30%","")</f>
        <v/>
      </c>
      <c r="I53" s="456">
        <f>IF(I48&lt;I49,I49/I48-1,I48/I49-1)</f>
        <v>6.3796240145542749E-2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2402</v>
      </c>
      <c r="D54" s="458"/>
      <c r="E54" s="456">
        <f>IF(E49&lt;G49,G49/E49-1,E49/G49-1)</f>
        <v>4.4624277456647432E-2</v>
      </c>
      <c r="F54" s="457" t="str">
        <f>IF(OR(E54&gt;=0.2,E54&lt;=-0.2),"超过20%","")</f>
        <v/>
      </c>
      <c r="G54" s="456">
        <f>IF(G49&lt;I49,I49/G49-1,G49/I49-1)</f>
        <v>0.14057658255865424</v>
      </c>
      <c r="H54" s="457" t="str">
        <f>IF(OR(G54&gt;=0.2,G54&lt;=-0.2),"超过20%","")</f>
        <v/>
      </c>
      <c r="I54" s="456">
        <f>IF(I49&lt;E49,E49/I49-1,I49/E49-1)</f>
        <v>0.19147398843930641</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2403</v>
      </c>
      <c r="D55" s="458"/>
      <c r="E55" s="456">
        <f>IF(E48&lt;G48,G48/E48-1,E48/G48-1)</f>
        <v>0.10826210826210825</v>
      </c>
      <c r="F55" s="457" t="str">
        <f>IF(OR(E55&gt;=0.3,E55&lt;=-0.3),"超过30%","")</f>
        <v/>
      </c>
      <c r="G55" s="456">
        <f>IF(G48&lt;I48,I48/G48-1,G48/I48-1)</f>
        <v>0.38825577714466597</v>
      </c>
      <c r="H55" s="457" t="str">
        <f>IF(OR(G55&gt;=0.3,G55&lt;=-0.3),"超过30%","")</f>
        <v>超过30%</v>
      </c>
      <c r="I55" s="456">
        <f>IF(I48&lt;E48,E48/I48-1,I48/E48-1)</f>
        <v>0.25264210225649819</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2404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99.8</v>
      </c>
      <c r="G60" s="469">
        <v>99.8</v>
      </c>
      <c r="H60" s="469">
        <v>99.8</v>
      </c>
      <c r="I60" s="469">
        <v>99</v>
      </c>
      <c r="J60" s="469">
        <v>99.6</v>
      </c>
      <c r="K60" s="469">
        <v>99.6</v>
      </c>
      <c r="L60" s="469">
        <v>99.4</v>
      </c>
      <c r="M60" s="470">
        <v>99.4</v>
      </c>
      <c r="N60" s="469">
        <v>99.4</v>
      </c>
      <c r="O60" s="470">
        <v>99.2</v>
      </c>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2408</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3321" t="s">
        <v>4308</v>
      </c>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v>95</v>
      </c>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24</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产权</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97</v>
      </c>
      <c r="E80" s="501">
        <f>D80-$K17</f>
        <v>94</v>
      </c>
      <c r="F80" s="501">
        <f>E80-$K17</f>
        <v>91</v>
      </c>
      <c r="G80" s="501">
        <f>F80-$K17</f>
        <v>88</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97</v>
      </c>
      <c r="E82" s="501">
        <f>D82-$K19</f>
        <v>94</v>
      </c>
      <c r="F82" s="501">
        <f>E82-$K19</f>
        <v>91</v>
      </c>
      <c r="G82" s="501">
        <f>F82-$K19</f>
        <v>88</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8" t="s">
        <v>3481</v>
      </c>
      <c r="D87" s="3168" t="s">
        <v>3477</v>
      </c>
      <c r="E87" s="3168" t="s">
        <v>3478</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97.5</v>
      </c>
      <c r="E88" s="501">
        <f t="shared" si="16"/>
        <v>95</v>
      </c>
      <c r="F88" s="501">
        <f t="shared" si="16"/>
        <v>92.5</v>
      </c>
      <c r="G88" s="501">
        <f t="shared" si="16"/>
        <v>90</v>
      </c>
      <c r="H88" s="501">
        <f t="shared" si="16"/>
        <v>87.5</v>
      </c>
      <c r="I88" s="501">
        <f t="shared" si="16"/>
        <v>85</v>
      </c>
      <c r="J88" s="501">
        <f t="shared" si="16"/>
        <v>82.5</v>
      </c>
      <c r="K88" s="501">
        <f t="shared" si="16"/>
        <v>80</v>
      </c>
      <c r="L88" s="501">
        <f t="shared" si="16"/>
        <v>77.5</v>
      </c>
      <c r="M88" s="501">
        <f t="shared" si="16"/>
        <v>75</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t="str">
        <f>B29</f>
        <v>外部可视性</v>
      </c>
      <c r="C93" s="3168" t="s">
        <v>4212</v>
      </c>
      <c r="D93" s="3168" t="s">
        <v>4213</v>
      </c>
      <c r="E93" s="3168" t="s">
        <v>4215</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90</v>
      </c>
      <c r="E94" s="493">
        <v>80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3" t="s">
        <v>4206</v>
      </c>
      <c r="D101" s="3183" t="s">
        <v>3556</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0(含)-20000</v>
      </c>
      <c r="D103" s="535" t="str">
        <f t="shared" ref="D103:L103" si="20">D104&amp;"(含)"&amp;"-"&amp;E104</f>
        <v>20000(含)-40000</v>
      </c>
      <c r="E103" s="535" t="str">
        <f t="shared" si="20"/>
        <v>40000(含)-60000</v>
      </c>
      <c r="F103" s="535" t="str">
        <f t="shared" si="20"/>
        <v>60000(含)-80000</v>
      </c>
      <c r="G103" s="535" t="str">
        <f t="shared" si="20"/>
        <v>80000(含)-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20000</v>
      </c>
      <c r="E104" s="552">
        <v>40000</v>
      </c>
      <c r="F104" s="552">
        <v>60000</v>
      </c>
      <c r="G104" s="552">
        <v>80000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100.5</v>
      </c>
      <c r="E105" s="493">
        <v>101</v>
      </c>
      <c r="F105" s="493">
        <v>101.5</v>
      </c>
      <c r="G105" s="493">
        <v>102</v>
      </c>
      <c r="H105" s="493">
        <v>102.5</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8" t="s">
        <v>3495</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8" t="s">
        <v>3483</v>
      </c>
      <c r="D108" s="3168" t="s">
        <v>3484</v>
      </c>
      <c r="E108" s="3168" t="s">
        <v>3485</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96.5</v>
      </c>
      <c r="E109" s="501">
        <f t="shared" si="22"/>
        <v>93</v>
      </c>
      <c r="F109" s="501">
        <f t="shared" si="22"/>
        <v>89.5</v>
      </c>
      <c r="G109" s="501">
        <f t="shared" si="22"/>
        <v>86</v>
      </c>
      <c r="H109" s="501">
        <f t="shared" si="22"/>
        <v>82.5</v>
      </c>
      <c r="I109" s="501">
        <f t="shared" si="22"/>
        <v>79</v>
      </c>
      <c r="J109" s="501">
        <f t="shared" si="22"/>
        <v>75.5</v>
      </c>
      <c r="K109" s="501">
        <f t="shared" si="22"/>
        <v>72</v>
      </c>
      <c r="L109" s="501">
        <f t="shared" si="22"/>
        <v>68.5</v>
      </c>
      <c r="M109" s="502">
        <f t="shared" si="22"/>
        <v>65</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103</v>
      </c>
      <c r="E112" s="501">
        <f t="shared" ref="E112:M112" si="23">D112+$K37</f>
        <v>106</v>
      </c>
      <c r="F112" s="501">
        <f t="shared" si="23"/>
        <v>109</v>
      </c>
      <c r="G112" s="501">
        <f t="shared" si="23"/>
        <v>112</v>
      </c>
      <c r="H112" s="501">
        <f t="shared" si="23"/>
        <v>115</v>
      </c>
      <c r="I112" s="501">
        <f t="shared" si="23"/>
        <v>118</v>
      </c>
      <c r="J112" s="501">
        <f t="shared" si="23"/>
        <v>121</v>
      </c>
      <c r="K112" s="501">
        <f t="shared" si="23"/>
        <v>124</v>
      </c>
      <c r="L112" s="501">
        <f t="shared" si="23"/>
        <v>127</v>
      </c>
      <c r="M112" s="501">
        <f t="shared" si="23"/>
        <v>130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8" t="s">
        <v>3486</v>
      </c>
      <c r="D113" s="3168" t="s">
        <v>3487</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8" t="s">
        <v>3488</v>
      </c>
      <c r="D115" s="3168" t="s">
        <v>3489</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8" t="s">
        <v>3490</v>
      </c>
      <c r="D117" s="3168" t="s">
        <v>3491</v>
      </c>
      <c r="E117" s="3168" t="s">
        <v>3492</v>
      </c>
      <c r="F117" s="3168" t="s">
        <v>3493</v>
      </c>
      <c r="G117" s="3168" t="s">
        <v>3494</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v>2.5</v>
      </c>
      <c r="D119" s="540">
        <v>2.6</v>
      </c>
      <c r="E119" s="540">
        <v>2.75</v>
      </c>
      <c r="F119" s="540">
        <v>3</v>
      </c>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8" t="s">
        <v>3483</v>
      </c>
      <c r="D123" s="3168" t="s">
        <v>3484</v>
      </c>
      <c r="E123" s="3168" t="s">
        <v>3485</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99</v>
      </c>
      <c r="E124" s="501">
        <f t="shared" si="27"/>
        <v>98</v>
      </c>
      <c r="F124" s="501">
        <f t="shared" si="27"/>
        <v>97</v>
      </c>
      <c r="G124" s="501">
        <f t="shared" si="27"/>
        <v>96</v>
      </c>
      <c r="H124" s="501">
        <f t="shared" si="27"/>
        <v>95</v>
      </c>
      <c r="I124" s="501">
        <f t="shared" si="27"/>
        <v>94</v>
      </c>
      <c r="J124" s="501">
        <f t="shared" si="27"/>
        <v>93</v>
      </c>
      <c r="K124" s="501">
        <f t="shared" si="27"/>
        <v>92</v>
      </c>
      <c r="L124" s="501">
        <f t="shared" si="27"/>
        <v>91</v>
      </c>
      <c r="M124" s="502">
        <f t="shared" si="27"/>
        <v>90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0</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27.75" thickTop="1">
      <c r="A129" s="556"/>
      <c r="B129" s="495">
        <f>B46</f>
        <v>0</v>
      </c>
      <c r="C129" s="3168" t="s">
        <v>3496</v>
      </c>
      <c r="D129" s="3168" t="s">
        <v>3497</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95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D49" xr:uid="{00000000-0002-0000-2500-000000000000}">
      <formula1>"简单平均,加权平均"</formula1>
    </dataValidation>
    <dataValidation type="list" allowBlank="1" showInputMessage="1" showErrorMessage="1" sqref="F2" xr:uid="{00000000-0002-0000-2500-000001000000}">
      <formula1>估价方法</formula1>
    </dataValidation>
    <dataValidation type="list" allowBlank="1" showInputMessage="1" showErrorMessage="1" sqref="C2" xr:uid="{00000000-0002-0000-2500-000002000000}">
      <formula1>"需扣减承租人权益,——"</formula1>
    </dataValidation>
    <dataValidation type="list" allowBlank="1" showInputMessage="1" showErrorMessage="1" sqref="F1" xr:uid="{00000000-0002-0000-2500-000003000000}">
      <formula1>"售价,租金"</formula1>
    </dataValidation>
    <dataValidation type="list" allowBlank="1" showInputMessage="1" showErrorMessage="1" sqref="C22 E22 G22 I22" xr:uid="{00000000-0002-0000-2500-000004000000}">
      <formula1>基础设施水平</formula1>
    </dataValidation>
    <dataValidation type="list" allowBlank="1" showInputMessage="1" showErrorMessage="1" sqref="C8 E8 G8 I8" xr:uid="{00000000-0002-0000-2500-000005000000}">
      <formula1>办公交易情况</formula1>
    </dataValidation>
    <dataValidation type="list" allowBlank="1" showInputMessage="1" showErrorMessage="1" sqref="C43 E43 G43 I43" xr:uid="{00000000-0002-0000-2500-000006000000}">
      <formula1>办公内部装修</formula1>
    </dataValidation>
    <dataValidation type="list" allowBlank="1" showInputMessage="1" showErrorMessage="1" sqref="C41 E41 G41 I41" xr:uid="{00000000-0002-0000-2500-000007000000}">
      <formula1>办公层高</formula1>
    </dataValidation>
    <dataValidation type="list" allowBlank="1" showInputMessage="1" showErrorMessage="1" sqref="C40 E40 G40 I40" xr:uid="{00000000-0002-0000-2500-000008000000}">
      <formula1>办公基础设施水平</formula1>
    </dataValidation>
    <dataValidation type="list" allowBlank="1" showInputMessage="1" showErrorMessage="1" sqref="C39 E39 G39 I39" xr:uid="{00000000-0002-0000-2500-000009000000}">
      <formula1>办公物业管理</formula1>
    </dataValidation>
    <dataValidation type="list" allowBlank="1" showInputMessage="1" showErrorMessage="1" sqref="C38 E38 G38 I38" xr:uid="{00000000-0002-0000-2500-00000A000000}">
      <formula1>写字楼等级</formula1>
    </dataValidation>
    <dataValidation type="list" allowBlank="1" showInputMessage="1" showErrorMessage="1" sqref="C36 E36 G36 I36" xr:uid="{00000000-0002-0000-2500-00000B000000}">
      <formula1>办公公共部分装修</formula1>
    </dataValidation>
    <dataValidation type="list" allowBlank="1" showInputMessage="1" showErrorMessage="1" sqref="C33 G33 E33 I33" xr:uid="{00000000-0002-0000-2500-00000C000000}">
      <formula1>办公建筑类型</formula1>
    </dataValidation>
    <dataValidation type="list" allowBlank="1" showInputMessage="1" showErrorMessage="1" sqref="C27 E27 G27 I27" xr:uid="{00000000-0002-0000-2500-00000D000000}">
      <formula1>办公楼层</formula1>
    </dataValidation>
    <dataValidation type="list" allowBlank="1" showInputMessage="1" showErrorMessage="1" sqref="C28 E28 G28 I28" xr:uid="{00000000-0002-0000-2500-00000E000000}">
      <formula1>办公朝向</formula1>
    </dataValidation>
    <dataValidation type="list" allowBlank="1" showInputMessage="1" showErrorMessage="1" sqref="G26 C26 E26 I26" xr:uid="{00000000-0002-0000-2500-00000F000000}">
      <formula1>办公道路级别</formula1>
    </dataValidation>
    <dataValidation type="list" allowBlank="1" showInputMessage="1" showErrorMessage="1" sqref="C16 E16 G16 I16" xr:uid="{00000000-0002-0000-2500-000010000000}">
      <formula1>办公集聚程度</formula1>
    </dataValidation>
    <dataValidation type="list" allowBlank="1" showInputMessage="1" showErrorMessage="1" sqref="E9 G9 I9" xr:uid="{00000000-0002-0000-2500-000011000000}">
      <formula1>办公用途</formula1>
    </dataValidation>
    <dataValidation type="list" allowBlank="1" showInputMessage="1" showErrorMessage="1" sqref="C10 E10 G10 I10" xr:uid="{00000000-0002-0000-2500-000012000000}">
      <formula1>土地年限区间</formula1>
    </dataValidation>
    <dataValidation type="list" allowBlank="1" showInputMessage="1" showErrorMessage="1" sqref="D1" xr:uid="{00000000-0002-0000-2500-000013000000}">
      <formula1>项目类型</formula1>
    </dataValidation>
    <dataValidation type="list" allowBlank="1" showInputMessage="1" showErrorMessage="1" sqref="C44 E44 G44 I44" xr:uid="{00000000-0002-0000-2500-000014000000}">
      <formula1>内部装修维护情况</formula1>
    </dataValidation>
    <dataValidation type="list" allowBlank="1" showInputMessage="1" showErrorMessage="1" sqref="E20 I20 G20 C20" xr:uid="{00000000-0002-0000-2500-000015000000}">
      <formula1>公共配套设施</formula1>
    </dataValidation>
    <dataValidation type="list" allowBlank="1" showInputMessage="1" showErrorMessage="1" sqref="E18 G18 I18 C18" xr:uid="{00000000-0002-0000-2500-000016000000}">
      <formula1>交通便捷度</formula1>
    </dataValidation>
    <dataValidation type="list" allowBlank="1" showInputMessage="1" showErrorMessage="1" sqref="E24 G24 I24 C24" xr:uid="{00000000-0002-0000-2500-000017000000}">
      <formula1>环境</formula1>
    </dataValidation>
    <dataValidation type="list" allowBlank="1" showInputMessage="1" showErrorMessage="1" sqref="C35 E35 G35 I35" xr:uid="{00000000-0002-0000-25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zoomScale="90" zoomScaleNormal="70" zoomScaleSheetLayoutView="90" workbookViewId="0">
      <selection activeCell="I10" sqref="I1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93</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19.399999999999999</v>
      </c>
      <c r="C3" s="360" t="s">
        <v>2465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91" t="s">
        <v>2468</v>
      </c>
      <c r="S4" s="3792"/>
      <c r="T4" s="3791" t="s">
        <v>2469</v>
      </c>
      <c r="U4" s="3792"/>
      <c r="V4" s="3797" t="s">
        <v>2470</v>
      </c>
      <c r="W4" s="3797"/>
      <c r="X4" s="1539"/>
      <c r="Y4" s="3791" t="s">
        <v>2472</v>
      </c>
      <c r="Z4" s="3792"/>
      <c r="AA4" s="3778" t="s">
        <v>2468</v>
      </c>
      <c r="AB4" s="3797" t="s">
        <v>2469</v>
      </c>
      <c r="AC4" s="3778" t="s">
        <v>2470</v>
      </c>
    </row>
    <row r="5" spans="1:29" ht="13.9" customHeight="1">
      <c r="A5" s="364"/>
      <c r="B5" s="365"/>
      <c r="C5" s="3846" t="s">
        <v>3756</v>
      </c>
      <c r="D5" s="3801"/>
      <c r="E5" s="3866" t="s">
        <v>4070</v>
      </c>
      <c r="F5" s="3808"/>
      <c r="G5" s="3800" t="str">
        <f>'案例-租金'!L20</f>
        <v>银河SOHO</v>
      </c>
      <c r="H5" s="3801"/>
      <c r="I5" s="3800" t="str">
        <f>'案例-租金'!L21</f>
        <v>五矿广场</v>
      </c>
      <c r="J5" s="3801"/>
      <c r="K5" s="567"/>
      <c r="L5" s="2942"/>
      <c r="M5" s="2943"/>
      <c r="N5" s="2943"/>
      <c r="O5" s="2943"/>
      <c r="P5" s="3787"/>
      <c r="Q5" s="3788"/>
      <c r="R5" s="3793"/>
      <c r="S5" s="3794"/>
      <c r="T5" s="3793"/>
      <c r="U5" s="3794"/>
      <c r="V5" s="3797"/>
      <c r="W5" s="3797"/>
      <c r="X5" s="1539"/>
      <c r="Y5" s="3793"/>
      <c r="Z5" s="3794"/>
      <c r="AA5" s="3779"/>
      <c r="AB5" s="3797"/>
      <c r="AC5" s="3779"/>
    </row>
    <row r="6" spans="1:29" ht="15.75" thickBot="1">
      <c r="A6" s="366"/>
      <c r="B6" s="367"/>
      <c r="C6" s="3847" t="s">
        <v>3482</v>
      </c>
      <c r="D6" s="3799"/>
      <c r="E6" s="3858" t="s">
        <v>4290</v>
      </c>
      <c r="F6" s="3806"/>
      <c r="G6" s="3858" t="s">
        <v>4285</v>
      </c>
      <c r="H6" s="3806"/>
      <c r="I6" s="3847" t="s">
        <v>4283</v>
      </c>
      <c r="J6" s="3799"/>
      <c r="K6" s="567" t="s">
        <v>2368</v>
      </c>
      <c r="L6" s="2942"/>
      <c r="M6" s="2943"/>
      <c r="N6" s="2943"/>
      <c r="O6" s="2943"/>
      <c r="P6" s="3789"/>
      <c r="Q6" s="3790"/>
      <c r="R6" s="3793"/>
      <c r="S6" s="3794"/>
      <c r="T6" s="3795"/>
      <c r="U6" s="3796"/>
      <c r="V6" s="3797"/>
      <c r="W6" s="3797"/>
      <c r="X6" s="1539"/>
      <c r="Y6" s="3795"/>
      <c r="Z6" s="3796"/>
      <c r="AA6" s="3780"/>
      <c r="AB6" s="3797"/>
      <c r="AC6" s="3780"/>
    </row>
    <row r="7" spans="1:29" s="113" customFormat="1" ht="15.75" thickBot="1">
      <c r="A7" s="368" t="s">
        <v>2369</v>
      </c>
      <c r="B7" s="369"/>
      <c r="C7" s="370">
        <f>'数据-取费表'!B2</f>
        <v>42914</v>
      </c>
      <c r="D7" s="371">
        <v>100</v>
      </c>
      <c r="E7" s="372">
        <v>42856</v>
      </c>
      <c r="F7" s="373">
        <f>SUMIF(58:58,YEAR(E7)&amp;"-"&amp;MONTH(E7),59:59)</f>
        <v>100</v>
      </c>
      <c r="G7" s="372">
        <v>42826</v>
      </c>
      <c r="H7" s="371">
        <f>SUMIF(58:58,YEAR(G7)&amp;"-"&amp;MONTH(G7),59:59)</f>
        <v>100</v>
      </c>
      <c r="I7" s="372">
        <v>42887</v>
      </c>
      <c r="J7" s="371">
        <f>SUMIF(58:58,YEAR(I7)&amp;"-"&amp;MONTH(I7),59:59)</f>
        <v>100</v>
      </c>
      <c r="K7" s="568"/>
      <c r="L7" s="2944"/>
      <c r="M7" s="2945"/>
      <c r="N7" s="2945"/>
      <c r="O7" s="2945"/>
      <c r="P7" s="3802" t="s">
        <v>2370</v>
      </c>
      <c r="Q7" s="3804"/>
      <c r="R7" s="710" t="s">
        <v>17</v>
      </c>
      <c r="S7" s="711">
        <f t="shared" ref="S7:S15" si="0">F7</f>
        <v>100</v>
      </c>
      <c r="T7" s="710" t="s">
        <v>17</v>
      </c>
      <c r="U7" s="711">
        <f t="shared" ref="U7:U15" si="1">H7</f>
        <v>100</v>
      </c>
      <c r="V7" s="710" t="s">
        <v>17</v>
      </c>
      <c r="W7" s="711">
        <f t="shared" ref="W7:W15" si="2">J7</f>
        <v>100</v>
      </c>
      <c r="X7" s="712"/>
      <c r="Y7" s="3802" t="s">
        <v>2370</v>
      </c>
      <c r="Z7" s="3803"/>
      <c r="AA7" s="713">
        <f>D7/F7</f>
        <v>1</v>
      </c>
      <c r="AB7" s="713">
        <f>D7/H7</f>
        <v>1</v>
      </c>
      <c r="AC7" s="713">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802" t="s">
        <v>2373</v>
      </c>
      <c r="Q8" s="3803"/>
      <c r="R8" s="710" t="s">
        <v>17</v>
      </c>
      <c r="S8" s="711">
        <f t="shared" si="0"/>
        <v>100</v>
      </c>
      <c r="T8" s="710" t="s">
        <v>17</v>
      </c>
      <c r="U8" s="711">
        <f t="shared" si="1"/>
        <v>100</v>
      </c>
      <c r="V8" s="710" t="s">
        <v>17</v>
      </c>
      <c r="W8" s="711">
        <f t="shared" si="2"/>
        <v>100</v>
      </c>
      <c r="X8" s="712"/>
      <c r="Y8" s="3802" t="s">
        <v>2373</v>
      </c>
      <c r="Z8" s="3803"/>
      <c r="AA8" s="713">
        <f t="shared" ref="AA8:AA46" si="3">D8/F8</f>
        <v>1</v>
      </c>
      <c r="AB8" s="713">
        <f t="shared" ref="AB8:AB46" si="4">D8/H8</f>
        <v>1</v>
      </c>
      <c r="AC8" s="713">
        <f t="shared" ref="AC8:AC46" si="5">D8/J8</f>
        <v>1</v>
      </c>
    </row>
    <row r="9" spans="1:29" s="113" customFormat="1">
      <c r="A9" s="375" t="s">
        <v>2374</v>
      </c>
      <c r="B9" s="67" t="s">
        <v>2375</v>
      </c>
      <c r="C9" s="3185" t="s">
        <v>3558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77" t="s">
        <v>2376</v>
      </c>
      <c r="Q9" s="1527" t="str">
        <f t="shared" ref="Q9:Q15" si="6">B9</f>
        <v>用途</v>
      </c>
      <c r="R9" s="710" t="s">
        <v>17</v>
      </c>
      <c r="S9" s="711">
        <f t="shared" si="0"/>
        <v>100</v>
      </c>
      <c r="T9" s="710" t="s">
        <v>17</v>
      </c>
      <c r="U9" s="711">
        <f t="shared" si="1"/>
        <v>100</v>
      </c>
      <c r="V9" s="710" t="s">
        <v>17</v>
      </c>
      <c r="W9" s="711">
        <f t="shared" si="2"/>
        <v>100</v>
      </c>
      <c r="X9" s="712"/>
      <c r="Y9" s="3636" t="s">
        <v>2377</v>
      </c>
      <c r="Z9" s="55" t="str">
        <f t="shared" ref="Z9:Z15" si="7">Q9</f>
        <v>用途</v>
      </c>
      <c r="AA9" s="713">
        <f t="shared" si="3"/>
        <v>1</v>
      </c>
      <c r="AB9" s="713">
        <f t="shared" si="4"/>
        <v>1</v>
      </c>
      <c r="AC9" s="713">
        <f t="shared" si="5"/>
        <v>1</v>
      </c>
    </row>
    <row r="10" spans="1:29" s="386" customFormat="1" ht="27">
      <c r="A10" s="380"/>
      <c r="B10" s="381" t="s">
        <v>2378</v>
      </c>
      <c r="C10" s="382" t="s">
        <v>4331</v>
      </c>
      <c r="D10" s="132">
        <v>100</v>
      </c>
      <c r="E10" s="383" t="s">
        <v>4331</v>
      </c>
      <c r="F10" s="384">
        <f>SUMIF(65:65,E10,66:66)-SUMIF(65:65,C10,66:66)+100</f>
        <v>100</v>
      </c>
      <c r="G10" s="383" t="s">
        <v>4331</v>
      </c>
      <c r="H10" s="132">
        <f>SUMIF(65:65,G10,66:66)-SUMIF(65:65,C10,66:66)+100</f>
        <v>100</v>
      </c>
      <c r="I10" s="383" t="s">
        <v>4331</v>
      </c>
      <c r="J10" s="132">
        <f>SUMIF(65:65,I10,66:66)-SUMIF(65:65,C10,66:66)+100</f>
        <v>100</v>
      </c>
      <c r="K10" s="569"/>
      <c r="L10" s="2946"/>
      <c r="M10" s="2947"/>
      <c r="N10" s="2947"/>
      <c r="O10" s="2947"/>
      <c r="P10" s="3777"/>
      <c r="Q10" s="1527" t="str">
        <f t="shared" si="6"/>
        <v>土地使用年限（年）</v>
      </c>
      <c r="R10" s="710" t="s">
        <v>17</v>
      </c>
      <c r="S10" s="711">
        <f t="shared" si="0"/>
        <v>100</v>
      </c>
      <c r="T10" s="710" t="s">
        <v>17</v>
      </c>
      <c r="U10" s="711">
        <f t="shared" si="1"/>
        <v>100</v>
      </c>
      <c r="V10" s="710" t="s">
        <v>17</v>
      </c>
      <c r="W10" s="711">
        <f t="shared" si="2"/>
        <v>100</v>
      </c>
      <c r="X10" s="712"/>
      <c r="Y10" s="3636"/>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77"/>
      <c r="Q11" s="1527" t="str">
        <f t="shared" si="6"/>
        <v>容积率</v>
      </c>
      <c r="R11" s="710" t="s">
        <v>17</v>
      </c>
      <c r="S11" s="711">
        <f t="shared" si="0"/>
        <v>100</v>
      </c>
      <c r="T11" s="710" t="s">
        <v>17</v>
      </c>
      <c r="U11" s="711">
        <f t="shared" si="1"/>
        <v>100</v>
      </c>
      <c r="V11" s="710" t="s">
        <v>17</v>
      </c>
      <c r="W11" s="711">
        <f t="shared" si="2"/>
        <v>100</v>
      </c>
      <c r="X11" s="712"/>
      <c r="Y11" s="3636"/>
      <c r="Z11" s="55" t="str">
        <f t="shared" si="7"/>
        <v>容积率</v>
      </c>
      <c r="AA11" s="713">
        <f t="shared" si="3"/>
        <v>1</v>
      </c>
      <c r="AB11" s="713">
        <f t="shared" si="4"/>
        <v>1</v>
      </c>
      <c r="AC11" s="713">
        <f t="shared" si="5"/>
        <v>1</v>
      </c>
    </row>
    <row r="12" spans="1:29" s="113" customFormat="1" ht="15">
      <c r="A12" s="390"/>
      <c r="B12" s="3315" t="s">
        <v>4034</v>
      </c>
      <c r="C12" s="391">
        <v>15</v>
      </c>
      <c r="D12" s="392">
        <v>100</v>
      </c>
      <c r="E12" s="393">
        <v>8</v>
      </c>
      <c r="F12" s="384">
        <f>SUMIF(70:70,E12,71:71)-SUMIF(70:70,C12,71:71)+100</f>
        <v>102</v>
      </c>
      <c r="G12" s="393">
        <v>10</v>
      </c>
      <c r="H12" s="132">
        <f>SUMIF(70:70,G12,71:71)-SUMIF(70:70,C12,71:71)+100</f>
        <v>102</v>
      </c>
      <c r="I12" s="393">
        <v>3</v>
      </c>
      <c r="J12" s="132">
        <f>SUMIF(70:70,I12,71:71)-SUMIF(70:70,C12,71:71)+100</f>
        <v>104</v>
      </c>
      <c r="K12" s="570"/>
      <c r="L12" s="2944"/>
      <c r="M12" s="2945"/>
      <c r="N12" s="2945"/>
      <c r="O12" s="2945"/>
      <c r="P12" s="3777"/>
      <c r="Q12" s="1527" t="str">
        <f t="shared" si="6"/>
        <v>租期</v>
      </c>
      <c r="R12" s="710" t="s">
        <v>17</v>
      </c>
      <c r="S12" s="711">
        <f t="shared" si="0"/>
        <v>102</v>
      </c>
      <c r="T12" s="710" t="s">
        <v>17</v>
      </c>
      <c r="U12" s="711">
        <f t="shared" si="1"/>
        <v>102</v>
      </c>
      <c r="V12" s="710" t="s">
        <v>17</v>
      </c>
      <c r="W12" s="711">
        <f t="shared" si="2"/>
        <v>104</v>
      </c>
      <c r="X12" s="712"/>
      <c r="Y12" s="3636"/>
      <c r="Z12" s="55" t="str">
        <f t="shared" si="7"/>
        <v>租期</v>
      </c>
      <c r="AA12" s="713">
        <f>D12/F12</f>
        <v>0.98039215686274506</v>
      </c>
      <c r="AB12" s="713">
        <f>D12/H12</f>
        <v>0.98039215686274506</v>
      </c>
      <c r="AC12" s="713">
        <f>D12/J12</f>
        <v>0.96153846153846156</v>
      </c>
    </row>
    <row r="13" spans="1:29" ht="15">
      <c r="A13" s="387"/>
      <c r="B13" s="3315" t="s">
        <v>4194</v>
      </c>
      <c r="C13" s="3170" t="s">
        <v>4187</v>
      </c>
      <c r="D13" s="394">
        <v>100</v>
      </c>
      <c r="E13" s="3170" t="s">
        <v>4187</v>
      </c>
      <c r="F13" s="384">
        <f>SUMIF(72:72,E13,73:73)-SUMIF(72:72,C13,73:73)+100</f>
        <v>100</v>
      </c>
      <c r="G13" s="3170" t="s">
        <v>4188</v>
      </c>
      <c r="H13" s="394">
        <f>SUMIF(72:72,G13,73:73)-SUMIF(72:72,C13,73:73)+100</f>
        <v>95</v>
      </c>
      <c r="I13" s="3170" t="s">
        <v>4187</v>
      </c>
      <c r="J13" s="394">
        <f>SUMIF(72:72,I13,73:73)-SUMIF(72:72,C13,73:73)+100</f>
        <v>100</v>
      </c>
      <c r="K13" s="570"/>
      <c r="L13" s="2949"/>
      <c r="M13" s="2943"/>
      <c r="N13" s="2943"/>
      <c r="O13" s="2943"/>
      <c r="P13" s="3777"/>
      <c r="Q13" s="1527" t="str">
        <f t="shared" si="6"/>
        <v>产权/统一经营</v>
      </c>
      <c r="R13" s="710" t="s">
        <v>17</v>
      </c>
      <c r="S13" s="711">
        <f t="shared" si="0"/>
        <v>100</v>
      </c>
      <c r="T13" s="710" t="s">
        <v>17</v>
      </c>
      <c r="U13" s="711">
        <f t="shared" si="1"/>
        <v>95</v>
      </c>
      <c r="V13" s="710" t="s">
        <v>17</v>
      </c>
      <c r="W13" s="711">
        <f t="shared" si="2"/>
        <v>100</v>
      </c>
      <c r="X13" s="712"/>
      <c r="Y13" s="3636"/>
      <c r="Z13" s="55" t="str">
        <f t="shared" si="7"/>
        <v>产权/统一经营</v>
      </c>
      <c r="AA13" s="713">
        <f t="shared" si="3"/>
        <v>1</v>
      </c>
      <c r="AB13" s="713">
        <f t="shared" si="4"/>
        <v>1.0526315789473684</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77"/>
      <c r="Q14" s="1527">
        <f t="shared" si="6"/>
        <v>111</v>
      </c>
      <c r="R14" s="710" t="s">
        <v>17</v>
      </c>
      <c r="S14" s="711">
        <f t="shared" si="0"/>
        <v>100</v>
      </c>
      <c r="T14" s="710" t="s">
        <v>17</v>
      </c>
      <c r="U14" s="711">
        <f t="shared" si="1"/>
        <v>100</v>
      </c>
      <c r="V14" s="710" t="s">
        <v>17</v>
      </c>
      <c r="W14" s="711">
        <f t="shared" si="2"/>
        <v>100</v>
      </c>
      <c r="X14" s="712"/>
      <c r="Y14" s="3636"/>
      <c r="Z14" s="55">
        <f t="shared" si="7"/>
        <v>111</v>
      </c>
      <c r="AA14" s="713">
        <f t="shared" si="3"/>
        <v>1</v>
      </c>
      <c r="AB14" s="713">
        <f t="shared" si="4"/>
        <v>1</v>
      </c>
      <c r="AC14" s="713">
        <f t="shared" si="5"/>
        <v>1</v>
      </c>
    </row>
    <row r="15" spans="1:29" ht="64.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5" t="s">
        <v>4158</v>
      </c>
      <c r="F15" s="402">
        <f>SUMIF(76:76,E16,77:77)-SUMIF(76:76,C16,77:77)+100</f>
        <v>103</v>
      </c>
      <c r="G15" s="3227" t="s">
        <v>4262</v>
      </c>
      <c r="H15" s="400">
        <f>SUMIF(76:76,G16,77:77)-SUMIF(76:76,C16,77:77)+100</f>
        <v>100</v>
      </c>
      <c r="I15" s="3225" t="s">
        <v>4036</v>
      </c>
      <c r="J15" s="400">
        <f>SUMIF(76:76,I16,77:77)-SUMIF(76:76,C16,77:77)+100</f>
        <v>100</v>
      </c>
      <c r="K15" s="571">
        <v>3</v>
      </c>
      <c r="L15" s="2949"/>
      <c r="M15" s="2943"/>
      <c r="N15" s="2943"/>
      <c r="O15" s="2943"/>
      <c r="P15" s="3775" t="s">
        <v>2381</v>
      </c>
      <c r="Q15" s="1536" t="str">
        <f t="shared" si="6"/>
        <v>商业繁华度</v>
      </c>
      <c r="R15" s="714" t="s">
        <v>17</v>
      </c>
      <c r="S15" s="715">
        <f t="shared" si="0"/>
        <v>103</v>
      </c>
      <c r="T15" s="714" t="s">
        <v>17</v>
      </c>
      <c r="U15" s="715">
        <f t="shared" si="1"/>
        <v>100</v>
      </c>
      <c r="V15" s="714" t="s">
        <v>17</v>
      </c>
      <c r="W15" s="715">
        <f t="shared" si="2"/>
        <v>100</v>
      </c>
      <c r="X15" s="1539"/>
      <c r="Y15" s="3768" t="s">
        <v>2381</v>
      </c>
      <c r="Z15" s="1540" t="str">
        <f t="shared" si="7"/>
        <v>商业繁华度</v>
      </c>
      <c r="AA15" s="1537">
        <f t="shared" si="3"/>
        <v>0.970873786407767</v>
      </c>
      <c r="AB15" s="1537">
        <f t="shared" si="4"/>
        <v>1</v>
      </c>
      <c r="AC15" s="1537">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776"/>
      <c r="Q16" s="1536"/>
      <c r="R16" s="714"/>
      <c r="S16" s="715"/>
      <c r="T16" s="714"/>
      <c r="U16" s="715"/>
      <c r="V16" s="714"/>
      <c r="W16" s="715"/>
      <c r="X16" s="1539"/>
      <c r="Y16" s="3769"/>
      <c r="Z16" s="1540"/>
      <c r="AA16" s="1537">
        <v>1</v>
      </c>
      <c r="AB16" s="1537">
        <v>1</v>
      </c>
      <c r="AC16" s="1537">
        <v>1</v>
      </c>
    </row>
    <row r="17" spans="1:29" ht="93.75"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2" t="s">
        <v>4200</v>
      </c>
      <c r="F17" s="412">
        <f>SUMIF(78:78,E18,79:79)-SUMIF(78:78,C18,79:79)+100</f>
        <v>97</v>
      </c>
      <c r="G17" s="3222" t="str">
        <f>'比较法租金-办公'!E17</f>
        <v>主路口紧邻城市次干道-南竹杆胡同，距离地铁2号线（1984年）、6号线朝阳门站约300米，多条公交线路通达，公共交通便利，综合评价交通便捷度较好。</v>
      </c>
      <c r="H17" s="414">
        <f>SUMIF(78:78,G18,79:79)-SUMIF(78:78,C18,79:79)+100</f>
        <v>97</v>
      </c>
      <c r="I17" s="3224" t="str">
        <f>'比较法租金-办公'!G17</f>
        <v>紧邻城市快速路-东二环，距离地铁2号线（1984年）东四十条站约300米，多条公交线路通达，公共交通便利，综合评价交通便捷度较好。</v>
      </c>
      <c r="J17" s="414">
        <f>SUMIF(78:78,I18,79:79)-SUMIF(78:78,C18,79:79)+100</f>
        <v>97</v>
      </c>
      <c r="K17" s="571">
        <v>3</v>
      </c>
      <c r="L17" s="2949"/>
      <c r="M17" s="2943"/>
      <c r="N17" s="2943"/>
      <c r="O17" s="2943"/>
      <c r="P17" s="3776"/>
      <c r="Q17" s="1536" t="str">
        <f>B17</f>
        <v>交通便捷度</v>
      </c>
      <c r="R17" s="714" t="s">
        <v>17</v>
      </c>
      <c r="S17" s="715">
        <f>F17</f>
        <v>97</v>
      </c>
      <c r="T17" s="714" t="s">
        <v>17</v>
      </c>
      <c r="U17" s="715">
        <f>H17</f>
        <v>97</v>
      </c>
      <c r="V17" s="714" t="s">
        <v>17</v>
      </c>
      <c r="W17" s="715">
        <f>J17</f>
        <v>97</v>
      </c>
      <c r="X17" s="1539"/>
      <c r="Y17" s="3769"/>
      <c r="Z17" s="1540" t="str">
        <f>Q17</f>
        <v>交通便捷度</v>
      </c>
      <c r="AA17" s="1537">
        <f t="shared" si="3"/>
        <v>1.0309278350515463</v>
      </c>
      <c r="AB17" s="1537">
        <f t="shared" si="4"/>
        <v>1.0309278350515463</v>
      </c>
      <c r="AC17" s="1537">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776"/>
      <c r="Q18" s="1536"/>
      <c r="R18" s="714"/>
      <c r="S18" s="715"/>
      <c r="T18" s="714"/>
      <c r="U18" s="715"/>
      <c r="V18" s="714"/>
      <c r="W18" s="715"/>
      <c r="X18" s="1539"/>
      <c r="Y18" s="3769"/>
      <c r="Z18" s="1540"/>
      <c r="AA18" s="1537">
        <v>1</v>
      </c>
      <c r="AB18" s="1537">
        <v>1</v>
      </c>
      <c r="AC18" s="1537">
        <v>1</v>
      </c>
    </row>
    <row r="19" spans="1:29" ht="71.2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4" t="s">
        <v>4159</v>
      </c>
      <c r="F19" s="417">
        <f>SUMIF(80:80,E20,81:81)-SUMIF(80:80,C20,81:81)+100</f>
        <v>100</v>
      </c>
      <c r="G19" s="3224" t="str">
        <f>'比较法租金-办公'!E19</f>
        <v>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4" t="str">
        <f>'比较法租金-办公'!G19</f>
        <v>估价对象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v>
      </c>
      <c r="J19" s="409">
        <f>SUMIF(80:80,I20,81:81)-SUMIF(80:80,C20,81:81)+100</f>
        <v>100</v>
      </c>
      <c r="K19" s="571">
        <v>2</v>
      </c>
      <c r="L19" s="2949"/>
      <c r="M19" s="2943"/>
      <c r="N19" s="2943"/>
      <c r="O19" s="2943"/>
      <c r="P19" s="3776"/>
      <c r="Q19" s="1536" t="str">
        <f>B19</f>
        <v>公共配套设施</v>
      </c>
      <c r="R19" s="714" t="s">
        <v>17</v>
      </c>
      <c r="S19" s="715">
        <f>F19</f>
        <v>100</v>
      </c>
      <c r="T19" s="714" t="s">
        <v>17</v>
      </c>
      <c r="U19" s="715">
        <f>H19</f>
        <v>100</v>
      </c>
      <c r="V19" s="714" t="s">
        <v>17</v>
      </c>
      <c r="W19" s="715">
        <f>J19</f>
        <v>100</v>
      </c>
      <c r="X19" s="1539"/>
      <c r="Y19" s="3769"/>
      <c r="Z19" s="1540" t="str">
        <f>Q19</f>
        <v>公共配套设施</v>
      </c>
      <c r="AA19" s="1537">
        <f t="shared" si="3"/>
        <v>1</v>
      </c>
      <c r="AB19" s="1537">
        <f t="shared" si="4"/>
        <v>1</v>
      </c>
      <c r="AC19" s="1537">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776"/>
      <c r="Q20" s="1536"/>
      <c r="R20" s="714"/>
      <c r="S20" s="715"/>
      <c r="T20" s="714"/>
      <c r="U20" s="715"/>
      <c r="V20" s="714"/>
      <c r="W20" s="715"/>
      <c r="X20" s="1539"/>
      <c r="Y20" s="3769"/>
      <c r="Z20" s="1540"/>
      <c r="AA20" s="1537">
        <v>1</v>
      </c>
      <c r="AB20" s="1537">
        <v>1</v>
      </c>
      <c r="AC20" s="1537">
        <v>1</v>
      </c>
    </row>
    <row r="21" spans="1:29" ht="24.75"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776"/>
      <c r="Q21" s="1536" t="str">
        <f>B21</f>
        <v>基础设施水平</v>
      </c>
      <c r="R21" s="714" t="s">
        <v>17</v>
      </c>
      <c r="S21" s="715">
        <f>F21</f>
        <v>100</v>
      </c>
      <c r="T21" s="714" t="s">
        <v>17</v>
      </c>
      <c r="U21" s="715">
        <f>H21</f>
        <v>100</v>
      </c>
      <c r="V21" s="714" t="s">
        <v>17</v>
      </c>
      <c r="W21" s="715">
        <f>J21</f>
        <v>100</v>
      </c>
      <c r="X21" s="1539"/>
      <c r="Y21" s="3769"/>
      <c r="Z21" s="1540" t="str">
        <f>Q21</f>
        <v>基础设施水平</v>
      </c>
      <c r="AA21" s="1537">
        <f>D21/F21</f>
        <v>1</v>
      </c>
      <c r="AB21" s="1537">
        <f>D21/H21</f>
        <v>1</v>
      </c>
      <c r="AC21" s="1537">
        <f>D21/J21</f>
        <v>1</v>
      </c>
    </row>
    <row r="22" spans="1:29" ht="15">
      <c r="A22" s="387"/>
      <c r="B22" s="1293"/>
      <c r="C22" s="2087" t="s">
        <v>3475</v>
      </c>
      <c r="D22" s="407"/>
      <c r="E22" s="2087" t="s">
        <v>3475</v>
      </c>
      <c r="F22" s="408"/>
      <c r="G22" s="2087" t="s">
        <v>3475</v>
      </c>
      <c r="H22" s="407"/>
      <c r="I22" s="2087" t="s">
        <v>3475</v>
      </c>
      <c r="J22" s="407"/>
      <c r="K22" s="1292"/>
      <c r="L22" s="2949"/>
      <c r="M22" s="2943"/>
      <c r="N22" s="2943"/>
      <c r="O22" s="2943"/>
      <c r="P22" s="3776"/>
      <c r="Q22" s="1536"/>
      <c r="R22" s="714"/>
      <c r="S22" s="715"/>
      <c r="T22" s="714"/>
      <c r="U22" s="715"/>
      <c r="V22" s="714"/>
      <c r="W22" s="715"/>
      <c r="X22" s="1539"/>
      <c r="Y22" s="3769"/>
      <c r="Z22" s="1540"/>
      <c r="AA22" s="1537">
        <v>1</v>
      </c>
      <c r="AB22" s="1537">
        <v>1</v>
      </c>
      <c r="AC22" s="1537">
        <v>1</v>
      </c>
    </row>
    <row r="23" spans="1:29" ht="39" customHeight="1">
      <c r="A23" s="387"/>
      <c r="B23" s="410" t="s">
        <v>1947</v>
      </c>
      <c r="C23" s="2141" t="str">
        <f>估价对象房地状况!C9</f>
        <v>周边有隆福寺广场、东四清真寺等，自然及人文环境较好</v>
      </c>
      <c r="D23" s="409">
        <v>100</v>
      </c>
      <c r="E23" s="3228" t="s">
        <v>4160</v>
      </c>
      <c r="F23" s="412">
        <f>SUMIF(84:84,E24,85:85)-SUMIF(84:84,C24,85:85)+100</f>
        <v>100</v>
      </c>
      <c r="G23" s="3222" t="str">
        <f>'比较法租金-办公'!E23</f>
        <v>周边有智化寺等，自然及人文环境较好</v>
      </c>
      <c r="H23" s="409">
        <f>SUMIF(84:84,G24,85:85)-SUMIF(84:84,C24,85:85)+100</f>
        <v>100</v>
      </c>
      <c r="I23" s="3223" t="str">
        <f>'比较法租金-办公'!G23</f>
        <v>周边有保利剧院、南新仓文化休闲街、东四奥林匹克社区公园等，自然及人文环境较好</v>
      </c>
      <c r="J23" s="409">
        <f>SUMIF(84:84,I24,85:85)-SUMIF(84:84,C24,85:85)+100</f>
        <v>100</v>
      </c>
      <c r="K23" s="571">
        <v>2</v>
      </c>
      <c r="L23" s="2949"/>
      <c r="M23" s="2943"/>
      <c r="N23" s="2943"/>
      <c r="O23" s="2943"/>
      <c r="P23" s="3776"/>
      <c r="Q23" s="1536" t="str">
        <f>B23</f>
        <v>自然及人文环境</v>
      </c>
      <c r="R23" s="714" t="s">
        <v>17</v>
      </c>
      <c r="S23" s="715">
        <f>F23</f>
        <v>100</v>
      </c>
      <c r="T23" s="714" t="s">
        <v>17</v>
      </c>
      <c r="U23" s="715">
        <f>H23</f>
        <v>100</v>
      </c>
      <c r="V23" s="714" t="s">
        <v>17</v>
      </c>
      <c r="W23" s="715">
        <f>J23</f>
        <v>100</v>
      </c>
      <c r="X23" s="1539"/>
      <c r="Y23" s="3769"/>
      <c r="Z23" s="1540" t="str">
        <f>Q23</f>
        <v>自然及人文环境</v>
      </c>
      <c r="AA23" s="1537">
        <f t="shared" si="3"/>
        <v>1</v>
      </c>
      <c r="AB23" s="1537">
        <f t="shared" si="4"/>
        <v>1</v>
      </c>
      <c r="AC23" s="1537">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776"/>
      <c r="Q24" s="1536"/>
      <c r="R24" s="714"/>
      <c r="S24" s="715"/>
      <c r="T24" s="714"/>
      <c r="U24" s="715"/>
      <c r="V24" s="714"/>
      <c r="W24" s="715"/>
      <c r="X24" s="1539"/>
      <c r="Y24" s="3769"/>
      <c r="Z24" s="1540"/>
      <c r="AA24" s="1537">
        <v>1</v>
      </c>
      <c r="AB24" s="1537">
        <v>1</v>
      </c>
      <c r="AC24" s="1537">
        <v>1</v>
      </c>
    </row>
    <row r="25" spans="1:29" ht="15">
      <c r="A25" s="387"/>
      <c r="B25" s="381" t="s">
        <v>2477</v>
      </c>
      <c r="C25" s="573" t="s">
        <v>3476</v>
      </c>
      <c r="D25" s="394">
        <v>100</v>
      </c>
      <c r="E25" s="573" t="s">
        <v>3476</v>
      </c>
      <c r="F25" s="420">
        <f>SUMIF(86:86,E25,87:87)-SUMIF(86:86,C25,87:87)+100</f>
        <v>100</v>
      </c>
      <c r="G25" s="573" t="s">
        <v>3763</v>
      </c>
      <c r="H25" s="394">
        <f>SUMIF(86:86,G25,87:87)-SUMIF(86:86,C25,87:87)+100</f>
        <v>97</v>
      </c>
      <c r="I25" s="573" t="s">
        <v>3763</v>
      </c>
      <c r="J25" s="394">
        <f>SUMIF(86:86,I25,87:87)-SUMIF(86:86,C25,87:87)+100</f>
        <v>97</v>
      </c>
      <c r="K25" s="569">
        <v>3</v>
      </c>
      <c r="L25" s="2949"/>
      <c r="M25" s="2943"/>
      <c r="N25" s="2943"/>
      <c r="O25" s="2943"/>
      <c r="P25" s="3776"/>
      <c r="Q25" s="1536" t="str">
        <f t="shared" ref="Q25:Q46" si="8">B25</f>
        <v>临街状况</v>
      </c>
      <c r="R25" s="714" t="s">
        <v>17</v>
      </c>
      <c r="S25" s="715">
        <f>F25</f>
        <v>100</v>
      </c>
      <c r="T25" s="714" t="s">
        <v>17</v>
      </c>
      <c r="U25" s="715">
        <f>H25</f>
        <v>97</v>
      </c>
      <c r="V25" s="714" t="s">
        <v>17</v>
      </c>
      <c r="W25" s="715">
        <f>J25</f>
        <v>97</v>
      </c>
      <c r="X25" s="1539"/>
      <c r="Y25" s="3769"/>
      <c r="Z25" s="1540" t="str">
        <f>Q25</f>
        <v>临街状况</v>
      </c>
      <c r="AA25" s="1537">
        <f t="shared" si="3"/>
        <v>1</v>
      </c>
      <c r="AB25" s="1537">
        <f t="shared" si="4"/>
        <v>1.0309278350515463</v>
      </c>
      <c r="AC25" s="1537">
        <f t="shared" si="5"/>
        <v>1.0309278350515463</v>
      </c>
    </row>
    <row r="26" spans="1:29" ht="15">
      <c r="A26" s="387"/>
      <c r="B26" s="3425" t="s">
        <v>4193</v>
      </c>
      <c r="C26" s="3184" t="s">
        <v>4037</v>
      </c>
      <c r="D26" s="394">
        <v>100</v>
      </c>
      <c r="E26" s="3426" t="s">
        <v>4039</v>
      </c>
      <c r="F26" s="420">
        <f>SUMIF(88:88,E26,89:89)-SUMIF(88:88,C26,89:89)+100</f>
        <v>80</v>
      </c>
      <c r="G26" s="3184" t="s">
        <v>4039</v>
      </c>
      <c r="H26" s="394">
        <f>SUMIF(88:88,G26,89:89)-SUMIF(88:88,C26,89:89)+100</f>
        <v>80</v>
      </c>
      <c r="I26" s="3184" t="s">
        <v>4039</v>
      </c>
      <c r="J26" s="394">
        <f>SUMIF(88:88,I26,89:89)-SUMIF(88:88,C26,89:89)+100</f>
        <v>80</v>
      </c>
      <c r="K26" s="570"/>
      <c r="L26" s="2949"/>
      <c r="M26" s="2943"/>
      <c r="N26" s="2943"/>
      <c r="O26" s="2943"/>
      <c r="P26" s="3776"/>
      <c r="Q26" s="1536" t="str">
        <f t="shared" si="8"/>
        <v>展示面/可视性</v>
      </c>
      <c r="R26" s="714" t="s">
        <v>17</v>
      </c>
      <c r="S26" s="715">
        <f>F26</f>
        <v>80</v>
      </c>
      <c r="T26" s="714" t="s">
        <v>17</v>
      </c>
      <c r="U26" s="715">
        <f>H26</f>
        <v>80</v>
      </c>
      <c r="V26" s="714" t="s">
        <v>17</v>
      </c>
      <c r="W26" s="715">
        <f>J26</f>
        <v>80</v>
      </c>
      <c r="X26" s="1539"/>
      <c r="Y26" s="3769"/>
      <c r="Z26" s="1540" t="str">
        <f>Q26</f>
        <v>展示面/可视性</v>
      </c>
      <c r="AA26" s="1537">
        <f t="shared" si="3"/>
        <v>1.25</v>
      </c>
      <c r="AB26" s="1537">
        <f t="shared" si="4"/>
        <v>1.25</v>
      </c>
      <c r="AC26" s="1537">
        <f t="shared" si="5"/>
        <v>1.25</v>
      </c>
    </row>
    <row r="27" spans="1:29" s="113" customFormat="1" ht="15">
      <c r="A27" s="390"/>
      <c r="B27" s="410" t="s">
        <v>2479</v>
      </c>
      <c r="C27" s="2142" t="s">
        <v>3567</v>
      </c>
      <c r="D27" s="421">
        <v>100</v>
      </c>
      <c r="E27" s="2142" t="s">
        <v>4040</v>
      </c>
      <c r="F27" s="423">
        <f>SUMIF(90:90,E27,91:91)-SUMIF(90:90,C27,91:91)+100</f>
        <v>102</v>
      </c>
      <c r="G27" s="2142" t="s">
        <v>3567</v>
      </c>
      <c r="H27" s="421">
        <f>SUMIF(90:90,G27,91:91)-SUMIF(90:90,C27,91:91)+100</f>
        <v>100</v>
      </c>
      <c r="I27" s="2142" t="s">
        <v>3567</v>
      </c>
      <c r="J27" s="421">
        <f>SUMIF(90:90,I27,91:91)-SUMIF(90:90,C27,91:91)+100</f>
        <v>100</v>
      </c>
      <c r="K27" s="569">
        <v>2</v>
      </c>
      <c r="L27" s="2944"/>
      <c r="M27" s="2945"/>
      <c r="N27" s="2945"/>
      <c r="O27" s="2945"/>
      <c r="P27" s="3776"/>
      <c r="Q27" s="1527" t="str">
        <f t="shared" si="8"/>
        <v>人流量</v>
      </c>
      <c r="R27" s="710" t="s">
        <v>17</v>
      </c>
      <c r="S27" s="711">
        <f>F27</f>
        <v>102</v>
      </c>
      <c r="T27" s="710" t="s">
        <v>17</v>
      </c>
      <c r="U27" s="711">
        <f>H27</f>
        <v>100</v>
      </c>
      <c r="V27" s="710" t="s">
        <v>17</v>
      </c>
      <c r="W27" s="711">
        <f>J27</f>
        <v>100</v>
      </c>
      <c r="X27" s="712"/>
      <c r="Y27" s="3769"/>
      <c r="Z27" s="55" t="str">
        <f>Q27</f>
        <v>人流量</v>
      </c>
      <c r="AA27" s="1537">
        <f>D27/F27</f>
        <v>0.98039215686274506</v>
      </c>
      <c r="AB27" s="1537">
        <f>D27/H27</f>
        <v>1</v>
      </c>
      <c r="AC27" s="1537">
        <f>D27/J27</f>
        <v>1</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776"/>
      <c r="Q28" s="1536" t="str">
        <f t="shared" si="8"/>
        <v>楼层</v>
      </c>
      <c r="R28" s="714" t="s">
        <v>17</v>
      </c>
      <c r="S28" s="715">
        <f t="shared" ref="S28:S46" si="9">F28</f>
        <v>100</v>
      </c>
      <c r="T28" s="714" t="s">
        <v>17</v>
      </c>
      <c r="U28" s="715">
        <f t="shared" ref="U28:U46" si="10">H28</f>
        <v>100</v>
      </c>
      <c r="V28" s="714" t="s">
        <v>17</v>
      </c>
      <c r="W28" s="715">
        <f t="shared" ref="W28:W46" si="11">J28</f>
        <v>100</v>
      </c>
      <c r="X28" s="1539"/>
      <c r="Y28" s="3769"/>
      <c r="Z28" s="1540" t="str">
        <f t="shared" ref="Z28:Z46" si="12">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776"/>
      <c r="Q29" s="1536">
        <f t="shared" si="8"/>
        <v>111</v>
      </c>
      <c r="R29" s="714" t="s">
        <v>17</v>
      </c>
      <c r="S29" s="715">
        <f t="shared" si="9"/>
        <v>100</v>
      </c>
      <c r="T29" s="714" t="s">
        <v>17</v>
      </c>
      <c r="U29" s="715">
        <f t="shared" si="10"/>
        <v>100</v>
      </c>
      <c r="V29" s="714" t="s">
        <v>17</v>
      </c>
      <c r="W29" s="715">
        <f t="shared" si="11"/>
        <v>100</v>
      </c>
      <c r="X29" s="1539"/>
      <c r="Y29" s="3769"/>
      <c r="Z29" s="1540">
        <f t="shared" si="12"/>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776"/>
      <c r="Q30" s="1536">
        <f t="shared" si="8"/>
        <v>111</v>
      </c>
      <c r="R30" s="714" t="s">
        <v>17</v>
      </c>
      <c r="S30" s="715">
        <f t="shared" si="9"/>
        <v>100</v>
      </c>
      <c r="T30" s="714" t="s">
        <v>17</v>
      </c>
      <c r="U30" s="715">
        <f t="shared" si="10"/>
        <v>100</v>
      </c>
      <c r="V30" s="714" t="s">
        <v>17</v>
      </c>
      <c r="W30" s="715">
        <f t="shared" si="11"/>
        <v>100</v>
      </c>
      <c r="X30" s="1539"/>
      <c r="Y30" s="3769"/>
      <c r="Z30" s="1540">
        <f t="shared" si="12"/>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776"/>
      <c r="Q31" s="1536">
        <f t="shared" si="8"/>
        <v>111</v>
      </c>
      <c r="R31" s="714" t="s">
        <v>17</v>
      </c>
      <c r="S31" s="715">
        <f t="shared" si="9"/>
        <v>100</v>
      </c>
      <c r="T31" s="714" t="s">
        <v>17</v>
      </c>
      <c r="U31" s="715">
        <f t="shared" si="10"/>
        <v>100</v>
      </c>
      <c r="V31" s="714" t="s">
        <v>17</v>
      </c>
      <c r="W31" s="715">
        <f t="shared" si="11"/>
        <v>100</v>
      </c>
      <c r="X31" s="1539"/>
      <c r="Y31" s="3769"/>
      <c r="Z31" s="1540">
        <f t="shared" si="12"/>
        <v>111</v>
      </c>
      <c r="AA31" s="1537">
        <f t="shared" si="3"/>
        <v>1</v>
      </c>
      <c r="AB31" s="1537">
        <f t="shared" si="4"/>
        <v>1</v>
      </c>
      <c r="AC31" s="1537">
        <f t="shared" si="5"/>
        <v>1</v>
      </c>
    </row>
    <row r="32" spans="1:29" ht="15">
      <c r="A32" s="399" t="s">
        <v>2384</v>
      </c>
      <c r="B32" s="67" t="s">
        <v>2481</v>
      </c>
      <c r="C32" s="2096" t="s">
        <v>4191</v>
      </c>
      <c r="D32" s="426">
        <v>100</v>
      </c>
      <c r="E32" s="2096" t="s">
        <v>4043</v>
      </c>
      <c r="F32" s="420">
        <f>SUMIF(100:100,E32,101:101)-SUMIF(100:100,C32,101:101)+100</f>
        <v>103</v>
      </c>
      <c r="G32" s="2096" t="s">
        <v>4043</v>
      </c>
      <c r="H32" s="394">
        <f>SUMIF(100:100,G32,101:101)-SUMIF(100:100,C32,101:101)+100</f>
        <v>103</v>
      </c>
      <c r="I32" s="2096" t="s">
        <v>4191</v>
      </c>
      <c r="J32" s="426">
        <f>SUMIF(100:100,I32,101:101)-SUMIF(100:100,C32,101:101)+100</f>
        <v>100</v>
      </c>
      <c r="K32" s="569">
        <v>3</v>
      </c>
      <c r="L32" s="2949"/>
      <c r="M32" s="2943"/>
      <c r="N32" s="2943"/>
      <c r="O32" s="2943"/>
      <c r="P32" s="3770" t="s">
        <v>2386</v>
      </c>
      <c r="Q32" s="1536" t="str">
        <f t="shared" si="8"/>
        <v>商业类型</v>
      </c>
      <c r="R32" s="714" t="s">
        <v>17</v>
      </c>
      <c r="S32" s="715">
        <f t="shared" si="9"/>
        <v>103</v>
      </c>
      <c r="T32" s="714" t="s">
        <v>17</v>
      </c>
      <c r="U32" s="715">
        <f t="shared" si="10"/>
        <v>103</v>
      </c>
      <c r="V32" s="714" t="s">
        <v>17</v>
      </c>
      <c r="W32" s="715">
        <f t="shared" si="11"/>
        <v>100</v>
      </c>
      <c r="X32" s="1539"/>
      <c r="Y32" s="3773" t="s">
        <v>2386</v>
      </c>
      <c r="Z32" s="1540" t="str">
        <f t="shared" si="12"/>
        <v>商业类型</v>
      </c>
      <c r="AA32" s="1537">
        <f t="shared" si="3"/>
        <v>0.970873786407767</v>
      </c>
      <c r="AB32" s="1537">
        <f t="shared" si="4"/>
        <v>0.970873786407767</v>
      </c>
      <c r="AC32" s="1537">
        <f t="shared" si="5"/>
        <v>1</v>
      </c>
    </row>
    <row r="33" spans="1:29" s="430" customFormat="1" ht="15" hidden="1">
      <c r="A33" s="427"/>
      <c r="B33" s="381" t="s">
        <v>2387</v>
      </c>
      <c r="C33" s="428">
        <f>面积表及结果!E2+面积表及结果!E3+面积表及结果!E4</f>
        <v>3839.16</v>
      </c>
      <c r="D33" s="132">
        <v>100</v>
      </c>
      <c r="E33" s="389">
        <f>'案例-租金'!N18</f>
        <v>381.99</v>
      </c>
      <c r="F33" s="384">
        <f>LOOKUP(E33,103:103,104:104)-LOOKUP(C33,103:103,104:104)+100</f>
        <v>100</v>
      </c>
      <c r="G33" s="388">
        <v>86000</v>
      </c>
      <c r="H33" s="132">
        <f>LOOKUP(G33,103:103,104:104)-LOOKUP(C33,103:103,104:104)+100</f>
        <v>100</v>
      </c>
      <c r="I33" s="388">
        <v>4300</v>
      </c>
      <c r="J33" s="132">
        <f>LOOKUP(I33,103:103,104:104)-LOOKUP(C33,103:103,104:104)+100</f>
        <v>100</v>
      </c>
      <c r="K33" s="570"/>
      <c r="L33" s="2948"/>
      <c r="M33" s="2950"/>
      <c r="N33" s="2950"/>
      <c r="O33" s="2950"/>
      <c r="P33" s="3771"/>
      <c r="Q33" s="716" t="str">
        <f t="shared" si="8"/>
        <v>项目建筑规模</v>
      </c>
      <c r="R33" s="717" t="s">
        <v>17</v>
      </c>
      <c r="S33" s="718">
        <f t="shared" si="9"/>
        <v>100</v>
      </c>
      <c r="T33" s="717" t="s">
        <v>17</v>
      </c>
      <c r="U33" s="718">
        <f t="shared" si="10"/>
        <v>100</v>
      </c>
      <c r="V33" s="717" t="s">
        <v>17</v>
      </c>
      <c r="W33" s="718">
        <f t="shared" si="11"/>
        <v>100</v>
      </c>
      <c r="X33" s="719"/>
      <c r="Y33" s="3773"/>
      <c r="Z33" s="720" t="str">
        <f t="shared" si="12"/>
        <v>项目建筑规模</v>
      </c>
      <c r="AA33" s="1537">
        <f t="shared" si="3"/>
        <v>1</v>
      </c>
      <c r="AB33" s="1537">
        <f t="shared" si="4"/>
        <v>1</v>
      </c>
      <c r="AC33" s="1537">
        <f t="shared" si="5"/>
        <v>1</v>
      </c>
    </row>
    <row r="34" spans="1:29" ht="15">
      <c r="A34" s="431"/>
      <c r="B34" s="381" t="s">
        <v>2388</v>
      </c>
      <c r="C34" s="2098" t="s">
        <v>3499</v>
      </c>
      <c r="D34" s="394">
        <v>100</v>
      </c>
      <c r="E34" s="2098" t="s">
        <v>3499</v>
      </c>
      <c r="F34" s="420">
        <f>SUMIF(105:105,E34,106:106)-SUMIF(105:105,C34,106:106)+100</f>
        <v>100</v>
      </c>
      <c r="G34" s="2098" t="s">
        <v>3499</v>
      </c>
      <c r="H34" s="394">
        <f>SUMIF(105:105,G34,106:106)-SUMIF(105:105,C34,106:106)+100</f>
        <v>100</v>
      </c>
      <c r="I34" s="2098" t="s">
        <v>3499</v>
      </c>
      <c r="J34" s="394">
        <f>SUMIF(105:105,I34,106:106)-SUMIF(105:105,C34,106:106)+100</f>
        <v>100</v>
      </c>
      <c r="K34" s="569">
        <v>2</v>
      </c>
      <c r="L34" s="2949"/>
      <c r="M34" s="2943"/>
      <c r="N34" s="2943"/>
      <c r="O34" s="2943"/>
      <c r="P34" s="3771"/>
      <c r="Q34" s="1536" t="str">
        <f t="shared" si="8"/>
        <v>建筑结构</v>
      </c>
      <c r="R34" s="714" t="s">
        <v>17</v>
      </c>
      <c r="S34" s="715">
        <f t="shared" si="9"/>
        <v>100</v>
      </c>
      <c r="T34" s="714" t="s">
        <v>17</v>
      </c>
      <c r="U34" s="715">
        <f t="shared" si="10"/>
        <v>100</v>
      </c>
      <c r="V34" s="714" t="s">
        <v>17</v>
      </c>
      <c r="W34" s="715">
        <f t="shared" si="11"/>
        <v>100</v>
      </c>
      <c r="X34" s="1539"/>
      <c r="Y34" s="3773"/>
      <c r="Z34" s="1540" t="str">
        <f t="shared" si="12"/>
        <v>建筑结构</v>
      </c>
      <c r="AA34" s="1537">
        <f t="shared" si="3"/>
        <v>1</v>
      </c>
      <c r="AB34" s="1537">
        <f t="shared" si="4"/>
        <v>1</v>
      </c>
      <c r="AC34" s="1537">
        <f t="shared" si="5"/>
        <v>1</v>
      </c>
    </row>
    <row r="35" spans="1:29" ht="15">
      <c r="A35" s="431"/>
      <c r="B35" s="381" t="s">
        <v>2482</v>
      </c>
      <c r="C35" s="2092" t="s">
        <v>3503</v>
      </c>
      <c r="D35" s="394">
        <v>100</v>
      </c>
      <c r="E35" s="2092" t="s">
        <v>3500</v>
      </c>
      <c r="F35" s="420">
        <f>SUMIF(107:107,E35,108:108)-SUMIF(107:107,C35,108:108)+100</f>
        <v>104</v>
      </c>
      <c r="G35" s="2092" t="s">
        <v>3500</v>
      </c>
      <c r="H35" s="394">
        <f>SUMIF(107:107,G35,108:108)-SUMIF(107:107,C35,108:108)+100</f>
        <v>104</v>
      </c>
      <c r="I35" s="2092" t="s">
        <v>3500</v>
      </c>
      <c r="J35" s="394">
        <f>SUMIF(107:107,I35,108:108)-SUMIF(107:107,C35,108:108)+100</f>
        <v>104</v>
      </c>
      <c r="K35" s="569">
        <v>2</v>
      </c>
      <c r="L35" s="2949"/>
      <c r="M35" s="2943"/>
      <c r="N35" s="2943"/>
      <c r="O35" s="2943"/>
      <c r="P35" s="3771"/>
      <c r="Q35" s="1536" t="str">
        <f t="shared" si="8"/>
        <v>公共部分装修</v>
      </c>
      <c r="R35" s="714" t="s">
        <v>17</v>
      </c>
      <c r="S35" s="715">
        <f t="shared" si="9"/>
        <v>104</v>
      </c>
      <c r="T35" s="714" t="s">
        <v>17</v>
      </c>
      <c r="U35" s="715">
        <f t="shared" si="10"/>
        <v>104</v>
      </c>
      <c r="V35" s="714" t="s">
        <v>17</v>
      </c>
      <c r="W35" s="715">
        <f t="shared" si="11"/>
        <v>104</v>
      </c>
      <c r="X35" s="1539"/>
      <c r="Y35" s="3773"/>
      <c r="Z35" s="1540" t="str">
        <f t="shared" si="12"/>
        <v>公共部分装修</v>
      </c>
      <c r="AA35" s="1537">
        <f t="shared" si="3"/>
        <v>0.96153846153846156</v>
      </c>
      <c r="AB35" s="1537">
        <f t="shared" si="4"/>
        <v>0.96153846153846156</v>
      </c>
      <c r="AC35" s="1537">
        <f t="shared" si="5"/>
        <v>0.96153846153846156</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771"/>
      <c r="Q36" s="1536" t="str">
        <f t="shared" si="8"/>
        <v>成新度</v>
      </c>
      <c r="R36" s="714" t="s">
        <v>17</v>
      </c>
      <c r="S36" s="715">
        <f t="shared" si="9"/>
        <v>100</v>
      </c>
      <c r="T36" s="714" t="s">
        <v>17</v>
      </c>
      <c r="U36" s="715">
        <f t="shared" si="10"/>
        <v>100</v>
      </c>
      <c r="V36" s="714" t="s">
        <v>17</v>
      </c>
      <c r="W36" s="715">
        <f t="shared" si="11"/>
        <v>100</v>
      </c>
      <c r="X36" s="1539"/>
      <c r="Y36" s="3773"/>
      <c r="Z36" s="1540" t="str">
        <f t="shared" si="12"/>
        <v>成新度</v>
      </c>
      <c r="AA36" s="1537">
        <f t="shared" si="3"/>
        <v>1</v>
      </c>
      <c r="AB36" s="1537">
        <f t="shared" si="4"/>
        <v>1</v>
      </c>
      <c r="AC36" s="1537">
        <f t="shared" si="5"/>
        <v>1</v>
      </c>
    </row>
    <row r="37" spans="1:29" s="113" customFormat="1" ht="15" hidden="1">
      <c r="A37" s="432"/>
      <c r="B37" s="381" t="s">
        <v>2484</v>
      </c>
      <c r="C37" s="2092" t="s">
        <v>3475</v>
      </c>
      <c r="D37" s="132">
        <v>100</v>
      </c>
      <c r="E37" s="2092" t="s">
        <v>3475</v>
      </c>
      <c r="F37" s="420">
        <f>SUMIF(112:112,E37,113:113)-SUMIF(112:112,C37,113:113)+100</f>
        <v>100</v>
      </c>
      <c r="G37" s="2092" t="s">
        <v>3475</v>
      </c>
      <c r="H37" s="394">
        <f>SUMIF(112:112,G37,113:113)-SUMIF(112:112,C37,113:113)+100</f>
        <v>100</v>
      </c>
      <c r="I37" s="2092" t="s">
        <v>3475</v>
      </c>
      <c r="J37" s="394">
        <f>SUMIF(112:112,I37,113:113)-SUMIF(112:112,C37,113:113)+100</f>
        <v>100</v>
      </c>
      <c r="K37" s="569">
        <v>2</v>
      </c>
      <c r="L37" s="2944"/>
      <c r="M37" s="2945"/>
      <c r="N37" s="2945"/>
      <c r="O37" s="2945"/>
      <c r="P37" s="3771"/>
      <c r="Q37" s="1527" t="str">
        <f t="shared" si="8"/>
        <v>市政基础设施</v>
      </c>
      <c r="R37" s="710" t="s">
        <v>17</v>
      </c>
      <c r="S37" s="711">
        <f t="shared" si="9"/>
        <v>100</v>
      </c>
      <c r="T37" s="710" t="s">
        <v>17</v>
      </c>
      <c r="U37" s="711">
        <f t="shared" si="10"/>
        <v>100</v>
      </c>
      <c r="V37" s="710" t="s">
        <v>17</v>
      </c>
      <c r="W37" s="711">
        <f t="shared" si="11"/>
        <v>100</v>
      </c>
      <c r="X37" s="712"/>
      <c r="Y37" s="3773"/>
      <c r="Z37" s="55"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771" t="s">
        <v>2386</v>
      </c>
      <c r="Q38" s="1536" t="str">
        <f t="shared" si="8"/>
        <v>业态</v>
      </c>
      <c r="R38" s="714" t="s">
        <v>17</v>
      </c>
      <c r="S38" s="715">
        <f t="shared" si="9"/>
        <v>100</v>
      </c>
      <c r="T38" s="714" t="s">
        <v>17</v>
      </c>
      <c r="U38" s="715">
        <f t="shared" si="10"/>
        <v>100</v>
      </c>
      <c r="V38" s="714" t="s">
        <v>17</v>
      </c>
      <c r="W38" s="715">
        <f t="shared" si="11"/>
        <v>100</v>
      </c>
      <c r="X38" s="1539"/>
      <c r="Y38" s="3773" t="s">
        <v>2386</v>
      </c>
      <c r="Z38" s="1540" t="str">
        <f t="shared" si="12"/>
        <v>业态</v>
      </c>
      <c r="AA38" s="1537">
        <f t="shared" si="3"/>
        <v>1</v>
      </c>
      <c r="AB38" s="1537">
        <f t="shared" si="4"/>
        <v>1</v>
      </c>
      <c r="AC38" s="1537">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771"/>
      <c r="Q39" s="1536" t="str">
        <f t="shared" si="8"/>
        <v>层高</v>
      </c>
      <c r="R39" s="714" t="s">
        <v>17</v>
      </c>
      <c r="S39" s="715">
        <f t="shared" si="9"/>
        <v>100</v>
      </c>
      <c r="T39" s="714" t="s">
        <v>17</v>
      </c>
      <c r="U39" s="715">
        <f t="shared" si="10"/>
        <v>100</v>
      </c>
      <c r="V39" s="714" t="s">
        <v>17</v>
      </c>
      <c r="W39" s="715">
        <f t="shared" si="11"/>
        <v>100</v>
      </c>
      <c r="X39" s="1539"/>
      <c r="Y39" s="3773"/>
      <c r="Z39" s="1540" t="str">
        <f t="shared" si="12"/>
        <v>层高</v>
      </c>
      <c r="AA39" s="1537">
        <f t="shared" si="3"/>
        <v>1</v>
      </c>
      <c r="AB39" s="1537">
        <f t="shared" si="4"/>
        <v>1</v>
      </c>
      <c r="AC39" s="1537">
        <f t="shared" si="5"/>
        <v>1</v>
      </c>
    </row>
    <row r="40" spans="1:29" ht="15">
      <c r="A40" s="431"/>
      <c r="B40" s="381" t="s">
        <v>2487</v>
      </c>
      <c r="C40" s="428">
        <f>C33</f>
        <v>3839.16</v>
      </c>
      <c r="D40" s="394">
        <v>100</v>
      </c>
      <c r="E40" s="428">
        <f>'案例-租金'!N17</f>
        <v>227.5</v>
      </c>
      <c r="F40" s="420">
        <f>SUMIF(118:118,E40,119:119)-SUMIF(118:118,C40,119:119)+100</f>
        <v>102</v>
      </c>
      <c r="G40" s="428">
        <f>'案例-租金'!N20</f>
        <v>673.84999999999991</v>
      </c>
      <c r="H40" s="394">
        <f>SUMIF(118:118,G40,119:119)-SUMIF(118:118,C40,119:119)+100</f>
        <v>101</v>
      </c>
      <c r="I40" s="428">
        <f>'案例-租金'!N21</f>
        <v>130</v>
      </c>
      <c r="J40" s="394">
        <f>SUMIF(118:118,I40,119:119)-SUMIF(118:118,C40,119:119)+100</f>
        <v>102</v>
      </c>
      <c r="K40" s="570"/>
      <c r="L40" s="2949"/>
      <c r="M40" s="2943"/>
      <c r="N40" s="2943"/>
      <c r="O40" s="2943"/>
      <c r="P40" s="3771"/>
      <c r="Q40" s="1536" t="str">
        <f t="shared" si="8"/>
        <v>单套建筑面积</v>
      </c>
      <c r="R40" s="714" t="s">
        <v>17</v>
      </c>
      <c r="S40" s="715">
        <f t="shared" si="9"/>
        <v>102</v>
      </c>
      <c r="T40" s="714" t="s">
        <v>17</v>
      </c>
      <c r="U40" s="715">
        <f t="shared" si="10"/>
        <v>101</v>
      </c>
      <c r="V40" s="714" t="s">
        <v>17</v>
      </c>
      <c r="W40" s="715">
        <f t="shared" si="11"/>
        <v>102</v>
      </c>
      <c r="X40" s="1539"/>
      <c r="Y40" s="3773"/>
      <c r="Z40" s="1540" t="str">
        <f t="shared" si="12"/>
        <v>单套建筑面积</v>
      </c>
      <c r="AA40" s="1537">
        <f t="shared" si="3"/>
        <v>0.98039215686274506</v>
      </c>
      <c r="AB40" s="1537">
        <f t="shared" si="4"/>
        <v>0.99009900990099009</v>
      </c>
      <c r="AC40" s="1537">
        <f t="shared" si="5"/>
        <v>0.98039215686274506</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771"/>
      <c r="Q41" s="716" t="str">
        <f t="shared" si="8"/>
        <v>进深比</v>
      </c>
      <c r="R41" s="717" t="s">
        <v>17</v>
      </c>
      <c r="S41" s="718">
        <f t="shared" si="9"/>
        <v>100</v>
      </c>
      <c r="T41" s="717" t="s">
        <v>17</v>
      </c>
      <c r="U41" s="718">
        <f t="shared" si="10"/>
        <v>100</v>
      </c>
      <c r="V41" s="717" t="s">
        <v>17</v>
      </c>
      <c r="W41" s="718">
        <f t="shared" si="11"/>
        <v>100</v>
      </c>
      <c r="X41" s="719"/>
      <c r="Y41" s="3773"/>
      <c r="Z41" s="720" t="str">
        <f t="shared" si="12"/>
        <v>进深比</v>
      </c>
      <c r="AA41" s="1537">
        <f t="shared" si="3"/>
        <v>1</v>
      </c>
      <c r="AB41" s="1537">
        <f t="shared" si="4"/>
        <v>1</v>
      </c>
      <c r="AC41" s="1537">
        <f t="shared" si="5"/>
        <v>1</v>
      </c>
    </row>
    <row r="42" spans="1:29" ht="15" hidden="1">
      <c r="A42" s="431"/>
      <c r="B42" s="381" t="s">
        <v>2489</v>
      </c>
      <c r="C42" s="2092" t="s">
        <v>3503</v>
      </c>
      <c r="D42" s="394">
        <v>100</v>
      </c>
      <c r="E42" s="2092" t="s">
        <v>3503</v>
      </c>
      <c r="F42" s="420">
        <f>SUMIF(122:122,E42,123:123)-SUMIF(122:122,C42,123:123)+100</f>
        <v>100</v>
      </c>
      <c r="G42" s="2092" t="s">
        <v>3503</v>
      </c>
      <c r="H42" s="394">
        <f>SUMIF(122:122,G42,123:123)-SUMIF(122:122,C42,123:123)+100</f>
        <v>100</v>
      </c>
      <c r="I42" s="2092" t="s">
        <v>3500</v>
      </c>
      <c r="J42" s="394">
        <f>SUMIF(122:122,I42,123:123)-SUMIF(122:122,C42,123:123)+100</f>
        <v>100</v>
      </c>
      <c r="K42" s="569">
        <v>0</v>
      </c>
      <c r="L42" s="2949"/>
      <c r="M42" s="2943"/>
      <c r="N42" s="2943"/>
      <c r="O42" s="2943"/>
      <c r="P42" s="3771"/>
      <c r="Q42" s="1536" t="str">
        <f t="shared" si="8"/>
        <v>内部装修</v>
      </c>
      <c r="R42" s="714" t="s">
        <v>17</v>
      </c>
      <c r="S42" s="715">
        <f t="shared" si="9"/>
        <v>100</v>
      </c>
      <c r="T42" s="714" t="s">
        <v>17</v>
      </c>
      <c r="U42" s="715">
        <f t="shared" si="10"/>
        <v>100</v>
      </c>
      <c r="V42" s="714" t="s">
        <v>17</v>
      </c>
      <c r="W42" s="715">
        <f t="shared" si="11"/>
        <v>100</v>
      </c>
      <c r="X42" s="1539"/>
      <c r="Y42" s="3773"/>
      <c r="Z42" s="1540" t="str">
        <f t="shared" si="12"/>
        <v>内部装修</v>
      </c>
      <c r="AA42" s="1537">
        <f t="shared" si="3"/>
        <v>1</v>
      </c>
      <c r="AB42" s="1537">
        <f t="shared" si="4"/>
        <v>1</v>
      </c>
      <c r="AC42" s="1537">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771"/>
      <c r="Q43" s="1536" t="str">
        <f t="shared" si="8"/>
        <v>内部装修维护情况</v>
      </c>
      <c r="R43" s="714" t="s">
        <v>17</v>
      </c>
      <c r="S43" s="715">
        <f t="shared" si="9"/>
        <v>100</v>
      </c>
      <c r="T43" s="714" t="s">
        <v>17</v>
      </c>
      <c r="U43" s="715">
        <f t="shared" si="10"/>
        <v>100</v>
      </c>
      <c r="V43" s="714" t="s">
        <v>17</v>
      </c>
      <c r="W43" s="715">
        <f t="shared" si="11"/>
        <v>100</v>
      </c>
      <c r="X43" s="1539"/>
      <c r="Y43" s="3773"/>
      <c r="Z43" s="1540" t="str">
        <f t="shared" si="12"/>
        <v>内部装修维护情况</v>
      </c>
      <c r="AA43" s="1537">
        <f t="shared" si="3"/>
        <v>1</v>
      </c>
      <c r="AB43" s="1537">
        <f t="shared" si="4"/>
        <v>1</v>
      </c>
      <c r="AC43" s="1537">
        <f t="shared" si="5"/>
        <v>1</v>
      </c>
    </row>
    <row r="44" spans="1:29" s="113" customFormat="1" ht="15">
      <c r="A44" s="432"/>
      <c r="B44" s="3378" t="s">
        <v>4136</v>
      </c>
      <c r="C44" s="3379" t="s">
        <v>4137</v>
      </c>
      <c r="D44" s="132">
        <v>100</v>
      </c>
      <c r="E44" s="3184" t="s">
        <v>4195</v>
      </c>
      <c r="F44" s="384">
        <f>SUMIF(126:126,E44,127:127)-SUMIF(126:126,C44,127:127)+100</f>
        <v>102</v>
      </c>
      <c r="G44" s="3184" t="s">
        <v>4138</v>
      </c>
      <c r="H44" s="132">
        <f>SUMIF(126:126,G44,127:127)-SUMIF(126:126,C44,127:127)+100</f>
        <v>102</v>
      </c>
      <c r="I44" s="3184" t="s">
        <v>4138</v>
      </c>
      <c r="J44" s="132">
        <f>SUMIF(126:126,I44,127:127)-SUMIF(126:126,C44,127:127)+100</f>
        <v>102</v>
      </c>
      <c r="K44" s="570"/>
      <c r="L44" s="2944"/>
      <c r="M44" s="2945"/>
      <c r="N44" s="2945"/>
      <c r="O44" s="2945"/>
      <c r="P44" s="3771"/>
      <c r="Q44" s="1527" t="str">
        <f t="shared" si="8"/>
        <v>租赁类型</v>
      </c>
      <c r="R44" s="710" t="s">
        <v>17</v>
      </c>
      <c r="S44" s="711">
        <f t="shared" si="9"/>
        <v>102</v>
      </c>
      <c r="T44" s="710" t="s">
        <v>17</v>
      </c>
      <c r="U44" s="711">
        <f t="shared" si="10"/>
        <v>102</v>
      </c>
      <c r="V44" s="710" t="s">
        <v>17</v>
      </c>
      <c r="W44" s="711">
        <f t="shared" si="11"/>
        <v>102</v>
      </c>
      <c r="X44" s="712"/>
      <c r="Y44" s="3773"/>
      <c r="Z44" s="55"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771"/>
      <c r="Q45" s="1536">
        <f t="shared" si="8"/>
        <v>111</v>
      </c>
      <c r="R45" s="714" t="s">
        <v>17</v>
      </c>
      <c r="S45" s="715">
        <f t="shared" si="9"/>
        <v>100</v>
      </c>
      <c r="T45" s="714" t="s">
        <v>17</v>
      </c>
      <c r="U45" s="715">
        <f t="shared" si="10"/>
        <v>100</v>
      </c>
      <c r="V45" s="714" t="s">
        <v>17</v>
      </c>
      <c r="W45" s="715">
        <f t="shared" si="11"/>
        <v>100</v>
      </c>
      <c r="X45" s="1539"/>
      <c r="Y45" s="3773"/>
      <c r="Z45" s="1540">
        <f t="shared" si="12"/>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772"/>
      <c r="Q46" s="1536">
        <f t="shared" si="8"/>
        <v>111</v>
      </c>
      <c r="R46" s="714" t="s">
        <v>17</v>
      </c>
      <c r="S46" s="715">
        <f t="shared" si="9"/>
        <v>100</v>
      </c>
      <c r="T46" s="714" t="s">
        <v>17</v>
      </c>
      <c r="U46" s="715">
        <f t="shared" si="10"/>
        <v>100</v>
      </c>
      <c r="V46" s="714" t="s">
        <v>17</v>
      </c>
      <c r="W46" s="715">
        <f t="shared" si="11"/>
        <v>100</v>
      </c>
      <c r="X46" s="1539"/>
      <c r="Y46" s="3774"/>
      <c r="Z46" s="1540">
        <f t="shared" si="12"/>
        <v>111</v>
      </c>
      <c r="AA46" s="1537">
        <f t="shared" si="3"/>
        <v>1</v>
      </c>
      <c r="AB46" s="1537">
        <f t="shared" si="4"/>
        <v>1</v>
      </c>
      <c r="AC46" s="1537">
        <f t="shared" si="5"/>
        <v>1</v>
      </c>
    </row>
    <row r="47" spans="1:29" ht="15">
      <c r="A47" s="438" t="s">
        <v>2398</v>
      </c>
      <c r="B47" s="439"/>
      <c r="C47" s="1316" t="s">
        <v>1</v>
      </c>
      <c r="D47" s="1317"/>
      <c r="E47" s="1318">
        <f>'案例-租金'!O17</f>
        <v>16.100000000000001</v>
      </c>
      <c r="F47" s="1319"/>
      <c r="G47" s="1320">
        <f>ROUND('案例-租金'!O20,1)</f>
        <v>16</v>
      </c>
      <c r="H47" s="1321"/>
      <c r="I47" s="1318">
        <f>ROUND('案例-租金'!O21,1)</f>
        <v>17.600000000000001</v>
      </c>
      <c r="J47" s="1321"/>
      <c r="K47" s="723"/>
      <c r="L47" s="2951"/>
      <c r="M47" s="2952"/>
      <c r="N47" s="2943"/>
      <c r="O47" s="2952"/>
      <c r="P47" s="3766" t="str">
        <f>A47</f>
        <v>成交单价（元/平方米）</v>
      </c>
      <c r="Q47" s="3766"/>
      <c r="R47" s="3797">
        <f>E47</f>
        <v>16.100000000000001</v>
      </c>
      <c r="S47" s="3797"/>
      <c r="T47" s="3797">
        <f>G47</f>
        <v>16</v>
      </c>
      <c r="U47" s="3797"/>
      <c r="V47" s="3797">
        <f>I47</f>
        <v>17.600000000000001</v>
      </c>
      <c r="W47" s="3797"/>
      <c r="X47" s="699"/>
      <c r="Y47" s="721"/>
      <c r="Z47" s="699"/>
      <c r="AA47" s="699"/>
      <c r="AB47" s="699"/>
      <c r="AC47" s="699"/>
    </row>
    <row r="48" spans="1:29" ht="15.75" thickBot="1">
      <c r="A48" s="445" t="s">
        <v>2490</v>
      </c>
      <c r="B48" s="446"/>
      <c r="C48" s="1322">
        <f>R49</f>
        <v>19.399999999999999</v>
      </c>
      <c r="D48" s="2538" t="s">
        <v>2877</v>
      </c>
      <c r="E48" s="1323">
        <f>R48</f>
        <v>17.399999999999999</v>
      </c>
      <c r="F48" s="2539"/>
      <c r="G48" s="1322">
        <f>T48</f>
        <v>19.899999999999999</v>
      </c>
      <c r="H48" s="2539"/>
      <c r="I48" s="1323">
        <f>V48</f>
        <v>20.8</v>
      </c>
      <c r="J48" s="2539"/>
      <c r="K48" s="2541">
        <f>F48+H48+J48</f>
        <v>0</v>
      </c>
      <c r="L48" s="2951"/>
      <c r="M48" s="2952"/>
      <c r="N48" s="2943"/>
      <c r="O48" s="2952"/>
      <c r="P48" s="3766" t="str">
        <f>A48</f>
        <v>比较价值（元/平方米）</v>
      </c>
      <c r="Q48" s="3766"/>
      <c r="R48" s="3767">
        <f>IF(F1="售价",ROUND(PRODUCT(R47,AA7:AA46),0),ROUND(PRODUCT(R47,AA7:AA46),1))</f>
        <v>17.399999999999999</v>
      </c>
      <c r="S48" s="3767"/>
      <c r="T48" s="3767">
        <f>IF(F1="售价",ROUND(PRODUCT(T47,AB7:AB46),0),ROUND(PRODUCT(T47,AB7:AB46),1))</f>
        <v>19.899999999999999</v>
      </c>
      <c r="U48" s="3767"/>
      <c r="V48" s="3767">
        <f>IF(F1="售价",ROUND(PRODUCT(V47,AC7:AC46),0),ROUND(PRODUCT(V47,AC7:AC46),1))</f>
        <v>20.8</v>
      </c>
      <c r="W48" s="3767"/>
      <c r="X48" s="699"/>
      <c r="Y48" s="699"/>
      <c r="Z48" s="699"/>
      <c r="AA48" s="699"/>
      <c r="AB48" s="699"/>
      <c r="AC48" s="699"/>
    </row>
    <row r="49" spans="1:29" ht="15.75" thickBot="1">
      <c r="A49" s="449" t="s">
        <v>2491</v>
      </c>
      <c r="B49" s="450"/>
      <c r="C49" s="1325">
        <f>R49</f>
        <v>19.399999999999999</v>
      </c>
      <c r="D49" s="1325"/>
      <c r="E49" s="1325"/>
      <c r="F49" s="1325"/>
      <c r="G49" s="1325"/>
      <c r="H49" s="1325"/>
      <c r="I49" s="1325"/>
      <c r="J49" s="1325"/>
      <c r="K49" s="724"/>
      <c r="L49" s="2951"/>
      <c r="M49" s="2952"/>
      <c r="N49" s="2943"/>
      <c r="O49" s="2952"/>
      <c r="P49" s="3763" t="str">
        <f>A49</f>
        <v>估价对象XX用房的比较价值（楼面单价，元/平方米）</v>
      </c>
      <c r="Q49" s="3764"/>
      <c r="R49" s="3765">
        <f>IF(F1="售价",ROUND(IF(D48="简单平均",AVERAGE(R48:V48),R48*F48+T48*H48+V48*J48),0),ROUND(IF(D48="简单平均",AVERAGE(R48:V48),R48*F48+T48*H48+V48*J48),1))</f>
        <v>19.399999999999999</v>
      </c>
      <c r="S49" s="3765"/>
      <c r="T49" s="3765"/>
      <c r="U49" s="3765"/>
      <c r="V49" s="3765"/>
      <c r="W49" s="3765"/>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8.0745341614906652E-2</v>
      </c>
      <c r="F52" s="457" t="str">
        <f>IF(OR(E52&gt;=0.3,E52&lt;=-0.3),"超过30%","")</f>
        <v/>
      </c>
      <c r="G52" s="456">
        <f>IF(G47&lt;G48,G48/G47-1,G47/G48-1)</f>
        <v>0.24374999999999991</v>
      </c>
      <c r="H52" s="457" t="str">
        <f>IF(OR(G52&gt;=0.3,G52&lt;=-0.3),"超过30%","")</f>
        <v/>
      </c>
      <c r="I52" s="456">
        <f>IF(I47&lt;I48,I48/I47-1,I47/I48-1)</f>
        <v>0.18181818181818166</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0.14367816091954033</v>
      </c>
      <c r="F53" s="457" t="str">
        <f>IF(OR(E53&gt;=0.2,E53&lt;=-0.2),"超过20%","")</f>
        <v/>
      </c>
      <c r="G53" s="456">
        <f>IF(G48&lt;I48,I48/G48-1,G48/I48-1)</f>
        <v>4.5226130653266416E-2</v>
      </c>
      <c r="H53" s="457" t="str">
        <f>IF(OR(G53&gt;=0.2,G53&lt;=-0.2),"超过20%","")</f>
        <v/>
      </c>
      <c r="I53" s="456">
        <f>IF(I48&lt;E48,E48/I48-1,I48/E48-1)</f>
        <v>0.19540229885057481</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6.2500000000000888E-3</v>
      </c>
      <c r="F54" s="457" t="str">
        <f>IF(OR(E54&gt;=0.3,E54&lt;=-0.3),"超过30%","")</f>
        <v/>
      </c>
      <c r="G54" s="456">
        <f>IF(G47&lt;I47,I47/G47-1,G47/I47-1)</f>
        <v>0.10000000000000009</v>
      </c>
      <c r="H54" s="457" t="str">
        <f>IF(OR(G54&gt;=0.3,G54&lt;=-0.3),"超过30%","")</f>
        <v/>
      </c>
      <c r="I54" s="456">
        <f>IF(I47&lt;E47,E47/I47-1,I47/E47-1)</f>
        <v>9.3167701863354102E-2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v>100</v>
      </c>
      <c r="G59" s="469">
        <v>100</v>
      </c>
      <c r="H59" s="469">
        <v>100</v>
      </c>
      <c r="I59" s="469">
        <v>98</v>
      </c>
      <c r="J59" s="469">
        <v>98</v>
      </c>
      <c r="K59" s="469">
        <v>98</v>
      </c>
      <c r="L59" s="469">
        <v>98</v>
      </c>
      <c r="M59" s="469">
        <v>98</v>
      </c>
      <c r="N59" s="469">
        <v>98</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租期</v>
      </c>
      <c r="C70" s="511">
        <v>3</v>
      </c>
      <c r="D70" s="511">
        <v>8</v>
      </c>
      <c r="E70" s="511">
        <v>10</v>
      </c>
      <c r="F70" s="511">
        <v>15</v>
      </c>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98</v>
      </c>
      <c r="E71" s="493">
        <v>98</v>
      </c>
      <c r="F71" s="493">
        <v>96</v>
      </c>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产权/统一经营</v>
      </c>
      <c r="C72" s="3168" t="s">
        <v>4189</v>
      </c>
      <c r="D72" s="3168" t="s">
        <v>4190</v>
      </c>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95</v>
      </c>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8" t="s">
        <v>3481</v>
      </c>
      <c r="D86" s="3168" t="s">
        <v>3477</v>
      </c>
      <c r="E86" s="3168" t="s">
        <v>3478</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97</v>
      </c>
      <c r="E87" s="501">
        <f t="shared" si="16"/>
        <v>94</v>
      </c>
      <c r="F87" s="501">
        <f t="shared" si="16"/>
        <v>91</v>
      </c>
      <c r="G87" s="501">
        <f t="shared" si="16"/>
        <v>88</v>
      </c>
      <c r="H87" s="501">
        <f t="shared" si="16"/>
        <v>85</v>
      </c>
      <c r="I87" s="501">
        <f t="shared" si="16"/>
        <v>82</v>
      </c>
      <c r="J87" s="501">
        <f t="shared" si="16"/>
        <v>79</v>
      </c>
      <c r="K87" s="501">
        <f t="shared" si="16"/>
        <v>76</v>
      </c>
      <c r="L87" s="501">
        <f t="shared" si="16"/>
        <v>73</v>
      </c>
      <c r="M87" s="501">
        <f t="shared" si="16"/>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展示面/可视性</v>
      </c>
      <c r="C88" s="3168" t="s">
        <v>4037</v>
      </c>
      <c r="D88" s="3168" t="s">
        <v>4038</v>
      </c>
      <c r="E88" s="3168" t="s">
        <v>4039</v>
      </c>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90</v>
      </c>
      <c r="E89" s="493">
        <v>80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6" t="s">
        <v>4041</v>
      </c>
      <c r="D90" s="3168" t="s">
        <v>4042</v>
      </c>
      <c r="E90" s="3168" t="s">
        <v>4039</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3" t="s">
        <v>4045</v>
      </c>
      <c r="D100" s="3183" t="s">
        <v>4044</v>
      </c>
      <c r="E100" s="3321" t="s">
        <v>4192</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97</v>
      </c>
      <c r="E101" s="501">
        <f t="shared" si="18"/>
        <v>94</v>
      </c>
      <c r="F101" s="501">
        <f t="shared" si="18"/>
        <v>91</v>
      </c>
      <c r="G101" s="501">
        <f t="shared" si="18"/>
        <v>88</v>
      </c>
      <c r="H101" s="501">
        <f t="shared" si="18"/>
        <v>85</v>
      </c>
      <c r="I101" s="501">
        <f t="shared" si="18"/>
        <v>82</v>
      </c>
      <c r="J101" s="501">
        <f t="shared" si="18"/>
        <v>79</v>
      </c>
      <c r="K101" s="501">
        <f t="shared" si="18"/>
        <v>76</v>
      </c>
      <c r="L101" s="501">
        <f t="shared" si="18"/>
        <v>73</v>
      </c>
      <c r="M101" s="502">
        <f t="shared" si="18"/>
        <v>70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517">
        <v>100</v>
      </c>
      <c r="E104" s="517">
        <v>100</v>
      </c>
      <c r="F104" s="517">
        <v>100</v>
      </c>
      <c r="G104" s="517">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6" t="s">
        <v>3559</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8" t="s">
        <v>3483</v>
      </c>
      <c r="D107" s="3168" t="s">
        <v>3484</v>
      </c>
      <c r="E107" s="3168" t="s">
        <v>3485</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v>
      </c>
      <c r="E108" s="501">
        <f t="shared" si="21"/>
        <v>96</v>
      </c>
      <c r="F108" s="501">
        <f t="shared" si="21"/>
        <v>94</v>
      </c>
      <c r="G108" s="501">
        <f t="shared" si="21"/>
        <v>92</v>
      </c>
      <c r="H108" s="501">
        <f t="shared" si="21"/>
        <v>90</v>
      </c>
      <c r="I108" s="501">
        <f t="shared" si="21"/>
        <v>88</v>
      </c>
      <c r="J108" s="501">
        <f t="shared" si="21"/>
        <v>86</v>
      </c>
      <c r="K108" s="501">
        <f t="shared" si="21"/>
        <v>84</v>
      </c>
      <c r="L108" s="501">
        <f t="shared" si="21"/>
        <v>82</v>
      </c>
      <c r="M108" s="502">
        <f t="shared" si="21"/>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6" t="s">
        <v>3560</v>
      </c>
      <c r="D112" s="3186" t="s">
        <v>3561</v>
      </c>
      <c r="E112" s="3186" t="s">
        <v>3562</v>
      </c>
      <c r="F112" s="3186" t="s">
        <v>3563</v>
      </c>
      <c r="G112" s="3186" t="s">
        <v>3564</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3">D113-$K37</f>
        <v>96</v>
      </c>
      <c r="F113" s="501">
        <f t="shared" si="23"/>
        <v>94</v>
      </c>
      <c r="G113" s="501">
        <f t="shared" si="23"/>
        <v>92</v>
      </c>
      <c r="H113" s="501">
        <f t="shared" si="23"/>
        <v>90</v>
      </c>
      <c r="I113" s="501">
        <f t="shared" si="23"/>
        <v>88</v>
      </c>
      <c r="J113" s="501">
        <f t="shared" si="23"/>
        <v>86</v>
      </c>
      <c r="K113" s="501">
        <f t="shared" si="23"/>
        <v>84</v>
      </c>
      <c r="L113" s="501">
        <f t="shared" si="23"/>
        <v>82</v>
      </c>
      <c r="M113" s="501">
        <f t="shared" si="23"/>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130</v>
      </c>
      <c r="D118" s="583">
        <f>E40</f>
        <v>227.5</v>
      </c>
      <c r="E118" s="583">
        <f>G40</f>
        <v>673.84999999999991</v>
      </c>
      <c r="F118" s="583">
        <f>C40</f>
        <v>3839.16</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99</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8" t="s">
        <v>3483</v>
      </c>
      <c r="D122" s="3168" t="s">
        <v>3484</v>
      </c>
      <c r="E122" s="3168" t="s">
        <v>3485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86" t="s">
        <v>4137</v>
      </c>
      <c r="D126" s="3186" t="s">
        <v>4138</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78" priority="21" stopIfTrue="1" operator="containsText" text="超过">
      <formula>NOT(ISERROR(SEARCH("超过",F52)))</formula>
    </cfRule>
  </conditionalFormatting>
  <conditionalFormatting sqref="H54">
    <cfRule type="containsText" dxfId="77" priority="19" stopIfTrue="1" operator="containsText" text="超过">
      <formula>NOT(ISERROR(SEARCH("超过",H54)))</formula>
    </cfRule>
  </conditionalFormatting>
  <conditionalFormatting sqref="F54">
    <cfRule type="containsText" dxfId="76" priority="18" stopIfTrue="1" operator="containsText" text="超过">
      <formula>NOT(ISERROR(SEARCH("超过",F54)))</formula>
    </cfRule>
  </conditionalFormatting>
  <conditionalFormatting sqref="F53 H53">
    <cfRule type="containsText" dxfId="75" priority="17" stopIfTrue="1" operator="containsText" text="超过">
      <formula>NOT(ISERROR(SEARCH("超过",F53)))</formula>
    </cfRule>
  </conditionalFormatting>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G54">
    <cfRule type="expression" dxfId="71" priority="13" stopIfTrue="1">
      <formula>$H$54="超过30%"</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J52">
    <cfRule type="containsText" dxfId="68" priority="10" stopIfTrue="1" operator="containsText" text="超过">
      <formula>NOT(ISERROR(SEARCH("超过",J52)))</formula>
    </cfRule>
  </conditionalFormatting>
  <conditionalFormatting sqref="J54">
    <cfRule type="containsText" dxfId="67" priority="9" stopIfTrue="1" operator="containsText" text="超过">
      <formula>NOT(ISERROR(SEARCH("超过",J54)))</formula>
    </cfRule>
  </conditionalFormatting>
  <conditionalFormatting sqref="J53">
    <cfRule type="containsText" dxfId="66" priority="8" stopIfTrue="1" operator="containsText" text="超过">
      <formula>NOT(ISERROR(SEARCH("超过",J53)))</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F48">
    <cfRule type="expression" dxfId="62" priority="4">
      <formula>$D$48="简单平均"</formula>
    </cfRule>
  </conditionalFormatting>
  <conditionalFormatting sqref="H48">
    <cfRule type="expression" dxfId="61" priority="3">
      <formula>$D$48="简单平均"</formula>
    </cfRule>
  </conditionalFormatting>
  <conditionalFormatting sqref="J48">
    <cfRule type="expression" dxfId="60" priority="2">
      <formula>$D$48="简单平均"</formula>
    </cfRule>
  </conditionalFormatting>
  <conditionalFormatting sqref="F7:F46 H7:H46 J7:J46">
    <cfRule type="cellIs" dxfId="59" priority="1" operator="notEqual">
      <formula>100</formula>
    </cfRule>
  </conditionalFormatting>
  <dataValidations count="25">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E34 G34 I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C2" xr:uid="{00000000-0002-0000-2600-000016000000}">
      <formula1>"需扣减承租人权益,——"</formula1>
    </dataValidation>
    <dataValidation type="list" allowBlank="1" showInputMessage="1" showErrorMessage="1" sqref="F2" xr:uid="{00000000-0002-0000-2600-000017000000}">
      <formula1>估价方法</formula1>
    </dataValidation>
    <dataValidation type="list" allowBlank="1" showInputMessage="1" showErrorMessage="1" sqref="D48"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678"/>
      <c r="B4" s="3507" t="s">
        <v>1595</v>
      </c>
      <c r="C4" s="3507"/>
      <c r="D4" s="3507"/>
      <c r="E4" s="1678"/>
    </row>
    <row r="5" spans="1:5" ht="16.5" thickTop="1">
      <c r="A5" s="1676"/>
      <c r="B5" s="3505" t="s">
        <v>1587</v>
      </c>
      <c r="C5" s="1679" t="s">
        <v>1588</v>
      </c>
      <c r="D5" s="959">
        <f ca="1">结果表!H101</f>
        <v>179559</v>
      </c>
      <c r="E5" s="1676"/>
    </row>
    <row r="6" spans="1:5" ht="15.75">
      <c r="A6" s="1676"/>
      <c r="B6" s="3505"/>
      <c r="C6" s="1679" t="s">
        <v>1589</v>
      </c>
      <c r="D6" s="959" t="str">
        <f ca="1">NUMBERSTRING(INT(D5*10000),2)&amp;"元整"</f>
        <v>壹拾柒亿玖仟伍佰伍拾玖万元整</v>
      </c>
      <c r="E6" s="1676"/>
    </row>
    <row r="7" spans="1:5" ht="15.75">
      <c r="A7" s="1676"/>
      <c r="B7" s="3510"/>
      <c r="C7" s="1680" t="s">
        <v>1590</v>
      </c>
      <c r="D7" s="960">
        <f ca="1">结果表!H102</f>
        <v>37652</v>
      </c>
      <c r="E7" s="1676"/>
    </row>
    <row r="8" spans="1:5" ht="15.75">
      <c r="A8" s="1676"/>
      <c r="B8" s="3511" t="str">
        <f>结果表!E103</f>
        <v>2.估价师知悉的法定优先受偿款</v>
      </c>
      <c r="C8" s="1681" t="s">
        <v>1591</v>
      </c>
      <c r="D8" s="960">
        <f>结果表!H103</f>
        <v>0</v>
      </c>
      <c r="E8" s="1676"/>
    </row>
    <row r="9" spans="1:5" ht="15.75">
      <c r="A9" s="1676"/>
      <c r="B9" s="351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504" t="str">
        <f>结果表!E107</f>
        <v>3.房地产抵押价值</v>
      </c>
      <c r="C13" s="1684" t="s">
        <v>1588</v>
      </c>
      <c r="D13" s="962">
        <f ca="1">结果表!H107</f>
        <v>179559</v>
      </c>
      <c r="E13" s="1676"/>
    </row>
    <row r="14" spans="1:5" ht="15.75">
      <c r="A14" s="1676"/>
      <c r="B14" s="3505"/>
      <c r="C14" s="1679" t="s">
        <v>1589</v>
      </c>
      <c r="D14" s="959" t="str">
        <f ca="1">NUMBERSTRING(INT(D13*10000),2)&amp;"元整"</f>
        <v>壹拾柒亿玖仟伍佰伍拾玖万元整</v>
      </c>
      <c r="E14" s="1676"/>
    </row>
    <row r="15" spans="1:5" ht="15">
      <c r="A15" s="1676"/>
      <c r="B15" s="3510"/>
      <c r="C15" s="1680" t="s">
        <v>1599</v>
      </c>
      <c r="D15" s="968">
        <f ca="1">结果表!H108</f>
        <v>37652</v>
      </c>
      <c r="E15" s="1676"/>
    </row>
    <row r="16" spans="1:5" ht="15">
      <c r="A16" s="1676"/>
      <c r="B16" s="3511" t="str">
        <f>结果表!E109</f>
        <v>——</v>
      </c>
      <c r="C16" s="1684" t="s">
        <v>1600</v>
      </c>
      <c r="D16" s="1685" t="str">
        <f>结果表!H109</f>
        <v>——</v>
      </c>
      <c r="E16" s="1676"/>
    </row>
    <row r="17" spans="1:5" ht="15.75">
      <c r="A17" s="1676"/>
      <c r="B17" s="3512"/>
      <c r="C17" s="1679" t="s">
        <v>1601</v>
      </c>
      <c r="D17" s="959" t="e">
        <f>NUMBERSTRING(INT(D16*10000),2)&amp;"元整"</f>
        <v>#VALUE!</v>
      </c>
      <c r="E17" s="1676"/>
    </row>
    <row r="18" spans="1:5" ht="15">
      <c r="A18" s="1676"/>
      <c r="B18" s="3513"/>
      <c r="C18" s="1680" t="s">
        <v>1590</v>
      </c>
      <c r="D18" s="968" t="str">
        <f>结果表!H110</f>
        <v>——</v>
      </c>
      <c r="E18" s="1676"/>
    </row>
    <row r="19" spans="1:5" ht="15.75">
      <c r="A19" s="1676"/>
      <c r="B19" s="3504" t="str">
        <f>结果表!E111</f>
        <v>——</v>
      </c>
      <c r="C19" s="1684" t="s">
        <v>1588</v>
      </c>
      <c r="D19" s="960" t="str">
        <f>结果表!H111</f>
        <v>——</v>
      </c>
      <c r="E19" s="1676"/>
    </row>
    <row r="20" spans="1:5" ht="15.75">
      <c r="A20" s="1676"/>
      <c r="B20" s="3505"/>
      <c r="C20" s="1679" t="s">
        <v>1601</v>
      </c>
      <c r="D20" s="959" t="e">
        <f>NUMBERSTRING(INT(D19*10000),2)&amp;"元整"</f>
        <v>#VALUE!</v>
      </c>
      <c r="E20" s="1676"/>
    </row>
    <row r="21" spans="1:5" ht="15.75" thickBot="1">
      <c r="A21" s="1676"/>
      <c r="B21" s="350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zoomScaleNormal="70" zoomScaleSheetLayoutView="100" workbookViewId="0">
      <selection activeCell="C49" sqref="C4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25</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5.2</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81" t="s">
        <v>2357</v>
      </c>
      <c r="D4" s="3782"/>
      <c r="E4" s="3783" t="s">
        <v>2358</v>
      </c>
      <c r="F4" s="3784"/>
      <c r="G4" s="3781" t="s">
        <v>2359</v>
      </c>
      <c r="H4" s="3782"/>
      <c r="I4" s="3781" t="s">
        <v>2360</v>
      </c>
      <c r="J4" s="3782"/>
      <c r="K4" s="567" t="s">
        <v>2361</v>
      </c>
      <c r="L4" s="2942"/>
      <c r="M4" s="2943"/>
      <c r="N4" s="2943"/>
      <c r="O4" s="2943"/>
      <c r="P4" s="3785" t="s">
        <v>2362</v>
      </c>
      <c r="Q4" s="3786"/>
      <c r="R4" s="3791" t="s">
        <v>2358</v>
      </c>
      <c r="S4" s="3792"/>
      <c r="T4" s="3791" t="s">
        <v>2359</v>
      </c>
      <c r="U4" s="3792"/>
      <c r="V4" s="3797" t="s">
        <v>2360</v>
      </c>
      <c r="W4" s="3797"/>
      <c r="X4" s="3288"/>
      <c r="Y4" s="3791" t="s">
        <v>2362</v>
      </c>
      <c r="Z4" s="3792"/>
      <c r="AA4" s="3778" t="s">
        <v>2358</v>
      </c>
      <c r="AB4" s="3797" t="s">
        <v>2359</v>
      </c>
      <c r="AC4" s="3778" t="s">
        <v>2360</v>
      </c>
    </row>
    <row r="5" spans="1:29" ht="13.9" customHeight="1">
      <c r="A5" s="364"/>
      <c r="B5" s="365"/>
      <c r="C5" s="3846" t="s">
        <v>3756</v>
      </c>
      <c r="D5" s="3801"/>
      <c r="E5" s="3857" t="str">
        <f>'案例-租金'!L25</f>
        <v>丰联大厦</v>
      </c>
      <c r="F5" s="3808"/>
      <c r="G5" s="3800" t="str">
        <f>'案例-租金'!L26</f>
        <v>朝阳门SOHO</v>
      </c>
      <c r="H5" s="3801"/>
      <c r="I5" s="3800" t="str">
        <f>'案例-租金'!L28</f>
        <v>凯恒中心</v>
      </c>
      <c r="J5" s="3801"/>
      <c r="K5" s="567"/>
      <c r="L5" s="2942"/>
      <c r="M5" s="2943"/>
      <c r="N5" s="2943"/>
      <c r="O5" s="2943"/>
      <c r="P5" s="3787"/>
      <c r="Q5" s="3788"/>
      <c r="R5" s="3793"/>
      <c r="S5" s="3794"/>
      <c r="T5" s="3793"/>
      <c r="U5" s="3794"/>
      <c r="V5" s="3797"/>
      <c r="W5" s="3797"/>
      <c r="X5" s="3288"/>
      <c r="Y5" s="3793"/>
      <c r="Z5" s="3794"/>
      <c r="AA5" s="3779"/>
      <c r="AB5" s="3797"/>
      <c r="AC5" s="3779"/>
    </row>
    <row r="6" spans="1:29" ht="15.75" customHeight="1" thickBot="1">
      <c r="A6" s="366"/>
      <c r="B6" s="367"/>
      <c r="C6" s="3847" t="s">
        <v>3482</v>
      </c>
      <c r="D6" s="3799"/>
      <c r="E6" s="3858" t="s">
        <v>4289</v>
      </c>
      <c r="F6" s="3806"/>
      <c r="G6" s="3858" t="s">
        <v>4285</v>
      </c>
      <c r="H6" s="3806"/>
      <c r="I6" s="3847" t="s">
        <v>4288</v>
      </c>
      <c r="J6" s="3799"/>
      <c r="K6" s="567" t="s">
        <v>2368</v>
      </c>
      <c r="L6" s="2942"/>
      <c r="M6" s="2943"/>
      <c r="N6" s="2943"/>
      <c r="O6" s="2943"/>
      <c r="P6" s="3789"/>
      <c r="Q6" s="3790"/>
      <c r="R6" s="3793"/>
      <c r="S6" s="3794"/>
      <c r="T6" s="3795"/>
      <c r="U6" s="3796"/>
      <c r="V6" s="3797"/>
      <c r="W6" s="3797"/>
      <c r="X6" s="3288"/>
      <c r="Y6" s="3795"/>
      <c r="Z6" s="3796"/>
      <c r="AA6" s="3780"/>
      <c r="AB6" s="3797"/>
      <c r="AC6" s="3780"/>
    </row>
    <row r="7" spans="1:29" s="113" customFormat="1" ht="15.75" thickBot="1">
      <c r="A7" s="368" t="s">
        <v>2369</v>
      </c>
      <c r="B7" s="369"/>
      <c r="C7" s="370">
        <f>'数据-取费表'!B2</f>
        <v>42914</v>
      </c>
      <c r="D7" s="371">
        <v>100</v>
      </c>
      <c r="E7" s="372">
        <v>42635</v>
      </c>
      <c r="F7" s="373">
        <f>SUMIF(58:58,YEAR(E7)&amp;"-"&amp;MONTH(E7),59:59)</f>
        <v>99</v>
      </c>
      <c r="G7" s="372">
        <v>42886</v>
      </c>
      <c r="H7" s="371">
        <f>SUMIF(58:58,YEAR(G7)&amp;"-"&amp;MONTH(G7),59:59)</f>
        <v>100</v>
      </c>
      <c r="I7" s="372">
        <v>42803</v>
      </c>
      <c r="J7" s="371">
        <f>SUMIF(58:58,YEAR(I7)&amp;"-"&amp;MONTH(I7),59:59)</f>
        <v>100</v>
      </c>
      <c r="K7" s="568"/>
      <c r="L7" s="2944"/>
      <c r="M7" s="2945"/>
      <c r="N7" s="2945"/>
      <c r="O7" s="2945"/>
      <c r="P7" s="3802" t="s">
        <v>2370</v>
      </c>
      <c r="Q7" s="3804"/>
      <c r="R7" s="710" t="s">
        <v>17</v>
      </c>
      <c r="S7" s="711">
        <f t="shared" ref="S7:S15" si="0">F7</f>
        <v>99</v>
      </c>
      <c r="T7" s="710" t="s">
        <v>17</v>
      </c>
      <c r="U7" s="711">
        <f t="shared" ref="U7:U15" si="1">H7</f>
        <v>100</v>
      </c>
      <c r="V7" s="710" t="s">
        <v>17</v>
      </c>
      <c r="W7" s="711">
        <f t="shared" ref="W7:W15" si="2">J7</f>
        <v>100</v>
      </c>
      <c r="X7" s="712"/>
      <c r="Y7" s="3802" t="s">
        <v>2370</v>
      </c>
      <c r="Z7" s="3803"/>
      <c r="AA7" s="713">
        <f>D7/F7</f>
        <v>1.0101010101010102</v>
      </c>
      <c r="AB7" s="713">
        <f>D7/H7</f>
        <v>1</v>
      </c>
      <c r="AC7" s="713">
        <f>D7/J7</f>
        <v>1</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802" t="s">
        <v>2373</v>
      </c>
      <c r="Q8" s="3803"/>
      <c r="R8" s="710" t="s">
        <v>17</v>
      </c>
      <c r="S8" s="711">
        <f t="shared" si="0"/>
        <v>100</v>
      </c>
      <c r="T8" s="710" t="s">
        <v>17</v>
      </c>
      <c r="U8" s="711">
        <f t="shared" si="1"/>
        <v>100</v>
      </c>
      <c r="V8" s="710" t="s">
        <v>17</v>
      </c>
      <c r="W8" s="711">
        <f t="shared" si="2"/>
        <v>100</v>
      </c>
      <c r="X8" s="712"/>
      <c r="Y8" s="3802" t="s">
        <v>2373</v>
      </c>
      <c r="Z8" s="3803"/>
      <c r="AA8" s="713">
        <f t="shared" ref="AA8:AA46" si="3">D8/F8</f>
        <v>1</v>
      </c>
      <c r="AB8" s="713">
        <f t="shared" ref="AB8:AB46" si="4">D8/H8</f>
        <v>1</v>
      </c>
      <c r="AC8" s="713">
        <f t="shared" ref="AC8:AC46" si="5">D8/J8</f>
        <v>1</v>
      </c>
    </row>
    <row r="9" spans="1:29" s="113" customFormat="1">
      <c r="A9" s="375" t="s">
        <v>2374</v>
      </c>
      <c r="B9" s="67" t="s">
        <v>2375</v>
      </c>
      <c r="C9" s="3185" t="s">
        <v>3558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77" t="s">
        <v>2376</v>
      </c>
      <c r="Q9" s="3287" t="str">
        <f t="shared" ref="Q9:Q15" si="6">B9</f>
        <v>用途</v>
      </c>
      <c r="R9" s="710" t="s">
        <v>17</v>
      </c>
      <c r="S9" s="711">
        <f t="shared" si="0"/>
        <v>100</v>
      </c>
      <c r="T9" s="710" t="s">
        <v>17</v>
      </c>
      <c r="U9" s="711">
        <f t="shared" si="1"/>
        <v>100</v>
      </c>
      <c r="V9" s="710" t="s">
        <v>17</v>
      </c>
      <c r="W9" s="711">
        <f t="shared" si="2"/>
        <v>100</v>
      </c>
      <c r="X9" s="712"/>
      <c r="Y9" s="3636" t="s">
        <v>2377</v>
      </c>
      <c r="Z9" s="3286" t="str">
        <f t="shared" ref="Z9:Z15" si="7">Q9</f>
        <v>用途</v>
      </c>
      <c r="AA9" s="713">
        <f t="shared" si="3"/>
        <v>1</v>
      </c>
      <c r="AB9" s="713">
        <f t="shared" si="4"/>
        <v>1</v>
      </c>
      <c r="AC9" s="713">
        <f t="shared" si="5"/>
        <v>1</v>
      </c>
    </row>
    <row r="10" spans="1:29" s="386" customFormat="1" ht="27" hidden="1">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77"/>
      <c r="Q10" s="3287" t="str">
        <f t="shared" si="6"/>
        <v>土地使用年限（年）</v>
      </c>
      <c r="R10" s="710" t="s">
        <v>17</v>
      </c>
      <c r="S10" s="711">
        <f t="shared" si="0"/>
        <v>100</v>
      </c>
      <c r="T10" s="710" t="s">
        <v>17</v>
      </c>
      <c r="U10" s="711">
        <f t="shared" si="1"/>
        <v>100</v>
      </c>
      <c r="V10" s="710" t="s">
        <v>17</v>
      </c>
      <c r="W10" s="711">
        <f t="shared" si="2"/>
        <v>100</v>
      </c>
      <c r="X10" s="712"/>
      <c r="Y10" s="3636"/>
      <c r="Z10" s="3286"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77"/>
      <c r="Q11" s="3287" t="str">
        <f t="shared" si="6"/>
        <v>容积率</v>
      </c>
      <c r="R11" s="710" t="s">
        <v>17</v>
      </c>
      <c r="S11" s="711">
        <f t="shared" si="0"/>
        <v>100</v>
      </c>
      <c r="T11" s="710" t="s">
        <v>17</v>
      </c>
      <c r="U11" s="711">
        <f t="shared" si="1"/>
        <v>100</v>
      </c>
      <c r="V11" s="710" t="s">
        <v>17</v>
      </c>
      <c r="W11" s="711">
        <f t="shared" si="2"/>
        <v>100</v>
      </c>
      <c r="X11" s="712"/>
      <c r="Y11" s="3636"/>
      <c r="Z11" s="3286" t="str">
        <f t="shared" si="7"/>
        <v>容积率</v>
      </c>
      <c r="AA11" s="713">
        <f t="shared" si="3"/>
        <v>1</v>
      </c>
      <c r="AB11" s="713">
        <f t="shared" si="4"/>
        <v>1</v>
      </c>
      <c r="AC11" s="713">
        <f t="shared" si="5"/>
        <v>1</v>
      </c>
    </row>
    <row r="12" spans="1:29" s="113" customFormat="1" ht="15">
      <c r="A12" s="390"/>
      <c r="B12" s="3315" t="s">
        <v>4242</v>
      </c>
      <c r="C12" s="3313" t="s">
        <v>4243</v>
      </c>
      <c r="D12" s="392">
        <v>100</v>
      </c>
      <c r="E12" s="3170" t="s">
        <v>4243</v>
      </c>
      <c r="F12" s="384">
        <f>SUMIF(70:70,E12,71:71)-SUMIF(70:70,C12,71:71)+100</f>
        <v>100</v>
      </c>
      <c r="G12" s="3170" t="s">
        <v>4244</v>
      </c>
      <c r="H12" s="132">
        <f>SUMIF(70:70,G12,71:71)-SUMIF(70:70,C12,71:71)+100</f>
        <v>95</v>
      </c>
      <c r="I12" s="3170" t="s">
        <v>4243</v>
      </c>
      <c r="J12" s="132">
        <f>SUMIF(70:70,I12,71:71)-SUMIF(70:70,C12,71:71)+100</f>
        <v>100</v>
      </c>
      <c r="K12" s="570"/>
      <c r="L12" s="2944"/>
      <c r="M12" s="2945"/>
      <c r="N12" s="2945"/>
      <c r="O12" s="2945"/>
      <c r="P12" s="3777"/>
      <c r="Q12" s="3287" t="str">
        <f t="shared" si="6"/>
        <v>产权</v>
      </c>
      <c r="R12" s="710" t="s">
        <v>17</v>
      </c>
      <c r="S12" s="711">
        <f t="shared" si="0"/>
        <v>100</v>
      </c>
      <c r="T12" s="710" t="s">
        <v>17</v>
      </c>
      <c r="U12" s="711">
        <f t="shared" si="1"/>
        <v>95</v>
      </c>
      <c r="V12" s="710" t="s">
        <v>17</v>
      </c>
      <c r="W12" s="711">
        <f t="shared" si="2"/>
        <v>100</v>
      </c>
      <c r="X12" s="712"/>
      <c r="Y12" s="3636"/>
      <c r="Z12" s="3286" t="str">
        <f t="shared" si="7"/>
        <v>产权</v>
      </c>
      <c r="AA12" s="713">
        <f>D12/F12</f>
        <v>1</v>
      </c>
      <c r="AB12" s="713">
        <f>D12/H12</f>
        <v>1.0526315789473684</v>
      </c>
      <c r="AC12" s="713">
        <f>D12/J12</f>
        <v>1</v>
      </c>
    </row>
    <row r="13" spans="1:29" ht="15">
      <c r="A13" s="387"/>
      <c r="B13" s="3315" t="s">
        <v>4253</v>
      </c>
      <c r="C13" s="393">
        <v>15</v>
      </c>
      <c r="D13" s="394">
        <v>100</v>
      </c>
      <c r="E13" s="393">
        <v>3</v>
      </c>
      <c r="F13" s="384">
        <f>SUMIF(72:72,E13,73:73)-SUMIF(72:72,C13,73:73)+100</f>
        <v>104</v>
      </c>
      <c r="G13" s="393">
        <v>5</v>
      </c>
      <c r="H13" s="394">
        <f>SUMIF(72:72,G13,73:73)-SUMIF(72:72,C13,73:73)+100</f>
        <v>102</v>
      </c>
      <c r="I13" s="393">
        <v>7</v>
      </c>
      <c r="J13" s="394">
        <f>SUMIF(72:72,I13,73:73)-SUMIF(72:72,C13,73:73)+100</f>
        <v>102</v>
      </c>
      <c r="K13" s="570"/>
      <c r="L13" s="2949"/>
      <c r="M13" s="2943"/>
      <c r="N13" s="2943"/>
      <c r="O13" s="2943"/>
      <c r="P13" s="3777"/>
      <c r="Q13" s="3287" t="str">
        <f t="shared" si="6"/>
        <v>租期</v>
      </c>
      <c r="R13" s="710" t="s">
        <v>17</v>
      </c>
      <c r="S13" s="711">
        <f t="shared" si="0"/>
        <v>104</v>
      </c>
      <c r="T13" s="710" t="s">
        <v>17</v>
      </c>
      <c r="U13" s="711">
        <f t="shared" si="1"/>
        <v>102</v>
      </c>
      <c r="V13" s="710" t="s">
        <v>17</v>
      </c>
      <c r="W13" s="711">
        <f t="shared" si="2"/>
        <v>102</v>
      </c>
      <c r="X13" s="712"/>
      <c r="Y13" s="3636"/>
      <c r="Z13" s="3286" t="str">
        <f t="shared" si="7"/>
        <v>租期</v>
      </c>
      <c r="AA13" s="713">
        <f t="shared" si="3"/>
        <v>0.96153846153846156</v>
      </c>
      <c r="AB13" s="713">
        <f t="shared" si="4"/>
        <v>0.98039215686274506</v>
      </c>
      <c r="AC13" s="713">
        <f t="shared" si="5"/>
        <v>0.98039215686274506</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3312"/>
      <c r="M14" s="2943"/>
      <c r="N14" s="2943"/>
      <c r="O14" s="2943"/>
      <c r="P14" s="3777"/>
      <c r="Q14" s="3287">
        <f t="shared" si="6"/>
        <v>111</v>
      </c>
      <c r="R14" s="710" t="s">
        <v>17</v>
      </c>
      <c r="S14" s="711">
        <f t="shared" si="0"/>
        <v>100</v>
      </c>
      <c r="T14" s="710" t="s">
        <v>17</v>
      </c>
      <c r="U14" s="711">
        <f t="shared" si="1"/>
        <v>100</v>
      </c>
      <c r="V14" s="710" t="s">
        <v>17</v>
      </c>
      <c r="W14" s="711">
        <f t="shared" si="2"/>
        <v>100</v>
      </c>
      <c r="X14" s="712"/>
      <c r="Y14" s="3636"/>
      <c r="Z14" s="3286">
        <f t="shared" si="7"/>
        <v>111</v>
      </c>
      <c r="AA14" s="713">
        <f t="shared" si="3"/>
        <v>1</v>
      </c>
      <c r="AB14" s="713">
        <f t="shared" si="4"/>
        <v>1</v>
      </c>
      <c r="AC14" s="713">
        <f t="shared" si="5"/>
        <v>1</v>
      </c>
    </row>
    <row r="15" spans="1:29" ht="74.2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9" t="s">
        <v>3774</v>
      </c>
      <c r="F15" s="402">
        <f>SUMIF(76:76,E16,77:77)-SUMIF(76:76,C16,77:77)+100</f>
        <v>103</v>
      </c>
      <c r="G15" s="3225" t="str">
        <f>'比较法-商业租金'!G15</f>
        <v>位于朝阳门区域，有朝阳SOHO、悠唐中心等购物场所，商业氛围较成熟，人流量较大，商业繁华度较好</v>
      </c>
      <c r="H15" s="400">
        <f>SUMIF(76:76,G16,77:77)-SUMIF(76:76,C16,77:77)+100</f>
        <v>100</v>
      </c>
      <c r="I15" s="3225" t="str">
        <f>G15</f>
        <v>位于朝阳门区域，有朝阳SOHO、悠唐中心等购物场所，商业氛围较成熟，人流量较大，商业繁华度较好</v>
      </c>
      <c r="J15" s="400">
        <f>SUMIF(76:76,I16,77:77)-SUMIF(76:76,C16,77:77)+100</f>
        <v>100</v>
      </c>
      <c r="K15" s="571">
        <v>3</v>
      </c>
      <c r="L15" s="3229"/>
      <c r="M15" s="2943"/>
      <c r="N15" s="2943"/>
      <c r="O15" s="2943"/>
      <c r="P15" s="3775" t="s">
        <v>2381</v>
      </c>
      <c r="Q15" s="3291" t="str">
        <f t="shared" si="6"/>
        <v>商业繁华度</v>
      </c>
      <c r="R15" s="714" t="s">
        <v>17</v>
      </c>
      <c r="S15" s="715">
        <f t="shared" si="0"/>
        <v>103</v>
      </c>
      <c r="T15" s="714" t="s">
        <v>17</v>
      </c>
      <c r="U15" s="715">
        <f t="shared" si="1"/>
        <v>100</v>
      </c>
      <c r="V15" s="714" t="s">
        <v>17</v>
      </c>
      <c r="W15" s="715">
        <f t="shared" si="2"/>
        <v>100</v>
      </c>
      <c r="X15" s="3288"/>
      <c r="Y15" s="3768" t="s">
        <v>2381</v>
      </c>
      <c r="Z15" s="3289" t="str">
        <f t="shared" si="7"/>
        <v>商业繁华度</v>
      </c>
      <c r="AA15" s="3292">
        <f t="shared" si="3"/>
        <v>0.970873786407767</v>
      </c>
      <c r="AB15" s="3292">
        <f t="shared" si="4"/>
        <v>1</v>
      </c>
      <c r="AC15" s="3292">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776"/>
      <c r="Q16" s="3291"/>
      <c r="R16" s="714"/>
      <c r="S16" s="715"/>
      <c r="T16" s="714"/>
      <c r="U16" s="715"/>
      <c r="V16" s="714"/>
      <c r="W16" s="715"/>
      <c r="X16" s="3288"/>
      <c r="Y16" s="3769"/>
      <c r="Z16" s="3289"/>
      <c r="AA16" s="3292">
        <v>1</v>
      </c>
      <c r="AB16" s="3292">
        <v>1</v>
      </c>
      <c r="AC16" s="3292">
        <v>1</v>
      </c>
    </row>
    <row r="17" spans="1:29" ht="66"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2" t="s">
        <v>3767</v>
      </c>
      <c r="F17" s="412">
        <f>SUMIF(78:78,E18,79:79)-SUMIF(78:78,C18,79:79)+100</f>
        <v>97</v>
      </c>
      <c r="G17" s="3222" t="str">
        <f>'比较法-商业租金'!G17</f>
        <v>主路口紧邻城市次干道-南竹杆胡同，距离地铁2号线（1984年）、6号线朝阳门站约300米，多条公交线路通达，公共交通便利，综合评价交通便捷度较好。</v>
      </c>
      <c r="H17" s="414">
        <f>SUMIF(78:78,G18,79:79)-SUMIF(78:78,C18,79:79)+100</f>
        <v>97</v>
      </c>
      <c r="I17" s="3222" t="str">
        <f>G17</f>
        <v>主路口紧邻城市次干道-南竹杆胡同，距离地铁2号线（1984年）、6号线朝阳门站约300米，多条公交线路通达，公共交通便利，综合评价交通便捷度较好。</v>
      </c>
      <c r="J17" s="414">
        <f>SUMIF(78:78,I18,79:79)-SUMIF(78:78,C18,79:79)+100</f>
        <v>97</v>
      </c>
      <c r="K17" s="571">
        <v>3</v>
      </c>
      <c r="L17" s="3222"/>
      <c r="M17" s="2943"/>
      <c r="N17" s="2943"/>
      <c r="O17" s="2943"/>
      <c r="P17" s="3776"/>
      <c r="Q17" s="3291" t="str">
        <f>B17</f>
        <v>交通便捷度</v>
      </c>
      <c r="R17" s="714" t="s">
        <v>17</v>
      </c>
      <c r="S17" s="715">
        <f>F17</f>
        <v>97</v>
      </c>
      <c r="T17" s="714" t="s">
        <v>17</v>
      </c>
      <c r="U17" s="715">
        <f>H17</f>
        <v>97</v>
      </c>
      <c r="V17" s="714" t="s">
        <v>17</v>
      </c>
      <c r="W17" s="715">
        <f>J17</f>
        <v>97</v>
      </c>
      <c r="X17" s="3288"/>
      <c r="Y17" s="3769"/>
      <c r="Z17" s="3289" t="str">
        <f>Q17</f>
        <v>交通便捷度</v>
      </c>
      <c r="AA17" s="3292">
        <f t="shared" si="3"/>
        <v>1.0309278350515463</v>
      </c>
      <c r="AB17" s="3292">
        <f t="shared" si="4"/>
        <v>1.0309278350515463</v>
      </c>
      <c r="AC17" s="3292">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776"/>
      <c r="Q18" s="3291"/>
      <c r="R18" s="714"/>
      <c r="S18" s="715"/>
      <c r="T18" s="714"/>
      <c r="U18" s="715"/>
      <c r="V18" s="714"/>
      <c r="W18" s="715"/>
      <c r="X18" s="3288"/>
      <c r="Y18" s="3769"/>
      <c r="Z18" s="3289"/>
      <c r="AA18" s="3292">
        <v>1</v>
      </c>
      <c r="AB18" s="3292">
        <v>1</v>
      </c>
      <c r="AC18" s="3292">
        <v>1</v>
      </c>
    </row>
    <row r="19" spans="1:29" ht="85.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4" t="s">
        <v>3768</v>
      </c>
      <c r="F19" s="417">
        <f>SUMIF(80:80,E20,81:81)-SUMIF(80:80,C20,81:81)+100</f>
        <v>100</v>
      </c>
      <c r="G19" s="3224" t="str">
        <f>'比较法-商业租金'!G19</f>
        <v>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4" t="str">
        <f>G19</f>
        <v>估价对象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J19" s="409">
        <f>SUMIF(80:80,I20,81:81)-SUMIF(80:80,C20,81:81)+100</f>
        <v>100</v>
      </c>
      <c r="K19" s="571">
        <v>2</v>
      </c>
      <c r="L19" s="3224"/>
      <c r="M19" s="2943"/>
      <c r="N19" s="2943"/>
      <c r="O19" s="2943"/>
      <c r="P19" s="3776"/>
      <c r="Q19" s="3291" t="str">
        <f>B19</f>
        <v>公共配套设施</v>
      </c>
      <c r="R19" s="714" t="s">
        <v>17</v>
      </c>
      <c r="S19" s="715">
        <f>F19</f>
        <v>100</v>
      </c>
      <c r="T19" s="714" t="s">
        <v>17</v>
      </c>
      <c r="U19" s="715">
        <f>H19</f>
        <v>100</v>
      </c>
      <c r="V19" s="714" t="s">
        <v>17</v>
      </c>
      <c r="W19" s="715">
        <f>J19</f>
        <v>100</v>
      </c>
      <c r="X19" s="3288"/>
      <c r="Y19" s="3769"/>
      <c r="Z19" s="3289" t="str">
        <f>Q19</f>
        <v>公共配套设施</v>
      </c>
      <c r="AA19" s="3292">
        <f t="shared" si="3"/>
        <v>1</v>
      </c>
      <c r="AB19" s="3292">
        <f t="shared" si="4"/>
        <v>1</v>
      </c>
      <c r="AC19" s="3292">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776"/>
      <c r="Q20" s="3291"/>
      <c r="R20" s="714"/>
      <c r="S20" s="715"/>
      <c r="T20" s="714"/>
      <c r="U20" s="715"/>
      <c r="V20" s="714"/>
      <c r="W20" s="715"/>
      <c r="X20" s="3288"/>
      <c r="Y20" s="3769"/>
      <c r="Z20" s="3289"/>
      <c r="AA20" s="3292">
        <v>1</v>
      </c>
      <c r="AB20" s="3292">
        <v>1</v>
      </c>
      <c r="AC20" s="3292">
        <v>1</v>
      </c>
    </row>
    <row r="21" spans="1:29" ht="21"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776"/>
      <c r="Q21" s="3291" t="str">
        <f>B21</f>
        <v>基础设施水平</v>
      </c>
      <c r="R21" s="714" t="s">
        <v>17</v>
      </c>
      <c r="S21" s="715">
        <f>F21</f>
        <v>100</v>
      </c>
      <c r="T21" s="714" t="s">
        <v>17</v>
      </c>
      <c r="U21" s="715">
        <f>H21</f>
        <v>100</v>
      </c>
      <c r="V21" s="714" t="s">
        <v>17</v>
      </c>
      <c r="W21" s="715">
        <f>J21</f>
        <v>100</v>
      </c>
      <c r="X21" s="3288"/>
      <c r="Y21" s="3769"/>
      <c r="Z21" s="3289" t="str">
        <f>Q21</f>
        <v>基础设施水平</v>
      </c>
      <c r="AA21" s="3292">
        <f>D21/F21</f>
        <v>1</v>
      </c>
      <c r="AB21" s="3292">
        <f>D21/H21</f>
        <v>1</v>
      </c>
      <c r="AC21" s="3292">
        <f>D21/J21</f>
        <v>1</v>
      </c>
    </row>
    <row r="22" spans="1:29" ht="15">
      <c r="A22" s="387"/>
      <c r="B22" s="1293"/>
      <c r="C22" s="2087" t="s">
        <v>3475</v>
      </c>
      <c r="D22" s="407"/>
      <c r="E22" s="2087" t="s">
        <v>3475</v>
      </c>
      <c r="F22" s="408"/>
      <c r="G22" s="2087" t="s">
        <v>3475</v>
      </c>
      <c r="H22" s="407"/>
      <c r="I22" s="2087" t="s">
        <v>3475</v>
      </c>
      <c r="J22" s="407"/>
      <c r="K22" s="1292"/>
      <c r="L22" s="2949"/>
      <c r="M22" s="2943"/>
      <c r="N22" s="2943"/>
      <c r="O22" s="2943"/>
      <c r="P22" s="3776"/>
      <c r="Q22" s="3291"/>
      <c r="R22" s="714"/>
      <c r="S22" s="715"/>
      <c r="T22" s="714"/>
      <c r="U22" s="715"/>
      <c r="V22" s="714"/>
      <c r="W22" s="715"/>
      <c r="X22" s="3288"/>
      <c r="Y22" s="3769"/>
      <c r="Z22" s="3289"/>
      <c r="AA22" s="3292">
        <v>1</v>
      </c>
      <c r="AB22" s="3292">
        <v>1</v>
      </c>
      <c r="AC22" s="3292">
        <v>1</v>
      </c>
    </row>
    <row r="23" spans="1:29" ht="25.5" customHeight="1">
      <c r="A23" s="387"/>
      <c r="B23" s="410" t="s">
        <v>1947</v>
      </c>
      <c r="C23" s="2141" t="str">
        <f>估价对象房地状况!C9</f>
        <v>周边有隆福寺广场、东四清真寺等，自然及人文环境较好</v>
      </c>
      <c r="D23" s="409">
        <v>100</v>
      </c>
      <c r="E23" s="3228" t="s">
        <v>3769</v>
      </c>
      <c r="F23" s="412">
        <f>SUMIF(84:84,E24,85:85)-SUMIF(84:84,C24,85:85)+100</f>
        <v>100</v>
      </c>
      <c r="G23" s="3222" t="str">
        <f>'比较法-商业租金'!G23</f>
        <v>周边有智化寺等，自然及人文环境较好</v>
      </c>
      <c r="H23" s="409">
        <f>SUMIF(84:84,G24,85:85)-SUMIF(84:84,C24,85:85)+100</f>
        <v>100</v>
      </c>
      <c r="I23" s="3223" t="str">
        <f>G23</f>
        <v>周边有智化寺等，自然及人文环境较好</v>
      </c>
      <c r="J23" s="409">
        <f>SUMIF(84:84,I24,85:85)-SUMIF(84:84,C24,85:85)+100</f>
        <v>100</v>
      </c>
      <c r="K23" s="571">
        <v>2</v>
      </c>
      <c r="L23" s="3228"/>
      <c r="M23" s="2943"/>
      <c r="N23" s="2943"/>
      <c r="O23" s="2943"/>
      <c r="P23" s="3776"/>
      <c r="Q23" s="3291" t="str">
        <f>B23</f>
        <v>自然及人文环境</v>
      </c>
      <c r="R23" s="714" t="s">
        <v>17</v>
      </c>
      <c r="S23" s="715">
        <f>F23</f>
        <v>100</v>
      </c>
      <c r="T23" s="714" t="s">
        <v>17</v>
      </c>
      <c r="U23" s="715">
        <f>H23</f>
        <v>100</v>
      </c>
      <c r="V23" s="714" t="s">
        <v>17</v>
      </c>
      <c r="W23" s="715">
        <f>J23</f>
        <v>100</v>
      </c>
      <c r="X23" s="3288"/>
      <c r="Y23" s="3769"/>
      <c r="Z23" s="3289" t="str">
        <f>Q23</f>
        <v>自然及人文环境</v>
      </c>
      <c r="AA23" s="3292">
        <f t="shared" si="3"/>
        <v>1</v>
      </c>
      <c r="AB23" s="3292">
        <f t="shared" si="4"/>
        <v>1</v>
      </c>
      <c r="AC23" s="3292">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776"/>
      <c r="Q24" s="3291"/>
      <c r="R24" s="714"/>
      <c r="S24" s="715"/>
      <c r="T24" s="714"/>
      <c r="U24" s="715"/>
      <c r="V24" s="714"/>
      <c r="W24" s="715"/>
      <c r="X24" s="3288"/>
      <c r="Y24" s="3769"/>
      <c r="Z24" s="3289"/>
      <c r="AA24" s="3292">
        <v>1</v>
      </c>
      <c r="AB24" s="3292">
        <v>1</v>
      </c>
      <c r="AC24" s="3292">
        <v>1</v>
      </c>
    </row>
    <row r="25" spans="1:29" ht="15" hidden="1">
      <c r="A25" s="387"/>
      <c r="B25" s="3460" t="s">
        <v>4263</v>
      </c>
      <c r="C25" s="573" t="s">
        <v>3476</v>
      </c>
      <c r="D25" s="394">
        <v>100</v>
      </c>
      <c r="E25" s="573" t="s">
        <v>3480</v>
      </c>
      <c r="F25" s="420">
        <f>SUMIF(86:86,E25,87:87)-SUMIF(86:86,C25,87:87)+100</f>
        <v>100</v>
      </c>
      <c r="G25" s="573" t="s">
        <v>3763</v>
      </c>
      <c r="H25" s="394">
        <f>SUMIF(86:86,G25,87:87)-SUMIF(86:86,C25,87:87)+100</f>
        <v>100</v>
      </c>
      <c r="I25" s="573" t="s">
        <v>3763</v>
      </c>
      <c r="J25" s="394">
        <f>SUMIF(86:86,I25,87:87)-SUMIF(86:86,C25,87:87)+100</f>
        <v>100</v>
      </c>
      <c r="K25" s="569">
        <v>0</v>
      </c>
      <c r="L25" s="2949"/>
      <c r="M25" s="2943"/>
      <c r="N25" s="2943"/>
      <c r="O25" s="2943"/>
      <c r="P25" s="3776"/>
      <c r="Q25" s="3291" t="str">
        <f t="shared" ref="Q25:Q46" si="8">B25</f>
        <v>临街状况</v>
      </c>
      <c r="R25" s="714" t="s">
        <v>17</v>
      </c>
      <c r="S25" s="715">
        <f>F25</f>
        <v>100</v>
      </c>
      <c r="T25" s="714" t="s">
        <v>17</v>
      </c>
      <c r="U25" s="715">
        <f>H25</f>
        <v>100</v>
      </c>
      <c r="V25" s="714" t="s">
        <v>17</v>
      </c>
      <c r="W25" s="715">
        <f>J25</f>
        <v>100</v>
      </c>
      <c r="X25" s="3288"/>
      <c r="Y25" s="3769"/>
      <c r="Z25" s="3289" t="str">
        <f>Q25</f>
        <v>临街状况</v>
      </c>
      <c r="AA25" s="3292">
        <f t="shared" si="3"/>
        <v>1</v>
      </c>
      <c r="AB25" s="3292">
        <f t="shared" si="4"/>
        <v>1</v>
      </c>
      <c r="AC25" s="3292">
        <f t="shared" si="5"/>
        <v>1</v>
      </c>
    </row>
    <row r="26" spans="1:29" ht="15" hidden="1">
      <c r="A26" s="387"/>
      <c r="B26" s="1295" t="s">
        <v>2478</v>
      </c>
      <c r="C26" s="3184"/>
      <c r="D26" s="394">
        <v>100</v>
      </c>
      <c r="E26" s="3184"/>
      <c r="F26" s="420">
        <f>SUMIF(88:88,E26,89:89)-SUMIF(88:88,C26,89:89)+100</f>
        <v>100</v>
      </c>
      <c r="G26" s="3184"/>
      <c r="H26" s="394">
        <f>SUMIF(88:88,G26,89:89)-SUMIF(88:88,C26,89:89)+100</f>
        <v>100</v>
      </c>
      <c r="I26" s="3184"/>
      <c r="J26" s="394">
        <f>SUMIF(88:88,I26,89:89)-SUMIF(88:88,C26,89:89)+100</f>
        <v>100</v>
      </c>
      <c r="K26" s="570"/>
      <c r="L26" s="2949"/>
      <c r="M26" s="2943"/>
      <c r="N26" s="2943"/>
      <c r="O26" s="2943"/>
      <c r="P26" s="3776"/>
      <c r="Q26" s="3291" t="str">
        <f t="shared" si="8"/>
        <v>平面位置/可视性</v>
      </c>
      <c r="R26" s="714" t="s">
        <v>17</v>
      </c>
      <c r="S26" s="715">
        <f>F26</f>
        <v>100</v>
      </c>
      <c r="T26" s="714" t="s">
        <v>17</v>
      </c>
      <c r="U26" s="715">
        <f>H26</f>
        <v>100</v>
      </c>
      <c r="V26" s="714" t="s">
        <v>17</v>
      </c>
      <c r="W26" s="715">
        <f>J26</f>
        <v>100</v>
      </c>
      <c r="X26" s="3288"/>
      <c r="Y26" s="3769"/>
      <c r="Z26" s="3289" t="str">
        <f>Q26</f>
        <v>平面位置/可视性</v>
      </c>
      <c r="AA26" s="3292">
        <f t="shared" si="3"/>
        <v>1</v>
      </c>
      <c r="AB26" s="3292">
        <f t="shared" si="4"/>
        <v>1</v>
      </c>
      <c r="AC26" s="3292">
        <f t="shared" si="5"/>
        <v>1</v>
      </c>
    </row>
    <row r="27" spans="1:29" s="113" customFormat="1" ht="15">
      <c r="A27" s="390"/>
      <c r="B27" s="410" t="s">
        <v>2479</v>
      </c>
      <c r="C27" s="2142" t="s">
        <v>3567</v>
      </c>
      <c r="D27" s="421">
        <v>100</v>
      </c>
      <c r="E27" s="2142" t="s">
        <v>3567</v>
      </c>
      <c r="F27" s="423">
        <f>SUMIF(90:90,E27,91:91)-SUMIF(90:90,C27,91:91)+100</f>
        <v>100</v>
      </c>
      <c r="G27" s="2142" t="s">
        <v>3567</v>
      </c>
      <c r="H27" s="421">
        <f>SUMIF(90:90,G27,91:91)-SUMIF(90:90,C27,91:91)+100</f>
        <v>100</v>
      </c>
      <c r="I27" s="2142" t="s">
        <v>3567</v>
      </c>
      <c r="J27" s="421">
        <f>SUMIF(90:90,I27,91:91)-SUMIF(90:90,C27,91:91)+100</f>
        <v>100</v>
      </c>
      <c r="K27" s="569">
        <v>2</v>
      </c>
      <c r="L27" s="2944"/>
      <c r="M27" s="2945"/>
      <c r="N27" s="2945"/>
      <c r="O27" s="2945"/>
      <c r="P27" s="3776"/>
      <c r="Q27" s="3287" t="str">
        <f t="shared" si="8"/>
        <v>人流量</v>
      </c>
      <c r="R27" s="710" t="s">
        <v>17</v>
      </c>
      <c r="S27" s="711">
        <f>F27</f>
        <v>100</v>
      </c>
      <c r="T27" s="710" t="s">
        <v>17</v>
      </c>
      <c r="U27" s="711">
        <f>H27</f>
        <v>100</v>
      </c>
      <c r="V27" s="710" t="s">
        <v>17</v>
      </c>
      <c r="W27" s="711">
        <f>J27</f>
        <v>100</v>
      </c>
      <c r="X27" s="712"/>
      <c r="Y27" s="3769"/>
      <c r="Z27" s="3286" t="str">
        <f>Q27</f>
        <v>人流量</v>
      </c>
      <c r="AA27" s="3292">
        <f>D27/F27</f>
        <v>1</v>
      </c>
      <c r="AB27" s="3292">
        <f>D27/H27</f>
        <v>1</v>
      </c>
      <c r="AC27" s="3292">
        <f>D27/J27</f>
        <v>1</v>
      </c>
    </row>
    <row r="28" spans="1:29" ht="15" hidden="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776"/>
      <c r="Q28" s="3291" t="str">
        <f t="shared" si="8"/>
        <v>楼层</v>
      </c>
      <c r="R28" s="714" t="s">
        <v>17</v>
      </c>
      <c r="S28" s="715">
        <f t="shared" ref="S28:S46" si="9">F28</f>
        <v>100</v>
      </c>
      <c r="T28" s="714" t="s">
        <v>17</v>
      </c>
      <c r="U28" s="715">
        <f t="shared" ref="U28:U46" si="10">H28</f>
        <v>100</v>
      </c>
      <c r="V28" s="714" t="s">
        <v>17</v>
      </c>
      <c r="W28" s="715">
        <f t="shared" ref="W28:W46" si="11">J28</f>
        <v>100</v>
      </c>
      <c r="X28" s="3288"/>
      <c r="Y28" s="3769"/>
      <c r="Z28" s="3289" t="str">
        <f t="shared" ref="Z28:Z46" si="12">Q28</f>
        <v>楼层</v>
      </c>
      <c r="AA28" s="3292">
        <f t="shared" si="3"/>
        <v>1</v>
      </c>
      <c r="AB28" s="3292">
        <f t="shared" si="4"/>
        <v>1</v>
      </c>
      <c r="AC28" s="3292">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776"/>
      <c r="Q29" s="3291">
        <f t="shared" si="8"/>
        <v>111</v>
      </c>
      <c r="R29" s="714" t="s">
        <v>17</v>
      </c>
      <c r="S29" s="715">
        <f t="shared" si="9"/>
        <v>100</v>
      </c>
      <c r="T29" s="714" t="s">
        <v>17</v>
      </c>
      <c r="U29" s="715">
        <f t="shared" si="10"/>
        <v>100</v>
      </c>
      <c r="V29" s="714" t="s">
        <v>17</v>
      </c>
      <c r="W29" s="715">
        <f t="shared" si="11"/>
        <v>100</v>
      </c>
      <c r="X29" s="3288"/>
      <c r="Y29" s="3769"/>
      <c r="Z29" s="3289">
        <f t="shared" si="12"/>
        <v>111</v>
      </c>
      <c r="AA29" s="3292">
        <f t="shared" si="3"/>
        <v>1</v>
      </c>
      <c r="AB29" s="3292">
        <f t="shared" si="4"/>
        <v>1</v>
      </c>
      <c r="AC29" s="3292">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776"/>
      <c r="Q30" s="3291">
        <f t="shared" si="8"/>
        <v>111</v>
      </c>
      <c r="R30" s="714" t="s">
        <v>17</v>
      </c>
      <c r="S30" s="715">
        <f t="shared" si="9"/>
        <v>100</v>
      </c>
      <c r="T30" s="714" t="s">
        <v>17</v>
      </c>
      <c r="U30" s="715">
        <f t="shared" si="10"/>
        <v>100</v>
      </c>
      <c r="V30" s="714" t="s">
        <v>17</v>
      </c>
      <c r="W30" s="715">
        <f t="shared" si="11"/>
        <v>100</v>
      </c>
      <c r="X30" s="3288"/>
      <c r="Y30" s="3769"/>
      <c r="Z30" s="3289">
        <f t="shared" si="12"/>
        <v>111</v>
      </c>
      <c r="AA30" s="3292">
        <f t="shared" si="3"/>
        <v>1</v>
      </c>
      <c r="AB30" s="3292">
        <f t="shared" si="4"/>
        <v>1</v>
      </c>
      <c r="AC30" s="3292">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776"/>
      <c r="Q31" s="3291">
        <f t="shared" si="8"/>
        <v>111</v>
      </c>
      <c r="R31" s="714" t="s">
        <v>17</v>
      </c>
      <c r="S31" s="715">
        <f t="shared" si="9"/>
        <v>100</v>
      </c>
      <c r="T31" s="714" t="s">
        <v>17</v>
      </c>
      <c r="U31" s="715">
        <f t="shared" si="10"/>
        <v>100</v>
      </c>
      <c r="V31" s="714" t="s">
        <v>17</v>
      </c>
      <c r="W31" s="715">
        <f t="shared" si="11"/>
        <v>100</v>
      </c>
      <c r="X31" s="3288"/>
      <c r="Y31" s="3769"/>
      <c r="Z31" s="3289">
        <f t="shared" si="12"/>
        <v>111</v>
      </c>
      <c r="AA31" s="3292">
        <f t="shared" si="3"/>
        <v>1</v>
      </c>
      <c r="AB31" s="3292">
        <f t="shared" si="4"/>
        <v>1</v>
      </c>
      <c r="AC31" s="3292">
        <f t="shared" si="5"/>
        <v>1</v>
      </c>
    </row>
    <row r="32" spans="1:29" ht="15">
      <c r="A32" s="399" t="s">
        <v>2384</v>
      </c>
      <c r="B32" s="67" t="s">
        <v>2481</v>
      </c>
      <c r="C32" s="2096" t="s">
        <v>3565</v>
      </c>
      <c r="D32" s="426">
        <v>100</v>
      </c>
      <c r="E32" s="2096" t="s">
        <v>3565</v>
      </c>
      <c r="F32" s="420">
        <f>SUMIF(100:100,E32,101:101)-SUMIF(100:100,C32,101:101)+100</f>
        <v>100</v>
      </c>
      <c r="G32" s="2096" t="s">
        <v>4043</v>
      </c>
      <c r="H32" s="394">
        <f>SUMIF(100:100,G32,101:101)-SUMIF(100:100,C32,101:101)+100</f>
        <v>102</v>
      </c>
      <c r="I32" s="2096" t="s">
        <v>3565</v>
      </c>
      <c r="J32" s="426">
        <f>SUMIF(100:100,I32,101:101)-SUMIF(100:100,C32,101:101)+100</f>
        <v>100</v>
      </c>
      <c r="K32" s="569">
        <v>2</v>
      </c>
      <c r="L32" s="2949"/>
      <c r="M32" s="2943"/>
      <c r="N32" s="2943"/>
      <c r="O32" s="2943"/>
      <c r="P32" s="3770" t="s">
        <v>2386</v>
      </c>
      <c r="Q32" s="3291" t="str">
        <f t="shared" si="8"/>
        <v>商业类型</v>
      </c>
      <c r="R32" s="714" t="s">
        <v>17</v>
      </c>
      <c r="S32" s="715">
        <f t="shared" si="9"/>
        <v>100</v>
      </c>
      <c r="T32" s="714" t="s">
        <v>17</v>
      </c>
      <c r="U32" s="715">
        <f t="shared" si="10"/>
        <v>102</v>
      </c>
      <c r="V32" s="714" t="s">
        <v>17</v>
      </c>
      <c r="W32" s="715">
        <f t="shared" si="11"/>
        <v>100</v>
      </c>
      <c r="X32" s="3288"/>
      <c r="Y32" s="3773" t="s">
        <v>2386</v>
      </c>
      <c r="Z32" s="3289" t="str">
        <f t="shared" si="12"/>
        <v>商业类型</v>
      </c>
      <c r="AA32" s="3292">
        <f t="shared" si="3"/>
        <v>1</v>
      </c>
      <c r="AB32" s="3292">
        <f t="shared" si="4"/>
        <v>0.98039215686274506</v>
      </c>
      <c r="AC32" s="3292">
        <f t="shared" si="5"/>
        <v>1</v>
      </c>
    </row>
    <row r="33" spans="1:29" s="430" customFormat="1" ht="15" hidden="1">
      <c r="A33" s="427"/>
      <c r="B33" s="381" t="s">
        <v>2387</v>
      </c>
      <c r="C33" s="428">
        <f>'数据-汇总表'!E3</f>
        <v>47689.05</v>
      </c>
      <c r="D33" s="132">
        <v>100</v>
      </c>
      <c r="E33" s="389">
        <v>59187</v>
      </c>
      <c r="F33" s="384">
        <f>LOOKUP(E33,103:103,104:104)-LOOKUP(C33,103:103,104:104)+100</f>
        <v>100</v>
      </c>
      <c r="G33" s="388">
        <v>149036</v>
      </c>
      <c r="H33" s="132">
        <f>LOOKUP(G33,103:103,104:104)-LOOKUP(C33,103:103,104:104)+100</f>
        <v>100</v>
      </c>
      <c r="I33" s="388">
        <v>126785</v>
      </c>
      <c r="J33" s="132">
        <f>LOOKUP(I33,103:103,104:104)-LOOKUP(C33,103:103,104:104)+100</f>
        <v>100</v>
      </c>
      <c r="K33" s="570"/>
      <c r="L33" s="2948"/>
      <c r="M33" s="2950"/>
      <c r="N33" s="2950"/>
      <c r="O33" s="2950"/>
      <c r="P33" s="3771"/>
      <c r="Q33" s="716" t="str">
        <f t="shared" si="8"/>
        <v>项目建筑规模</v>
      </c>
      <c r="R33" s="717" t="s">
        <v>17</v>
      </c>
      <c r="S33" s="718">
        <f t="shared" si="9"/>
        <v>100</v>
      </c>
      <c r="T33" s="717" t="s">
        <v>17</v>
      </c>
      <c r="U33" s="718">
        <f t="shared" si="10"/>
        <v>100</v>
      </c>
      <c r="V33" s="717" t="s">
        <v>17</v>
      </c>
      <c r="W33" s="718">
        <f t="shared" si="11"/>
        <v>100</v>
      </c>
      <c r="X33" s="719"/>
      <c r="Y33" s="3773"/>
      <c r="Z33" s="720" t="str">
        <f t="shared" si="12"/>
        <v>项目建筑规模</v>
      </c>
      <c r="AA33" s="3292">
        <f t="shared" si="3"/>
        <v>1</v>
      </c>
      <c r="AB33" s="3292">
        <f t="shared" si="4"/>
        <v>1</v>
      </c>
      <c r="AC33" s="3292">
        <f t="shared" si="5"/>
        <v>1</v>
      </c>
    </row>
    <row r="34" spans="1:29" ht="15">
      <c r="A34" s="431"/>
      <c r="B34" s="381" t="s">
        <v>2388</v>
      </c>
      <c r="C34" s="2098" t="s">
        <v>3499</v>
      </c>
      <c r="D34" s="394">
        <v>100</v>
      </c>
      <c r="E34" s="2098" t="s">
        <v>3499</v>
      </c>
      <c r="F34" s="420">
        <f>SUMIF(105:105,E34,106:106)-SUMIF(105:105,C34,106:106)+100</f>
        <v>100</v>
      </c>
      <c r="G34" s="2098" t="s">
        <v>3499</v>
      </c>
      <c r="H34" s="394">
        <f>SUMIF(105:105,G34,106:106)-SUMIF(105:105,C34,106:106)+100</f>
        <v>100</v>
      </c>
      <c r="I34" s="2098" t="s">
        <v>3499</v>
      </c>
      <c r="J34" s="394">
        <f>SUMIF(105:105,I34,106:106)-SUMIF(105:105,C34,106:106)+100</f>
        <v>100</v>
      </c>
      <c r="K34" s="569">
        <v>2</v>
      </c>
      <c r="L34" s="2949"/>
      <c r="M34" s="2943"/>
      <c r="N34" s="2943"/>
      <c r="O34" s="2943"/>
      <c r="P34" s="3771"/>
      <c r="Q34" s="3291" t="str">
        <f t="shared" si="8"/>
        <v>建筑结构</v>
      </c>
      <c r="R34" s="714" t="s">
        <v>17</v>
      </c>
      <c r="S34" s="715">
        <f t="shared" si="9"/>
        <v>100</v>
      </c>
      <c r="T34" s="714" t="s">
        <v>17</v>
      </c>
      <c r="U34" s="715">
        <f t="shared" si="10"/>
        <v>100</v>
      </c>
      <c r="V34" s="714" t="s">
        <v>17</v>
      </c>
      <c r="W34" s="715">
        <f t="shared" si="11"/>
        <v>100</v>
      </c>
      <c r="X34" s="3288"/>
      <c r="Y34" s="3773"/>
      <c r="Z34" s="3289" t="str">
        <f t="shared" si="12"/>
        <v>建筑结构</v>
      </c>
      <c r="AA34" s="3292">
        <f t="shared" si="3"/>
        <v>1</v>
      </c>
      <c r="AB34" s="3292">
        <f t="shared" si="4"/>
        <v>1</v>
      </c>
      <c r="AC34" s="3292">
        <f t="shared" si="5"/>
        <v>1</v>
      </c>
    </row>
    <row r="35" spans="1:29" ht="15">
      <c r="A35" s="431"/>
      <c r="B35" s="381" t="s">
        <v>2482</v>
      </c>
      <c r="C35" s="2092" t="s">
        <v>3503</v>
      </c>
      <c r="D35" s="394">
        <v>100</v>
      </c>
      <c r="E35" s="2092" t="s">
        <v>3500</v>
      </c>
      <c r="F35" s="420">
        <f>SUMIF(107:107,E35,108:108)-SUMIF(107:107,C35,108:108)+100</f>
        <v>104</v>
      </c>
      <c r="G35" s="2092" t="s">
        <v>3500</v>
      </c>
      <c r="H35" s="394">
        <f>SUMIF(107:107,G35,108:108)-SUMIF(107:107,C35,108:108)+100</f>
        <v>104</v>
      </c>
      <c r="I35" s="2092" t="s">
        <v>3500</v>
      </c>
      <c r="J35" s="394">
        <f>SUMIF(107:107,I35,108:108)-SUMIF(107:107,C35,108:108)+100</f>
        <v>104</v>
      </c>
      <c r="K35" s="569">
        <v>2</v>
      </c>
      <c r="L35" s="2949"/>
      <c r="M35" s="2943"/>
      <c r="N35" s="2943"/>
      <c r="O35" s="2943"/>
      <c r="P35" s="3771"/>
      <c r="Q35" s="3291" t="str">
        <f t="shared" si="8"/>
        <v>公共部分装修</v>
      </c>
      <c r="R35" s="714" t="s">
        <v>17</v>
      </c>
      <c r="S35" s="715">
        <f t="shared" si="9"/>
        <v>104</v>
      </c>
      <c r="T35" s="714" t="s">
        <v>17</v>
      </c>
      <c r="U35" s="715">
        <f t="shared" si="10"/>
        <v>104</v>
      </c>
      <c r="V35" s="714" t="s">
        <v>17</v>
      </c>
      <c r="W35" s="715">
        <f t="shared" si="11"/>
        <v>104</v>
      </c>
      <c r="X35" s="3288"/>
      <c r="Y35" s="3773"/>
      <c r="Z35" s="3289" t="str">
        <f t="shared" si="12"/>
        <v>公共部分装修</v>
      </c>
      <c r="AA35" s="3292">
        <f t="shared" si="3"/>
        <v>0.96153846153846156</v>
      </c>
      <c r="AB35" s="3292">
        <f t="shared" si="4"/>
        <v>0.96153846153846156</v>
      </c>
      <c r="AC35" s="3292">
        <f t="shared" si="5"/>
        <v>0.96153846153846156</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771"/>
      <c r="Q36" s="3291" t="str">
        <f t="shared" si="8"/>
        <v>成新度</v>
      </c>
      <c r="R36" s="714" t="s">
        <v>17</v>
      </c>
      <c r="S36" s="715">
        <f t="shared" si="9"/>
        <v>100</v>
      </c>
      <c r="T36" s="714" t="s">
        <v>17</v>
      </c>
      <c r="U36" s="715">
        <f t="shared" si="10"/>
        <v>100</v>
      </c>
      <c r="V36" s="714" t="s">
        <v>17</v>
      </c>
      <c r="W36" s="715">
        <f t="shared" si="11"/>
        <v>100</v>
      </c>
      <c r="X36" s="3288"/>
      <c r="Y36" s="3773"/>
      <c r="Z36" s="3289" t="str">
        <f t="shared" si="12"/>
        <v>成新度</v>
      </c>
      <c r="AA36" s="3292">
        <f t="shared" si="3"/>
        <v>1</v>
      </c>
      <c r="AB36" s="3292">
        <f t="shared" si="4"/>
        <v>1</v>
      </c>
      <c r="AC36" s="3292">
        <f t="shared" si="5"/>
        <v>1</v>
      </c>
    </row>
    <row r="37" spans="1:29" s="113" customFormat="1" ht="15" hidden="1">
      <c r="A37" s="432"/>
      <c r="B37" s="381" t="s">
        <v>2484</v>
      </c>
      <c r="C37" s="2092" t="s">
        <v>3475</v>
      </c>
      <c r="D37" s="132">
        <v>100</v>
      </c>
      <c r="E37" s="2092" t="s">
        <v>3475</v>
      </c>
      <c r="F37" s="420">
        <f>SUMIF(112:112,E37,113:113)-SUMIF(112:112,C37,113:113)+100</f>
        <v>100</v>
      </c>
      <c r="G37" s="2092" t="s">
        <v>3475</v>
      </c>
      <c r="H37" s="394">
        <f>SUMIF(112:112,G37,113:113)-SUMIF(112:112,C37,113:113)+100</f>
        <v>100</v>
      </c>
      <c r="I37" s="2092" t="s">
        <v>3475</v>
      </c>
      <c r="J37" s="394">
        <f>SUMIF(112:112,I37,113:113)-SUMIF(112:112,C37,113:113)+100</f>
        <v>100</v>
      </c>
      <c r="K37" s="569"/>
      <c r="L37" s="2944"/>
      <c r="M37" s="2945"/>
      <c r="N37" s="2945"/>
      <c r="O37" s="2945"/>
      <c r="P37" s="3771"/>
      <c r="Q37" s="3287" t="str">
        <f t="shared" si="8"/>
        <v>市政基础设施</v>
      </c>
      <c r="R37" s="710" t="s">
        <v>17</v>
      </c>
      <c r="S37" s="711">
        <f t="shared" si="9"/>
        <v>100</v>
      </c>
      <c r="T37" s="710" t="s">
        <v>17</v>
      </c>
      <c r="U37" s="711">
        <f t="shared" si="10"/>
        <v>100</v>
      </c>
      <c r="V37" s="710" t="s">
        <v>17</v>
      </c>
      <c r="W37" s="711">
        <f t="shared" si="11"/>
        <v>100</v>
      </c>
      <c r="X37" s="712"/>
      <c r="Y37" s="3773"/>
      <c r="Z37" s="3286"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771" t="s">
        <v>2386</v>
      </c>
      <c r="Q38" s="3291" t="str">
        <f t="shared" si="8"/>
        <v>业态</v>
      </c>
      <c r="R38" s="714" t="s">
        <v>17</v>
      </c>
      <c r="S38" s="715">
        <f t="shared" si="9"/>
        <v>100</v>
      </c>
      <c r="T38" s="714" t="s">
        <v>17</v>
      </c>
      <c r="U38" s="715">
        <f t="shared" si="10"/>
        <v>100</v>
      </c>
      <c r="V38" s="714" t="s">
        <v>17</v>
      </c>
      <c r="W38" s="715">
        <f t="shared" si="11"/>
        <v>100</v>
      </c>
      <c r="X38" s="3288"/>
      <c r="Y38" s="3773" t="s">
        <v>2386</v>
      </c>
      <c r="Z38" s="3289" t="str">
        <f t="shared" si="12"/>
        <v>业态</v>
      </c>
      <c r="AA38" s="3292">
        <f t="shared" si="3"/>
        <v>1</v>
      </c>
      <c r="AB38" s="3292">
        <f t="shared" si="4"/>
        <v>1</v>
      </c>
      <c r="AC38" s="3292">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771"/>
      <c r="Q39" s="3291" t="str">
        <f t="shared" si="8"/>
        <v>层高</v>
      </c>
      <c r="R39" s="714" t="s">
        <v>17</v>
      </c>
      <c r="S39" s="715">
        <f t="shared" si="9"/>
        <v>100</v>
      </c>
      <c r="T39" s="714" t="s">
        <v>17</v>
      </c>
      <c r="U39" s="715">
        <f t="shared" si="10"/>
        <v>100</v>
      </c>
      <c r="V39" s="714" t="s">
        <v>17</v>
      </c>
      <c r="W39" s="715">
        <f t="shared" si="11"/>
        <v>100</v>
      </c>
      <c r="X39" s="3288"/>
      <c r="Y39" s="3773"/>
      <c r="Z39" s="3289" t="str">
        <f t="shared" si="12"/>
        <v>层高</v>
      </c>
      <c r="AA39" s="3292">
        <f t="shared" si="3"/>
        <v>1</v>
      </c>
      <c r="AB39" s="3292">
        <f t="shared" si="4"/>
        <v>1</v>
      </c>
      <c r="AC39" s="3292">
        <f t="shared" si="5"/>
        <v>1</v>
      </c>
    </row>
    <row r="40" spans="1:29" ht="15">
      <c r="A40" s="431"/>
      <c r="B40" s="381" t="s">
        <v>2487</v>
      </c>
      <c r="C40" s="428">
        <f>面积表及结果!G14</f>
        <v>4318.3500000000004</v>
      </c>
      <c r="D40" s="394">
        <v>100</v>
      </c>
      <c r="E40" s="575">
        <f>'案例-租金'!N25</f>
        <v>372.82</v>
      </c>
      <c r="F40" s="420">
        <f>SUMIF(118:118,E40,119:119)-SUMIF(118:118,C40,119:119)+100</f>
        <v>102</v>
      </c>
      <c r="G40" s="575">
        <f>'案例-租金'!N26</f>
        <v>366</v>
      </c>
      <c r="H40" s="394">
        <f>SUMIF(118:118,G40,119:119)-SUMIF(118:118,C40,119:119)+100</f>
        <v>102</v>
      </c>
      <c r="I40" s="575">
        <f>'案例-租金'!N28</f>
        <v>269.83</v>
      </c>
      <c r="J40" s="394">
        <f>SUMIF(118:118,I40,119:119)-SUMIF(118:118,C40,119:119)+100</f>
        <v>102</v>
      </c>
      <c r="K40" s="570"/>
      <c r="L40" s="2949"/>
      <c r="M40" s="2943"/>
      <c r="N40" s="2943"/>
      <c r="O40" s="2943"/>
      <c r="P40" s="3771"/>
      <c r="Q40" s="3291" t="str">
        <f t="shared" si="8"/>
        <v>单套建筑面积</v>
      </c>
      <c r="R40" s="714" t="s">
        <v>17</v>
      </c>
      <c r="S40" s="715">
        <f t="shared" si="9"/>
        <v>102</v>
      </c>
      <c r="T40" s="714" t="s">
        <v>17</v>
      </c>
      <c r="U40" s="715">
        <f t="shared" si="10"/>
        <v>102</v>
      </c>
      <c r="V40" s="714" t="s">
        <v>17</v>
      </c>
      <c r="W40" s="715">
        <f t="shared" si="11"/>
        <v>102</v>
      </c>
      <c r="X40" s="3288"/>
      <c r="Y40" s="3773"/>
      <c r="Z40" s="3289" t="str">
        <f t="shared" si="12"/>
        <v>单套建筑面积</v>
      </c>
      <c r="AA40" s="3292">
        <f t="shared" si="3"/>
        <v>0.98039215686274506</v>
      </c>
      <c r="AB40" s="3292">
        <f t="shared" si="4"/>
        <v>0.98039215686274506</v>
      </c>
      <c r="AC40" s="3292">
        <f t="shared" si="5"/>
        <v>0.98039215686274506</v>
      </c>
    </row>
    <row r="41" spans="1:29" s="430" customFormat="1" ht="15" hidden="1">
      <c r="A41" s="427"/>
      <c r="B41" s="329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771"/>
      <c r="Q41" s="716" t="str">
        <f t="shared" si="8"/>
        <v>进深比</v>
      </c>
      <c r="R41" s="717" t="s">
        <v>17</v>
      </c>
      <c r="S41" s="718">
        <f t="shared" si="9"/>
        <v>100</v>
      </c>
      <c r="T41" s="717" t="s">
        <v>17</v>
      </c>
      <c r="U41" s="718">
        <f t="shared" si="10"/>
        <v>100</v>
      </c>
      <c r="V41" s="717" t="s">
        <v>17</v>
      </c>
      <c r="W41" s="718">
        <f t="shared" si="11"/>
        <v>100</v>
      </c>
      <c r="X41" s="719"/>
      <c r="Y41" s="3773"/>
      <c r="Z41" s="720" t="str">
        <f t="shared" si="12"/>
        <v>进深比</v>
      </c>
      <c r="AA41" s="3292">
        <f t="shared" si="3"/>
        <v>1</v>
      </c>
      <c r="AB41" s="3292">
        <f t="shared" si="4"/>
        <v>1</v>
      </c>
      <c r="AC41" s="3292">
        <f t="shared" si="5"/>
        <v>1</v>
      </c>
    </row>
    <row r="42" spans="1:29" ht="15" hidden="1">
      <c r="A42" s="431"/>
      <c r="B42" s="381" t="s">
        <v>2489</v>
      </c>
      <c r="C42" s="2092" t="s">
        <v>3503</v>
      </c>
      <c r="D42" s="394">
        <v>100</v>
      </c>
      <c r="E42" s="2092" t="s">
        <v>3503</v>
      </c>
      <c r="F42" s="420">
        <f>SUMIF(122:122,E42,123:123)-SUMIF(122:122,C42,123:123)+100</f>
        <v>100</v>
      </c>
      <c r="G42" s="2092" t="s">
        <v>3503</v>
      </c>
      <c r="H42" s="394">
        <f>SUMIF(122:122,G42,123:123)-SUMIF(122:122,C42,123:123)+100</f>
        <v>100</v>
      </c>
      <c r="I42" s="2092" t="s">
        <v>3503</v>
      </c>
      <c r="J42" s="394">
        <f>SUMIF(122:122,I42,123:123)-SUMIF(122:122,C42,123:123)+100</f>
        <v>100</v>
      </c>
      <c r="K42" s="569">
        <v>2</v>
      </c>
      <c r="L42" s="2949"/>
      <c r="M42" s="2943"/>
      <c r="N42" s="2943"/>
      <c r="O42" s="2943"/>
      <c r="P42" s="3771"/>
      <c r="Q42" s="3291" t="str">
        <f t="shared" si="8"/>
        <v>内部装修</v>
      </c>
      <c r="R42" s="714" t="s">
        <v>17</v>
      </c>
      <c r="S42" s="715">
        <f t="shared" si="9"/>
        <v>100</v>
      </c>
      <c r="T42" s="714" t="s">
        <v>17</v>
      </c>
      <c r="U42" s="715">
        <f t="shared" si="10"/>
        <v>100</v>
      </c>
      <c r="V42" s="714" t="s">
        <v>17</v>
      </c>
      <c r="W42" s="715">
        <f t="shared" si="11"/>
        <v>100</v>
      </c>
      <c r="X42" s="3288"/>
      <c r="Y42" s="3773"/>
      <c r="Z42" s="3289" t="str">
        <f t="shared" si="12"/>
        <v>内部装修</v>
      </c>
      <c r="AA42" s="3292">
        <f t="shared" si="3"/>
        <v>1</v>
      </c>
      <c r="AB42" s="3292">
        <f t="shared" si="4"/>
        <v>1</v>
      </c>
      <c r="AC42" s="3292">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771"/>
      <c r="Q43" s="3291" t="str">
        <f t="shared" si="8"/>
        <v>内部装修维护情况</v>
      </c>
      <c r="R43" s="714" t="s">
        <v>17</v>
      </c>
      <c r="S43" s="715">
        <f t="shared" si="9"/>
        <v>100</v>
      </c>
      <c r="T43" s="714" t="s">
        <v>17</v>
      </c>
      <c r="U43" s="715">
        <f t="shared" si="10"/>
        <v>100</v>
      </c>
      <c r="V43" s="714" t="s">
        <v>17</v>
      </c>
      <c r="W43" s="715">
        <f t="shared" si="11"/>
        <v>100</v>
      </c>
      <c r="X43" s="3288"/>
      <c r="Y43" s="3773"/>
      <c r="Z43" s="3289" t="str">
        <f t="shared" si="12"/>
        <v>内部装修维护情况</v>
      </c>
      <c r="AA43" s="3292">
        <f t="shared" si="3"/>
        <v>1</v>
      </c>
      <c r="AB43" s="3292">
        <f t="shared" si="4"/>
        <v>1</v>
      </c>
      <c r="AC43" s="3292">
        <f t="shared" si="5"/>
        <v>1</v>
      </c>
    </row>
    <row r="44" spans="1:29" s="113" customFormat="1" ht="15">
      <c r="A44" s="432"/>
      <c r="B44" s="3154" t="s">
        <v>4291</v>
      </c>
      <c r="C44" s="3472" t="s">
        <v>4292</v>
      </c>
      <c r="D44" s="132">
        <v>100</v>
      </c>
      <c r="E44" s="3170" t="s">
        <v>4293</v>
      </c>
      <c r="F44" s="384">
        <f>SUMIF(126:126,E44,127:127)-SUMIF(126:126,C44,127:127)+100</f>
        <v>102</v>
      </c>
      <c r="G44" s="3170" t="s">
        <v>4293</v>
      </c>
      <c r="H44" s="132">
        <f>SUMIF(126:126,G44,127:127)-SUMIF(126:126,C44,127:127)+100</f>
        <v>102</v>
      </c>
      <c r="I44" s="3170" t="s">
        <v>4293</v>
      </c>
      <c r="J44" s="132">
        <f>SUMIF(126:126,I44,127:127)-SUMIF(126:126,C44,127:127)+100</f>
        <v>102</v>
      </c>
      <c r="K44" s="570"/>
      <c r="L44" s="2944"/>
      <c r="M44" s="2945"/>
      <c r="N44" s="2945"/>
      <c r="O44" s="2945"/>
      <c r="P44" s="3771"/>
      <c r="Q44" s="3287" t="str">
        <f t="shared" si="8"/>
        <v>租赁类型</v>
      </c>
      <c r="R44" s="710" t="s">
        <v>17</v>
      </c>
      <c r="S44" s="711">
        <f t="shared" si="9"/>
        <v>102</v>
      </c>
      <c r="T44" s="710" t="s">
        <v>17</v>
      </c>
      <c r="U44" s="711">
        <f t="shared" si="10"/>
        <v>102</v>
      </c>
      <c r="V44" s="710" t="s">
        <v>17</v>
      </c>
      <c r="W44" s="711">
        <f t="shared" si="11"/>
        <v>102</v>
      </c>
      <c r="X44" s="712"/>
      <c r="Y44" s="3773"/>
      <c r="Z44" s="3286"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771"/>
      <c r="Q45" s="3291">
        <f t="shared" si="8"/>
        <v>111</v>
      </c>
      <c r="R45" s="714" t="s">
        <v>17</v>
      </c>
      <c r="S45" s="715">
        <f t="shared" si="9"/>
        <v>100</v>
      </c>
      <c r="T45" s="714" t="s">
        <v>17</v>
      </c>
      <c r="U45" s="715">
        <f t="shared" si="10"/>
        <v>100</v>
      </c>
      <c r="V45" s="714" t="s">
        <v>17</v>
      </c>
      <c r="W45" s="715">
        <f t="shared" si="11"/>
        <v>100</v>
      </c>
      <c r="X45" s="3288"/>
      <c r="Y45" s="3773"/>
      <c r="Z45" s="3289">
        <f t="shared" si="12"/>
        <v>111</v>
      </c>
      <c r="AA45" s="3292">
        <f t="shared" si="3"/>
        <v>1</v>
      </c>
      <c r="AB45" s="3292">
        <f t="shared" si="4"/>
        <v>1</v>
      </c>
      <c r="AC45" s="3292">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772"/>
      <c r="Q46" s="3291">
        <f t="shared" si="8"/>
        <v>111</v>
      </c>
      <c r="R46" s="714" t="s">
        <v>17</v>
      </c>
      <c r="S46" s="715">
        <f t="shared" si="9"/>
        <v>100</v>
      </c>
      <c r="T46" s="714" t="s">
        <v>17</v>
      </c>
      <c r="U46" s="715">
        <f t="shared" si="10"/>
        <v>100</v>
      </c>
      <c r="V46" s="714" t="s">
        <v>17</v>
      </c>
      <c r="W46" s="715">
        <f t="shared" si="11"/>
        <v>100</v>
      </c>
      <c r="X46" s="3288"/>
      <c r="Y46" s="3774"/>
      <c r="Z46" s="3289">
        <f t="shared" si="12"/>
        <v>111</v>
      </c>
      <c r="AA46" s="3292">
        <f t="shared" si="3"/>
        <v>1</v>
      </c>
      <c r="AB46" s="3292">
        <f t="shared" si="4"/>
        <v>1</v>
      </c>
      <c r="AC46" s="3292">
        <f t="shared" si="5"/>
        <v>1</v>
      </c>
    </row>
    <row r="47" spans="1:29" ht="15">
      <c r="A47" s="438" t="s">
        <v>2398</v>
      </c>
      <c r="B47" s="439"/>
      <c r="C47" s="1316" t="s">
        <v>1</v>
      </c>
      <c r="D47" s="1317"/>
      <c r="E47" s="1318">
        <f>'案例-租金'!O25</f>
        <v>5.8</v>
      </c>
      <c r="F47" s="1319"/>
      <c r="G47" s="1320">
        <f>'案例-租金'!O26</f>
        <v>4.9000000000000004</v>
      </c>
      <c r="H47" s="1321"/>
      <c r="I47" s="1318">
        <f>'案例-租金'!O28</f>
        <v>6</v>
      </c>
      <c r="J47" s="1321"/>
      <c r="K47" s="723"/>
      <c r="L47" s="2951"/>
      <c r="M47" s="2952"/>
      <c r="N47" s="2943"/>
      <c r="O47" s="2952"/>
      <c r="P47" s="3766" t="str">
        <f>A47</f>
        <v>成交单价（元/平方米）</v>
      </c>
      <c r="Q47" s="3766"/>
      <c r="R47" s="3797">
        <f>E47</f>
        <v>5.8</v>
      </c>
      <c r="S47" s="3797"/>
      <c r="T47" s="3797">
        <f>G47</f>
        <v>4.9000000000000004</v>
      </c>
      <c r="U47" s="3797"/>
      <c r="V47" s="3797">
        <f>I47</f>
        <v>6</v>
      </c>
      <c r="W47" s="3797"/>
      <c r="X47" s="699"/>
      <c r="Y47" s="721"/>
      <c r="Z47" s="699"/>
      <c r="AA47" s="699"/>
      <c r="AB47" s="699"/>
      <c r="AC47" s="699"/>
    </row>
    <row r="48" spans="1:29" ht="15.75" thickBot="1">
      <c r="A48" s="445" t="s">
        <v>2399</v>
      </c>
      <c r="B48" s="446"/>
      <c r="C48" s="1322">
        <f>R49</f>
        <v>5.2</v>
      </c>
      <c r="D48" s="2538" t="s">
        <v>2877</v>
      </c>
      <c r="E48" s="1323">
        <f>R48</f>
        <v>5.2</v>
      </c>
      <c r="F48" s="2539"/>
      <c r="G48" s="1322">
        <f>T48</f>
        <v>4.7</v>
      </c>
      <c r="H48" s="2539"/>
      <c r="I48" s="1323">
        <f>V48</f>
        <v>5.6</v>
      </c>
      <c r="J48" s="2539"/>
      <c r="K48" s="2541">
        <f>F48+H48+J48</f>
        <v>0</v>
      </c>
      <c r="L48" s="2951"/>
      <c r="M48" s="2952"/>
      <c r="N48" s="2943"/>
      <c r="O48" s="2952"/>
      <c r="P48" s="3766" t="str">
        <f>A48</f>
        <v>比较价值（元/平方米）</v>
      </c>
      <c r="Q48" s="3766"/>
      <c r="R48" s="3767">
        <f>IF(F1="售价",ROUND(PRODUCT(R47,AA7:AA46),0),ROUND(PRODUCT(R47,AA7:AA46),1))</f>
        <v>5.2</v>
      </c>
      <c r="S48" s="3767"/>
      <c r="T48" s="3767">
        <f>IF(F1="售价",ROUND(PRODUCT(T47,AB7:AB46),0),ROUND(PRODUCT(T47,AB7:AB46),1))</f>
        <v>4.7</v>
      </c>
      <c r="U48" s="3767"/>
      <c r="V48" s="3767">
        <f>IF(F1="售价",ROUND(PRODUCT(V47,AC7:AC46),0),ROUND(PRODUCT(V47,AC7:AC46),1))</f>
        <v>5.6</v>
      </c>
      <c r="W48" s="3767"/>
      <c r="X48" s="699"/>
      <c r="Y48" s="699"/>
      <c r="Z48" s="699"/>
      <c r="AA48" s="699"/>
      <c r="AB48" s="699"/>
      <c r="AC48" s="699"/>
    </row>
    <row r="49" spans="1:29" ht="15.75" thickBot="1">
      <c r="A49" s="449" t="s">
        <v>2400</v>
      </c>
      <c r="B49" s="450"/>
      <c r="C49" s="1325">
        <f>R49</f>
        <v>5.2</v>
      </c>
      <c r="D49" s="1325"/>
      <c r="E49" s="1325"/>
      <c r="F49" s="1325"/>
      <c r="G49" s="1325"/>
      <c r="H49" s="1325"/>
      <c r="I49" s="1325"/>
      <c r="J49" s="1325"/>
      <c r="K49" s="724"/>
      <c r="L49" s="2951"/>
      <c r="M49" s="2952"/>
      <c r="N49" s="2943"/>
      <c r="O49" s="2952"/>
      <c r="P49" s="3763" t="str">
        <f>A49</f>
        <v>估价对象XX用房的比较价值（楼面单价，元/平方米）</v>
      </c>
      <c r="Q49" s="3764"/>
      <c r="R49" s="3765">
        <f>IF(F1="售价",ROUND(IF(D48="简单平均",AVERAGE(R48:V48),R48*F48+T48*H48+V48*J48),0),ROUND(IF(D48="简单平均",AVERAGE(R48:V48),R48*F48+T48*H48+V48*J48),1))</f>
        <v>5.2</v>
      </c>
      <c r="S49" s="3765"/>
      <c r="T49" s="3765"/>
      <c r="U49" s="3765"/>
      <c r="V49" s="3765"/>
      <c r="W49" s="3765"/>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0.11538461538461542</v>
      </c>
      <c r="F52" s="457" t="str">
        <f>IF(OR(E52&gt;=0.3,E52&lt;=-0.3),"超过30%","")</f>
        <v/>
      </c>
      <c r="G52" s="456">
        <f>IF(G47&lt;G48,G48/G47-1,G47/G48-1)</f>
        <v>4.2553191489361764E-2</v>
      </c>
      <c r="H52" s="457" t="str">
        <f>IF(OR(G52&gt;=0.3,G52&lt;=-0.3),"超过30%","")</f>
        <v/>
      </c>
      <c r="I52" s="456">
        <f>IF(I47&lt;I48,I48/I47-1,I47/I48-1)</f>
        <v>7.1428571428571397E-2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0.1063829787234043</v>
      </c>
      <c r="F53" s="457" t="str">
        <f>IF(OR(E53&gt;=0.2,E53&lt;=-0.2),"超过20%","")</f>
        <v/>
      </c>
      <c r="G53" s="456">
        <f>IF(G48&lt;I48,I48/G48-1,G48/I48-1)</f>
        <v>0.1914893617021276</v>
      </c>
      <c r="H53" s="457" t="str">
        <f>IF(OR(G53&gt;=0.2,G53&lt;=-0.2),"超过20%","")</f>
        <v/>
      </c>
      <c r="I53" s="456">
        <f>IF(I48&lt;E48,E48/I48-1,I48/E48-1)</f>
        <v>7.6923076923076872E-2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0.18367346938775508</v>
      </c>
      <c r="F54" s="457" t="str">
        <f>IF(OR(E54&gt;=0.3,E54&lt;=-0.3),"超过30%","")</f>
        <v/>
      </c>
      <c r="G54" s="456">
        <f>IF(G47&lt;I47,I47/G47-1,G47/I47-1)</f>
        <v>0.22448979591836715</v>
      </c>
      <c r="H54" s="457" t="str">
        <f>IF(OR(G54&gt;=0.3,G54&lt;=-0.3),"超过30%","")</f>
        <v/>
      </c>
      <c r="I54" s="456">
        <f>IF(I47&lt;E47,E47/I47-1,I47/E47-1)</f>
        <v>3.4482758620689724E-2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f>'比较法租金-办公'!F60</f>
        <v>100</v>
      </c>
      <c r="G59" s="469">
        <f>'比较法租金-办公'!G60</f>
        <v>100</v>
      </c>
      <c r="H59" s="469">
        <f>'比较法租金-办公'!H60</f>
        <v>100</v>
      </c>
      <c r="I59" s="469">
        <f>'比较法租金-办公'!I60</f>
        <v>99</v>
      </c>
      <c r="J59" s="469">
        <f>'比较法租金-办公'!J60</f>
        <v>99</v>
      </c>
      <c r="K59" s="469">
        <f>'比较法租金-办公'!K60</f>
        <v>99</v>
      </c>
      <c r="L59" s="469">
        <f>'比较法租金-办公'!L60</f>
        <v>99</v>
      </c>
      <c r="M59" s="469">
        <f>'比较法租金-办公'!M60</f>
        <v>99</v>
      </c>
      <c r="N59" s="469">
        <f>'比较法租金-办公'!N60</f>
        <v>99</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产权</v>
      </c>
      <c r="C70" s="3168" t="s">
        <v>4243</v>
      </c>
      <c r="D70" s="3168" t="s">
        <v>4244</v>
      </c>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95</v>
      </c>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租期</v>
      </c>
      <c r="C72" s="511">
        <v>3</v>
      </c>
      <c r="D72" s="511">
        <v>5</v>
      </c>
      <c r="E72" s="511">
        <v>7</v>
      </c>
      <c r="F72" s="511">
        <v>15</v>
      </c>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98</v>
      </c>
      <c r="E73" s="493">
        <v>98</v>
      </c>
      <c r="F73" s="493">
        <v>96</v>
      </c>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8" t="s">
        <v>3481</v>
      </c>
      <c r="D86" s="3168" t="s">
        <v>3477</v>
      </c>
      <c r="E86" s="3168" t="s">
        <v>3478</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6" t="s">
        <v>3568</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321" t="s">
        <v>4245</v>
      </c>
      <c r="D100" s="3183" t="s">
        <v>3566</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100</v>
      </c>
      <c r="E104" s="493">
        <v>100</v>
      </c>
      <c r="F104" s="493">
        <v>100</v>
      </c>
      <c r="G104" s="493">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6" t="s">
        <v>3559</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8" t="s">
        <v>3483</v>
      </c>
      <c r="D107" s="3168" t="s">
        <v>3484</v>
      </c>
      <c r="E107" s="3168" t="s">
        <v>3485</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v>
      </c>
      <c r="E108" s="501">
        <f t="shared" si="21"/>
        <v>96</v>
      </c>
      <c r="F108" s="501">
        <f t="shared" si="21"/>
        <v>94</v>
      </c>
      <c r="G108" s="501">
        <f t="shared" si="21"/>
        <v>92</v>
      </c>
      <c r="H108" s="501">
        <f t="shared" si="21"/>
        <v>90</v>
      </c>
      <c r="I108" s="501">
        <f t="shared" si="21"/>
        <v>88</v>
      </c>
      <c r="J108" s="501">
        <f t="shared" si="21"/>
        <v>86</v>
      </c>
      <c r="K108" s="501">
        <f t="shared" si="21"/>
        <v>84</v>
      </c>
      <c r="L108" s="501">
        <f t="shared" si="21"/>
        <v>82</v>
      </c>
      <c r="M108" s="502">
        <f t="shared" si="21"/>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6" t="s">
        <v>3560</v>
      </c>
      <c r="D112" s="3186" t="s">
        <v>3561</v>
      </c>
      <c r="E112" s="3186" t="s">
        <v>3562</v>
      </c>
      <c r="F112" s="3186" t="s">
        <v>3563</v>
      </c>
      <c r="G112" s="3186" t="s">
        <v>3564</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269.83</v>
      </c>
      <c r="D118" s="583">
        <f>G40</f>
        <v>366</v>
      </c>
      <c r="E118" s="583">
        <f>E40</f>
        <v>372.82</v>
      </c>
      <c r="F118" s="583">
        <f>C40</f>
        <v>4318.3500000000004</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100</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8" t="s">
        <v>3483</v>
      </c>
      <c r="D122" s="3168" t="s">
        <v>3484</v>
      </c>
      <c r="E122" s="3168" t="s">
        <v>3485</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68" t="s">
        <v>4292</v>
      </c>
      <c r="D126" s="3168" t="s">
        <v>4293</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2 H52">
    <cfRule type="containsText" dxfId="58" priority="20" stopIfTrue="1" operator="containsText" text="超过">
      <formula>NOT(ISERROR(SEARCH("超过",F52)))</formula>
    </cfRule>
  </conditionalFormatting>
  <conditionalFormatting sqref="H54">
    <cfRule type="containsText" dxfId="57" priority="19" stopIfTrue="1" operator="containsText" text="超过">
      <formula>NOT(ISERROR(SEARCH("超过",H54)))</formula>
    </cfRule>
  </conditionalFormatting>
  <conditionalFormatting sqref="F54">
    <cfRule type="containsText" dxfId="56" priority="18" stopIfTrue="1" operator="containsText" text="超过">
      <formula>NOT(ISERROR(SEARCH("超过",F54)))</formula>
    </cfRule>
  </conditionalFormatting>
  <conditionalFormatting sqref="F53 H53">
    <cfRule type="containsText" dxfId="55" priority="17" stopIfTrue="1" operator="containsText" text="超过">
      <formula>NOT(ISERROR(SEARCH("超过",F53)))</formula>
    </cfRule>
  </conditionalFormatting>
  <conditionalFormatting sqref="E52">
    <cfRule type="expression" dxfId="54" priority="16" stopIfTrue="1">
      <formula>$F$52="超过30%"</formula>
    </cfRule>
  </conditionalFormatting>
  <conditionalFormatting sqref="E53">
    <cfRule type="expression" dxfId="53" priority="15" stopIfTrue="1">
      <formula>$F$53="超过20%"</formula>
    </cfRule>
  </conditionalFormatting>
  <conditionalFormatting sqref="E54">
    <cfRule type="expression" dxfId="52" priority="14" stopIfTrue="1">
      <formula>$F$54="超过30%"</formula>
    </cfRule>
  </conditionalFormatting>
  <conditionalFormatting sqref="G54">
    <cfRule type="expression" dxfId="51" priority="13" stopIfTrue="1">
      <formula>$H$54="超过30%"</formula>
    </cfRule>
  </conditionalFormatting>
  <conditionalFormatting sqref="G52">
    <cfRule type="expression" dxfId="50" priority="12" stopIfTrue="1">
      <formula>$H$52="超过30%"</formula>
    </cfRule>
  </conditionalFormatting>
  <conditionalFormatting sqref="G53">
    <cfRule type="expression" dxfId="49" priority="11" stopIfTrue="1">
      <formula>$H$53="超过20%"</formula>
    </cfRule>
  </conditionalFormatting>
  <conditionalFormatting sqref="J52">
    <cfRule type="containsText" dxfId="48" priority="10" stopIfTrue="1" operator="containsText" text="超过">
      <formula>NOT(ISERROR(SEARCH("超过",J52)))</formula>
    </cfRule>
  </conditionalFormatting>
  <conditionalFormatting sqref="J54">
    <cfRule type="containsText" dxfId="47" priority="9" stopIfTrue="1" operator="containsText" text="超过">
      <formula>NOT(ISERROR(SEARCH("超过",J54)))</formula>
    </cfRule>
  </conditionalFormatting>
  <conditionalFormatting sqref="J53">
    <cfRule type="containsText" dxfId="46" priority="8" stopIfTrue="1" operator="containsText" text="超过">
      <formula>NOT(ISERROR(SEARCH("超过",J53)))</formula>
    </cfRule>
  </conditionalFormatting>
  <conditionalFormatting sqref="I52">
    <cfRule type="expression" dxfId="45" priority="7" stopIfTrue="1">
      <formula>$J$52="超过30%"</formula>
    </cfRule>
  </conditionalFormatting>
  <conditionalFormatting sqref="I53">
    <cfRule type="expression" dxfId="44" priority="6" stopIfTrue="1">
      <formula>$J$53="超过20%"</formula>
    </cfRule>
  </conditionalFormatting>
  <conditionalFormatting sqref="I54">
    <cfRule type="expression" dxfId="43" priority="5" stopIfTrue="1">
      <formula>$J$54="超过30%"</formula>
    </cfRule>
  </conditionalFormatting>
  <conditionalFormatting sqref="F48">
    <cfRule type="expression" dxfId="42" priority="4">
      <formula>$D$48="简单平均"</formula>
    </cfRule>
  </conditionalFormatting>
  <conditionalFormatting sqref="H48">
    <cfRule type="expression" dxfId="41" priority="3">
      <formula>$D$48="简单平均"</formula>
    </cfRule>
  </conditionalFormatting>
  <conditionalFormatting sqref="J48">
    <cfRule type="expression" dxfId="40" priority="2">
      <formula>$D$48="简单平均"</formula>
    </cfRule>
  </conditionalFormatting>
  <conditionalFormatting sqref="F7:F46 H7:H46 J7:J46">
    <cfRule type="cellIs" dxfId="39" priority="1" operator="notEqual">
      <formula>100</formula>
    </cfRule>
  </conditionalFormatting>
  <dataValidations count="25">
    <dataValidation type="list" allowBlank="1" showInputMessage="1" showErrorMessage="1" sqref="D48" xr:uid="{00000000-0002-0000-2700-000000000000}">
      <formula1>"简单平均,加权平均"</formula1>
    </dataValidation>
    <dataValidation type="list" allowBlank="1" showInputMessage="1" showErrorMessage="1" sqref="F2" xr:uid="{00000000-0002-0000-2700-000001000000}">
      <formula1>估价方法</formula1>
    </dataValidation>
    <dataValidation type="list" allowBlank="1" showInputMessage="1" showErrorMessage="1" sqref="C2" xr:uid="{00000000-0002-0000-2700-000002000000}">
      <formula1>"需扣减承租人权益,——"</formula1>
    </dataValidation>
    <dataValidation type="list" allowBlank="1" showInputMessage="1" showErrorMessage="1" sqref="F1" xr:uid="{00000000-0002-0000-2700-000003000000}">
      <formula1>"售价,租金"</formula1>
    </dataValidation>
    <dataValidation type="list" allowBlank="1" showInputMessage="1" showErrorMessage="1" sqref="C22 E22 G22 I22" xr:uid="{00000000-0002-0000-2700-000004000000}">
      <formula1>基础设施水平</formula1>
    </dataValidation>
    <dataValidation type="list" allowBlank="1" showInputMessage="1" showErrorMessage="1" sqref="C16 E16 G16 I16" xr:uid="{00000000-0002-0000-2700-000005000000}">
      <formula1>商业繁华度</formula1>
    </dataValidation>
    <dataValidation type="list" allowBlank="1" showInputMessage="1" showErrorMessage="1" sqref="C8 E8 G8 I8" xr:uid="{00000000-0002-0000-2700-000006000000}">
      <formula1>商业交易情况</formula1>
    </dataValidation>
    <dataValidation type="list" allowBlank="1" showInputMessage="1" showErrorMessage="1" sqref="C39 E39 G39 I39" xr:uid="{00000000-0002-0000-2700-000007000000}">
      <formula1>商业层高</formula1>
    </dataValidation>
    <dataValidation type="list" allowBlank="1" showInputMessage="1" showErrorMessage="1" sqref="C38 E38 G38 I38" xr:uid="{00000000-0002-0000-2700-000008000000}">
      <formula1>商业业态</formula1>
    </dataValidation>
    <dataValidation type="list" allowBlank="1" showInputMessage="1" showErrorMessage="1" sqref="E9 G9 I9" xr:uid="{00000000-0002-0000-2700-000009000000}">
      <formula1>商业用途</formula1>
    </dataValidation>
    <dataValidation type="list" allowBlank="1" showInputMessage="1" showErrorMessage="1" sqref="C42 E42 G42 I42" xr:uid="{00000000-0002-0000-2700-00000A000000}">
      <formula1>商业内部装修</formula1>
    </dataValidation>
    <dataValidation type="list" allowBlank="1" showInputMessage="1" showErrorMessage="1" sqref="C41 E41 G41 I41" xr:uid="{00000000-0002-0000-2700-00000B000000}">
      <formula1>商业进深比</formula1>
    </dataValidation>
    <dataValidation type="list" allowBlank="1" showInputMessage="1" showErrorMessage="1" sqref="C37 E37 G37 I37" xr:uid="{00000000-0002-0000-2700-00000C000000}">
      <formula1>商业基础设施水平</formula1>
    </dataValidation>
    <dataValidation type="list" allowBlank="1" showInputMessage="1" showErrorMessage="1" sqref="C35 E35 G35 I35" xr:uid="{00000000-0002-0000-2700-00000D000000}">
      <formula1>商业公共部分装修</formula1>
    </dataValidation>
    <dataValidation type="list" allowBlank="1" showInputMessage="1" showErrorMessage="1" sqref="C34 E34 G34 I34" xr:uid="{00000000-0002-0000-2700-00000E000000}">
      <formula1>商业建筑结构</formula1>
    </dataValidation>
    <dataValidation type="list" allowBlank="1" showInputMessage="1" showErrorMessage="1" sqref="C32 E32 G32 I32" xr:uid="{00000000-0002-0000-2700-00000F000000}">
      <formula1>商业类型</formula1>
    </dataValidation>
    <dataValidation type="list" allowBlank="1" showInputMessage="1" showErrorMessage="1" sqref="C28 E28 G28 I28" xr:uid="{00000000-0002-0000-2700-000010000000}">
      <formula1>商业楼层</formula1>
    </dataValidation>
    <dataValidation type="list" allowBlank="1" showInputMessage="1" showErrorMessage="1" sqref="C27 E27 G27 I27" xr:uid="{00000000-0002-0000-2700-000011000000}">
      <formula1>商业人流量</formula1>
    </dataValidation>
    <dataValidation type="list" allowBlank="1" showInputMessage="1" showErrorMessage="1" sqref="C25 E25 G25 I25" xr:uid="{00000000-0002-0000-2700-000012000000}">
      <formula1>商业临街状况</formula1>
    </dataValidation>
    <dataValidation type="list" allowBlank="1" showInputMessage="1" showErrorMessage="1" sqref="E24 G24 I24 C24" xr:uid="{00000000-0002-0000-2700-000013000000}">
      <formula1>环境</formula1>
    </dataValidation>
    <dataValidation type="list" allowBlank="1" showInputMessage="1" showErrorMessage="1" sqref="E18 G18 I18 C18" xr:uid="{00000000-0002-0000-2700-000014000000}">
      <formula1>交通便捷度</formula1>
    </dataValidation>
    <dataValidation type="list" allowBlank="1" showInputMessage="1" showErrorMessage="1" sqref="E20 I20 G20 C20" xr:uid="{00000000-0002-0000-2700-000015000000}">
      <formula1>公共配套设施</formula1>
    </dataValidation>
    <dataValidation type="list" allowBlank="1" showInputMessage="1" showErrorMessage="1" sqref="C43 E43 G43 I43" xr:uid="{00000000-0002-0000-2700-000016000000}">
      <formula1>内部装修维护情况</formula1>
    </dataValidation>
    <dataValidation type="list" allowBlank="1" showInputMessage="1" showErrorMessage="1" sqref="D1" xr:uid="{00000000-0002-0000-2700-000017000000}">
      <formula1>项目类型</formula1>
    </dataValidation>
    <dataValidation type="list" allowBlank="1" showInputMessage="1" showErrorMessage="1" sqref="C10 E10 G10 I10" xr:uid="{00000000-0002-0000-2700-00001800000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tabSelected="1" view="pageBreakPreview" zoomScale="110" zoomScaleNormal="70" zoomScaleSheetLayoutView="110" workbookViewId="0">
      <selection activeCell="I53" sqref="E53:I5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3229</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43</v>
      </c>
      <c r="C2" s="2067" t="s">
        <v>70</v>
      </c>
      <c r="D2" s="1275" t="e">
        <f ca="1">SUMIF(INDIRECT("'"&amp;F2&amp;"'"&amp;"!A:A"),"承租人权益价值",INDIRECT("'"&amp;F2&amp;"'"&amp;"!c:c"))</f>
        <v>#REF!</v>
      </c>
      <c r="E2" s="2068" t="s">
        <v>2149</v>
      </c>
      <c r="F2" s="2069"/>
      <c r="G2" s="1039"/>
      <c r="H2" s="1039"/>
      <c r="I2" s="1039"/>
      <c r="J2" s="1039"/>
      <c r="K2" s="1039"/>
      <c r="L2" s="3230"/>
      <c r="M2" s="3231"/>
      <c r="N2" s="3231"/>
      <c r="O2" s="3231"/>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9</v>
      </c>
      <c r="C3" s="360" t="s">
        <v>2465</v>
      </c>
      <c r="D3" s="359">
        <f>IF(D1="",'数据-汇总表'!E3,SUMIF('数据-汇总表'!$C19:$C33,D1,'数据-汇总表'!$E19:$E33))</f>
        <v>47689.05</v>
      </c>
      <c r="E3" s="2140"/>
      <c r="F3" s="1040"/>
      <c r="G3" s="1039"/>
      <c r="H3" s="1039"/>
      <c r="I3" s="1039"/>
      <c r="J3" s="1039"/>
      <c r="K3" s="1041"/>
      <c r="L3" s="3230"/>
      <c r="M3" s="3231"/>
      <c r="N3" s="3231"/>
      <c r="O3" s="3231"/>
      <c r="P3" s="708"/>
      <c r="Q3" s="708"/>
      <c r="R3" s="708"/>
      <c r="S3" s="708"/>
      <c r="T3" s="708"/>
      <c r="U3" s="708"/>
      <c r="V3" s="708"/>
      <c r="W3" s="708"/>
      <c r="X3" s="708"/>
      <c r="Y3" s="708"/>
      <c r="Z3" s="708"/>
      <c r="AA3" s="708"/>
      <c r="AB3" s="708"/>
      <c r="AC3" s="709"/>
    </row>
    <row r="4" spans="1:29" ht="15">
      <c r="A4" s="361" t="s">
        <v>2466</v>
      </c>
      <c r="B4" s="362"/>
      <c r="C4" s="3781" t="s">
        <v>2467</v>
      </c>
      <c r="D4" s="3782"/>
      <c r="E4" s="3783" t="s">
        <v>2468</v>
      </c>
      <c r="F4" s="3784"/>
      <c r="G4" s="3781" t="s">
        <v>2469</v>
      </c>
      <c r="H4" s="3782"/>
      <c r="I4" s="3781" t="s">
        <v>2470</v>
      </c>
      <c r="J4" s="3782"/>
      <c r="K4" s="567" t="s">
        <v>2471</v>
      </c>
      <c r="L4" s="3232"/>
      <c r="M4" s="3233"/>
      <c r="N4" s="3233"/>
      <c r="O4" s="3233"/>
      <c r="P4" s="3851" t="s">
        <v>2472</v>
      </c>
      <c r="Q4" s="3852"/>
      <c r="R4" s="3855" t="s">
        <v>2468</v>
      </c>
      <c r="S4" s="3856"/>
      <c r="T4" s="3855" t="s">
        <v>2469</v>
      </c>
      <c r="U4" s="3856"/>
      <c r="V4" s="3860" t="s">
        <v>2470</v>
      </c>
      <c r="W4" s="3860"/>
      <c r="X4" s="2144"/>
      <c r="Y4" s="3855" t="s">
        <v>2472</v>
      </c>
      <c r="Z4" s="3856"/>
      <c r="AA4" s="3861" t="s">
        <v>2468</v>
      </c>
      <c r="AB4" s="3861" t="s">
        <v>2469</v>
      </c>
      <c r="AC4" s="3848" t="s">
        <v>2470</v>
      </c>
    </row>
    <row r="5" spans="1:29" ht="13.9" customHeight="1">
      <c r="A5" s="364"/>
      <c r="B5" s="365"/>
      <c r="C5" s="3846" t="s">
        <v>3756</v>
      </c>
      <c r="D5" s="3801"/>
      <c r="E5" s="3857" t="str">
        <f>'案例-租金'!L5</f>
        <v>银河SOHO</v>
      </c>
      <c r="F5" s="3808"/>
      <c r="G5" s="3846" t="s">
        <v>4258</v>
      </c>
      <c r="H5" s="3801"/>
      <c r="I5" s="3846" t="s">
        <v>4261</v>
      </c>
      <c r="J5" s="3801"/>
      <c r="K5" s="567"/>
      <c r="L5" s="3232"/>
      <c r="M5" s="3233"/>
      <c r="N5" s="3233"/>
      <c r="O5" s="3233"/>
      <c r="P5" s="3853"/>
      <c r="Q5" s="3788"/>
      <c r="R5" s="3793"/>
      <c r="S5" s="3794"/>
      <c r="T5" s="3793"/>
      <c r="U5" s="3794"/>
      <c r="V5" s="3797"/>
      <c r="W5" s="3797"/>
      <c r="X5" s="1539"/>
      <c r="Y5" s="3793"/>
      <c r="Z5" s="3794"/>
      <c r="AA5" s="3779"/>
      <c r="AB5" s="3779"/>
      <c r="AC5" s="3849"/>
    </row>
    <row r="6" spans="1:29" ht="15" customHeight="1" thickBot="1">
      <c r="A6" s="366"/>
      <c r="B6" s="367"/>
      <c r="C6" s="3847" t="s">
        <v>3482</v>
      </c>
      <c r="D6" s="3799"/>
      <c r="E6" s="3858" t="s">
        <v>4285</v>
      </c>
      <c r="F6" s="3806"/>
      <c r="G6" s="3847" t="s">
        <v>4283</v>
      </c>
      <c r="H6" s="3799"/>
      <c r="I6" s="3847" t="s">
        <v>4284</v>
      </c>
      <c r="J6" s="3799"/>
      <c r="K6" s="567" t="s">
        <v>2368</v>
      </c>
      <c r="L6" s="3232"/>
      <c r="M6" s="3233"/>
      <c r="N6" s="3233"/>
      <c r="O6" s="3233"/>
      <c r="P6" s="3854"/>
      <c r="Q6" s="3790"/>
      <c r="R6" s="3793"/>
      <c r="S6" s="3794"/>
      <c r="T6" s="3795"/>
      <c r="U6" s="3796"/>
      <c r="V6" s="3797"/>
      <c r="W6" s="3797"/>
      <c r="X6" s="1539"/>
      <c r="Y6" s="3795"/>
      <c r="Z6" s="3796"/>
      <c r="AA6" s="3780"/>
      <c r="AB6" s="3780"/>
      <c r="AC6" s="3850"/>
    </row>
    <row r="7" spans="1:29" s="113" customFormat="1" ht="15.75" thickBot="1">
      <c r="A7" s="368" t="s">
        <v>2369</v>
      </c>
      <c r="B7" s="369"/>
      <c r="C7" s="370">
        <f>'数据-取费表'!B2</f>
        <v>42914</v>
      </c>
      <c r="D7" s="371">
        <v>100</v>
      </c>
      <c r="E7" s="372">
        <v>42552</v>
      </c>
      <c r="F7" s="373">
        <f>SUMIF(59:59,YEAR(E7)&amp;"-"&amp;MONTH(E7),60:60)</f>
        <v>99</v>
      </c>
      <c r="G7" s="372">
        <v>42826</v>
      </c>
      <c r="H7" s="371">
        <f>SUMIF(59:59,YEAR(G7)&amp;"-"&amp;MONTH(G7),60:60)</f>
        <v>100</v>
      </c>
      <c r="I7" s="372">
        <v>42856</v>
      </c>
      <c r="J7" s="371">
        <f>SUMIF(59:59,YEAR(I7)&amp;"-"&amp;MONTH(I7),60:60)</f>
        <v>100</v>
      </c>
      <c r="K7" s="568"/>
      <c r="L7" s="2979"/>
      <c r="M7" s="3234"/>
      <c r="N7" s="3234"/>
      <c r="O7" s="3234"/>
      <c r="P7" s="3862" t="s">
        <v>2370</v>
      </c>
      <c r="Q7" s="3804"/>
      <c r="R7" s="710" t="s">
        <v>17</v>
      </c>
      <c r="S7" s="711">
        <f t="shared" ref="S7:S15" si="0">F7</f>
        <v>99</v>
      </c>
      <c r="T7" s="710" t="s">
        <v>17</v>
      </c>
      <c r="U7" s="711">
        <f t="shared" ref="U7:U15" si="1">H7</f>
        <v>100</v>
      </c>
      <c r="V7" s="710" t="s">
        <v>17</v>
      </c>
      <c r="W7" s="711">
        <f t="shared" ref="W7:W15" si="2">J7</f>
        <v>100</v>
      </c>
      <c r="X7" s="712"/>
      <c r="Y7" s="3802" t="s">
        <v>2370</v>
      </c>
      <c r="Z7" s="3803"/>
      <c r="AA7" s="713">
        <f>D7/F7</f>
        <v>1.0101010101010102</v>
      </c>
      <c r="AB7" s="713">
        <f>D7/H7</f>
        <v>1</v>
      </c>
      <c r="AC7" s="2145">
        <f>D7/J7</f>
        <v>1</v>
      </c>
    </row>
    <row r="8" spans="1:29" s="113" customFormat="1" ht="15.75" thickBot="1">
      <c r="A8" s="368" t="s">
        <v>2371</v>
      </c>
      <c r="B8" s="369"/>
      <c r="C8" s="374" t="s">
        <v>2473</v>
      </c>
      <c r="D8" s="371">
        <v>100</v>
      </c>
      <c r="E8" s="374" t="s">
        <v>3461</v>
      </c>
      <c r="F8" s="373">
        <f>SUMIF(62:62,E8,63:63)-SUMIF(62:62,C8,63:63)+100</f>
        <v>100</v>
      </c>
      <c r="G8" s="374" t="s">
        <v>3461</v>
      </c>
      <c r="H8" s="371">
        <f>SUMIF(62:62,G8,63:63)-SUMIF(62:62,C8,63:63)+100</f>
        <v>100</v>
      </c>
      <c r="I8" s="374" t="s">
        <v>3461</v>
      </c>
      <c r="J8" s="371">
        <f>SUMIF(62:62,I8,63:63)-SUMIF(62:62,C8,63:63)+100</f>
        <v>100</v>
      </c>
      <c r="K8" s="568"/>
      <c r="L8" s="2944"/>
      <c r="M8" s="2945"/>
      <c r="N8" s="2945"/>
      <c r="O8" s="2945"/>
      <c r="P8" s="3862" t="s">
        <v>2373</v>
      </c>
      <c r="Q8" s="3803"/>
      <c r="R8" s="710" t="s">
        <v>17</v>
      </c>
      <c r="S8" s="711">
        <f t="shared" si="0"/>
        <v>100</v>
      </c>
      <c r="T8" s="710" t="s">
        <v>17</v>
      </c>
      <c r="U8" s="711">
        <f t="shared" si="1"/>
        <v>100</v>
      </c>
      <c r="V8" s="710" t="s">
        <v>17</v>
      </c>
      <c r="W8" s="711">
        <f t="shared" si="2"/>
        <v>100</v>
      </c>
      <c r="X8" s="712"/>
      <c r="Y8" s="3802" t="s">
        <v>2373</v>
      </c>
      <c r="Z8" s="3803"/>
      <c r="AA8" s="713">
        <f t="shared" ref="AA8:AA47" si="3">D8/F8</f>
        <v>1</v>
      </c>
      <c r="AB8" s="713">
        <f t="shared" ref="AB8:AB47" si="4">D8/H8</f>
        <v>1</v>
      </c>
      <c r="AC8" s="2145">
        <f t="shared" ref="AC8:AC47" si="5">D8/J8</f>
        <v>1</v>
      </c>
    </row>
    <row r="9" spans="1:29" s="113" customFormat="1">
      <c r="A9" s="375" t="s">
        <v>2374</v>
      </c>
      <c r="B9" s="67" t="s">
        <v>2375</v>
      </c>
      <c r="C9" s="3167" t="s">
        <v>3473</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777" t="s">
        <v>2376</v>
      </c>
      <c r="Q9" s="1527" t="str">
        <f t="shared" ref="Q9:Q15" si="6">B9</f>
        <v>用途</v>
      </c>
      <c r="R9" s="710" t="s">
        <v>17</v>
      </c>
      <c r="S9" s="711">
        <f t="shared" si="0"/>
        <v>100</v>
      </c>
      <c r="T9" s="710" t="s">
        <v>17</v>
      </c>
      <c r="U9" s="711">
        <f t="shared" si="1"/>
        <v>100</v>
      </c>
      <c r="V9" s="710" t="s">
        <v>17</v>
      </c>
      <c r="W9" s="711">
        <f t="shared" si="2"/>
        <v>100</v>
      </c>
      <c r="X9" s="712"/>
      <c r="Y9" s="3636" t="s">
        <v>2377</v>
      </c>
      <c r="Z9" s="55" t="str">
        <f t="shared" ref="Z9:Z15" si="7">Q9</f>
        <v>用途</v>
      </c>
      <c r="AA9" s="713">
        <f t="shared" si="3"/>
        <v>1</v>
      </c>
      <c r="AB9" s="713">
        <f t="shared" si="4"/>
        <v>1</v>
      </c>
      <c r="AC9" s="2145">
        <f t="shared" si="5"/>
        <v>1</v>
      </c>
    </row>
    <row r="10" spans="1:29" s="386" customFormat="1" ht="27" hidden="1">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777"/>
      <c r="Q10" s="1527" t="str">
        <f t="shared" si="6"/>
        <v>土地使用年限（年）</v>
      </c>
      <c r="R10" s="710" t="s">
        <v>17</v>
      </c>
      <c r="S10" s="711">
        <f t="shared" si="0"/>
        <v>100</v>
      </c>
      <c r="T10" s="710" t="s">
        <v>17</v>
      </c>
      <c r="U10" s="711">
        <f t="shared" si="1"/>
        <v>100</v>
      </c>
      <c r="V10" s="710" t="s">
        <v>17</v>
      </c>
      <c r="W10" s="711">
        <f t="shared" si="2"/>
        <v>100</v>
      </c>
      <c r="X10" s="712"/>
      <c r="Y10" s="3636"/>
      <c r="Z10" s="55" t="str">
        <f t="shared" si="7"/>
        <v>土地使用年限（年）</v>
      </c>
      <c r="AA10" s="713">
        <f t="shared" si="3"/>
        <v>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77"/>
      <c r="Q11" s="1527" t="str">
        <f t="shared" si="6"/>
        <v>容积率</v>
      </c>
      <c r="R11" s="710" t="s">
        <v>17</v>
      </c>
      <c r="S11" s="711">
        <f t="shared" si="0"/>
        <v>100</v>
      </c>
      <c r="T11" s="710" t="s">
        <v>17</v>
      </c>
      <c r="U11" s="711">
        <f t="shared" si="1"/>
        <v>100</v>
      </c>
      <c r="V11" s="710" t="s">
        <v>17</v>
      </c>
      <c r="W11" s="711">
        <f t="shared" si="2"/>
        <v>100</v>
      </c>
      <c r="X11" s="712"/>
      <c r="Y11" s="3636"/>
      <c r="Z11" s="55" t="str">
        <f t="shared" si="7"/>
        <v>容积率</v>
      </c>
      <c r="AA11" s="713">
        <f t="shared" si="3"/>
        <v>1</v>
      </c>
      <c r="AB11" s="713">
        <f t="shared" si="4"/>
        <v>1</v>
      </c>
      <c r="AC11" s="2145">
        <f t="shared" si="5"/>
        <v>1</v>
      </c>
    </row>
    <row r="12" spans="1:29" s="113" customFormat="1" ht="15">
      <c r="A12" s="390"/>
      <c r="B12" s="3315" t="s">
        <v>4025</v>
      </c>
      <c r="C12" s="391">
        <v>15</v>
      </c>
      <c r="D12" s="392">
        <v>100</v>
      </c>
      <c r="E12" s="391">
        <v>8</v>
      </c>
      <c r="F12" s="132">
        <f>SUMIF(71:71,E12,72:72)-SUMIF(71:71,C12,72:72)+100</f>
        <v>102</v>
      </c>
      <c r="G12" s="2146">
        <v>3</v>
      </c>
      <c r="H12" s="132">
        <f>SUMIF(71:71,G12,72:72)-SUMIF(71:71,C12,72:72)+100</f>
        <v>104</v>
      </c>
      <c r="I12" s="391">
        <v>10</v>
      </c>
      <c r="J12" s="132">
        <f>SUMIF(71:71,I12,72:72)-SUMIF(71:71,C12,72:72)+100</f>
        <v>102</v>
      </c>
      <c r="K12" s="570"/>
      <c r="L12" s="2944"/>
      <c r="M12" s="2945"/>
      <c r="N12" s="2945"/>
      <c r="O12" s="2945"/>
      <c r="P12" s="3777"/>
      <c r="Q12" s="1527" t="str">
        <f t="shared" si="6"/>
        <v>租期</v>
      </c>
      <c r="R12" s="710" t="s">
        <v>17</v>
      </c>
      <c r="S12" s="711">
        <f t="shared" si="0"/>
        <v>102</v>
      </c>
      <c r="T12" s="710" t="s">
        <v>17</v>
      </c>
      <c r="U12" s="711">
        <f t="shared" si="1"/>
        <v>104</v>
      </c>
      <c r="V12" s="710" t="s">
        <v>17</v>
      </c>
      <c r="W12" s="711">
        <f t="shared" si="2"/>
        <v>102</v>
      </c>
      <c r="X12" s="712"/>
      <c r="Y12" s="3636"/>
      <c r="Z12" s="55" t="str">
        <f t="shared" si="7"/>
        <v>租期</v>
      </c>
      <c r="AA12" s="713">
        <f>D12/F12</f>
        <v>0.98039215686274506</v>
      </c>
      <c r="AB12" s="713">
        <f>D12/H12</f>
        <v>0.96153846153846156</v>
      </c>
      <c r="AC12" s="2145">
        <f>D12/J12</f>
        <v>0.98039215686274506</v>
      </c>
    </row>
    <row r="13" spans="1:29" ht="15">
      <c r="A13" s="387"/>
      <c r="B13" s="3315" t="s">
        <v>4183</v>
      </c>
      <c r="C13" s="3170" t="s">
        <v>4184</v>
      </c>
      <c r="D13" s="394">
        <v>100</v>
      </c>
      <c r="E13" s="3313" t="s">
        <v>4185</v>
      </c>
      <c r="F13" s="132">
        <f>SUMIF(73:73,E13,74:74)-SUMIF(73:73,C13,74:74)+100</f>
        <v>97</v>
      </c>
      <c r="G13" s="3170" t="s">
        <v>4184</v>
      </c>
      <c r="H13" s="394">
        <f>SUMIF(73:73,G13,74:74)-SUMIF(73:73,C13,74:74)+100</f>
        <v>100</v>
      </c>
      <c r="I13" s="3313" t="s">
        <v>4185</v>
      </c>
      <c r="J13" s="394">
        <f>SUMIF(73:73,I13,74:74)-SUMIF(73:73,C13,74:74)+100</f>
        <v>97</v>
      </c>
      <c r="K13" s="570"/>
      <c r="L13" s="2949"/>
      <c r="M13" s="2943"/>
      <c r="N13" s="2943"/>
      <c r="O13" s="2943"/>
      <c r="P13" s="3777"/>
      <c r="Q13" s="1527" t="str">
        <f t="shared" si="6"/>
        <v>产权</v>
      </c>
      <c r="R13" s="710" t="s">
        <v>17</v>
      </c>
      <c r="S13" s="711">
        <f t="shared" si="0"/>
        <v>97</v>
      </c>
      <c r="T13" s="710" t="s">
        <v>17</v>
      </c>
      <c r="U13" s="711">
        <f t="shared" si="1"/>
        <v>100</v>
      </c>
      <c r="V13" s="710" t="s">
        <v>17</v>
      </c>
      <c r="W13" s="711">
        <f t="shared" si="2"/>
        <v>97</v>
      </c>
      <c r="X13" s="712"/>
      <c r="Y13" s="3636"/>
      <c r="Z13" s="55" t="str">
        <f t="shared" si="7"/>
        <v>产权</v>
      </c>
      <c r="AA13" s="713">
        <f t="shared" si="3"/>
        <v>1.0309278350515463</v>
      </c>
      <c r="AB13" s="713">
        <f t="shared" si="4"/>
        <v>1</v>
      </c>
      <c r="AC13" s="2145">
        <f t="shared" si="5"/>
        <v>1.0309278350515463</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77"/>
      <c r="Q14" s="1527">
        <f t="shared" si="6"/>
        <v>111</v>
      </c>
      <c r="R14" s="710" t="s">
        <v>17</v>
      </c>
      <c r="S14" s="711">
        <f t="shared" si="0"/>
        <v>100</v>
      </c>
      <c r="T14" s="710" t="s">
        <v>17</v>
      </c>
      <c r="U14" s="711">
        <f t="shared" si="1"/>
        <v>100</v>
      </c>
      <c r="V14" s="710" t="s">
        <v>17</v>
      </c>
      <c r="W14" s="711">
        <f t="shared" si="2"/>
        <v>100</v>
      </c>
      <c r="X14" s="712"/>
      <c r="Y14" s="3636"/>
      <c r="Z14" s="55">
        <f t="shared" si="7"/>
        <v>111</v>
      </c>
      <c r="AA14" s="713">
        <f t="shared" si="3"/>
        <v>1</v>
      </c>
      <c r="AB14" s="713">
        <f t="shared" si="4"/>
        <v>1</v>
      </c>
      <c r="AC14" s="2145">
        <f t="shared" si="5"/>
        <v>1</v>
      </c>
    </row>
    <row r="15" spans="1:29" ht="64.5"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227" t="s">
        <v>4030</v>
      </c>
      <c r="F15" s="400">
        <f>SUMIF(77:77,E16,78:78)-SUMIF(77:77,C16,78:78)+100</f>
        <v>105</v>
      </c>
      <c r="G15" s="3225" t="s">
        <v>4031</v>
      </c>
      <c r="H15" s="400">
        <f>SUMIF(77:77,G16,78:78)-SUMIF(77:77,C16,78:78)+100</f>
        <v>110</v>
      </c>
      <c r="I15" s="3225" t="s">
        <v>4170</v>
      </c>
      <c r="J15" s="400">
        <f>SUMIF(77:77,I16,78:78)-SUMIF(77:77,C16,78:78)+100</f>
        <v>110</v>
      </c>
      <c r="K15" s="571">
        <v>5</v>
      </c>
      <c r="L15" s="2949"/>
      <c r="M15" s="2943"/>
      <c r="N15" s="2943"/>
      <c r="O15" s="2943"/>
      <c r="P15" s="3775" t="s">
        <v>2381</v>
      </c>
      <c r="Q15" s="1536" t="str">
        <f t="shared" si="6"/>
        <v>办公集聚程度</v>
      </c>
      <c r="R15" s="714" t="s">
        <v>17</v>
      </c>
      <c r="S15" s="715">
        <f t="shared" si="0"/>
        <v>105</v>
      </c>
      <c r="T15" s="714" t="s">
        <v>17</v>
      </c>
      <c r="U15" s="715">
        <f t="shared" si="1"/>
        <v>110</v>
      </c>
      <c r="V15" s="714" t="s">
        <v>17</v>
      </c>
      <c r="W15" s="715">
        <f t="shared" si="2"/>
        <v>110</v>
      </c>
      <c r="X15" s="1539"/>
      <c r="Y15" s="3768" t="s">
        <v>2381</v>
      </c>
      <c r="Z15" s="1540" t="str">
        <f t="shared" si="7"/>
        <v>办公集聚程度</v>
      </c>
      <c r="AA15" s="1537">
        <f t="shared" si="3"/>
        <v>0.95238095238095233</v>
      </c>
      <c r="AB15" s="1537">
        <f t="shared" si="4"/>
        <v>0.90909090909090906</v>
      </c>
      <c r="AC15" s="2148">
        <f t="shared" si="5"/>
        <v>0.90909090909090906</v>
      </c>
    </row>
    <row r="16" spans="1:29" ht="15">
      <c r="A16" s="387"/>
      <c r="B16" s="586"/>
      <c r="C16" s="2090" t="s">
        <v>3474</v>
      </c>
      <c r="D16" s="407"/>
      <c r="E16" s="406" t="s">
        <v>3094</v>
      </c>
      <c r="F16" s="407"/>
      <c r="G16" s="406" t="s">
        <v>3095</v>
      </c>
      <c r="H16" s="409"/>
      <c r="I16" s="406" t="s">
        <v>3095</v>
      </c>
      <c r="J16" s="407"/>
      <c r="K16" s="572"/>
      <c r="L16" s="2949"/>
      <c r="M16" s="2943"/>
      <c r="N16" s="2943"/>
      <c r="O16" s="2943"/>
      <c r="P16" s="3776"/>
      <c r="Q16" s="1536"/>
      <c r="R16" s="714"/>
      <c r="S16" s="715"/>
      <c r="T16" s="714"/>
      <c r="U16" s="715"/>
      <c r="V16" s="714"/>
      <c r="W16" s="715"/>
      <c r="X16" s="1539"/>
      <c r="Y16" s="3769"/>
      <c r="Z16" s="1540"/>
      <c r="AA16" s="1537">
        <v>1</v>
      </c>
      <c r="AB16" s="1537">
        <v>1</v>
      </c>
      <c r="AC16" s="2148">
        <v>1</v>
      </c>
    </row>
    <row r="17" spans="1:29" ht="72.75"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2" t="s">
        <v>4178</v>
      </c>
      <c r="F17" s="409">
        <f>SUMIF(79:79,E18,80:80)-SUMIF(79:79,C18,80:80)+100</f>
        <v>98</v>
      </c>
      <c r="G17" s="3222" t="s">
        <v>4171</v>
      </c>
      <c r="H17" s="414">
        <f>SUMIF(79:79,G18,80:80)-SUMIF(79:79,C18,80:80)+100</f>
        <v>98</v>
      </c>
      <c r="I17" s="3222" t="s">
        <v>3771</v>
      </c>
      <c r="J17" s="414">
        <f>SUMIF(79:79,I18,80:80)-SUMIF(79:79,C18,80:80)+100</f>
        <v>100</v>
      </c>
      <c r="K17" s="571">
        <v>2</v>
      </c>
      <c r="L17" s="2949"/>
      <c r="M17" s="2943"/>
      <c r="N17" s="2943"/>
      <c r="O17" s="2943"/>
      <c r="P17" s="3776"/>
      <c r="Q17" s="1536" t="str">
        <f>B17</f>
        <v>交通便捷度</v>
      </c>
      <c r="R17" s="714" t="s">
        <v>17</v>
      </c>
      <c r="S17" s="715">
        <f>F17</f>
        <v>98</v>
      </c>
      <c r="T17" s="714" t="s">
        <v>17</v>
      </c>
      <c r="U17" s="715">
        <f>H17</f>
        <v>98</v>
      </c>
      <c r="V17" s="714" t="s">
        <v>17</v>
      </c>
      <c r="W17" s="715">
        <f>J17</f>
        <v>100</v>
      </c>
      <c r="X17" s="1539"/>
      <c r="Y17" s="3769"/>
      <c r="Z17" s="1540" t="str">
        <f>Q17</f>
        <v>交通便捷度</v>
      </c>
      <c r="AA17" s="1537">
        <f t="shared" si="3"/>
        <v>1.0204081632653061</v>
      </c>
      <c r="AB17" s="1537">
        <f t="shared" si="4"/>
        <v>1.0204081632653061</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776"/>
      <c r="Q18" s="1536"/>
      <c r="R18" s="714"/>
      <c r="S18" s="715"/>
      <c r="T18" s="714"/>
      <c r="U18" s="715"/>
      <c r="V18" s="714"/>
      <c r="W18" s="715"/>
      <c r="X18" s="1539"/>
      <c r="Y18" s="3769"/>
      <c r="Z18" s="1540"/>
      <c r="AA18" s="1537">
        <v>1</v>
      </c>
      <c r="AB18" s="1537">
        <v>1</v>
      </c>
      <c r="AC18" s="2148">
        <v>1</v>
      </c>
    </row>
    <row r="19" spans="1:29" ht="65.2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4" t="s">
        <v>4032</v>
      </c>
      <c r="F19" s="414">
        <f>SUMIF(81:81,E20,82:82)-SUMIF(81:81,C20,82:82)+100</f>
        <v>100</v>
      </c>
      <c r="G19" s="3224" t="s">
        <v>3770</v>
      </c>
      <c r="H19" s="409">
        <f>SUMIF(81:81,G20,82:82)-SUMIF(81:81,C20,82:82)+100</f>
        <v>100</v>
      </c>
      <c r="I19" s="3224" t="s">
        <v>3772</v>
      </c>
      <c r="J19" s="409">
        <f>SUMIF(81:81,I20,82:82)-SUMIF(81:81,C20,82:82)+100</f>
        <v>100</v>
      </c>
      <c r="K19" s="571">
        <v>2</v>
      </c>
      <c r="L19" s="2949"/>
      <c r="M19" s="2943"/>
      <c r="N19" s="2943"/>
      <c r="O19" s="2943"/>
      <c r="P19" s="3776"/>
      <c r="Q19" s="1536" t="str">
        <f>B19</f>
        <v>公共配套设施</v>
      </c>
      <c r="R19" s="714" t="s">
        <v>17</v>
      </c>
      <c r="S19" s="715">
        <f>F19</f>
        <v>100</v>
      </c>
      <c r="T19" s="714" t="s">
        <v>17</v>
      </c>
      <c r="U19" s="715">
        <f>H19</f>
        <v>100</v>
      </c>
      <c r="V19" s="714" t="s">
        <v>17</v>
      </c>
      <c r="W19" s="715">
        <f>J19</f>
        <v>100</v>
      </c>
      <c r="X19" s="1539"/>
      <c r="Y19" s="3769"/>
      <c r="Z19" s="1540" t="str">
        <f>Q19</f>
        <v>公共配套设施</v>
      </c>
      <c r="AA19" s="1537">
        <f t="shared" si="3"/>
        <v>1</v>
      </c>
      <c r="AB19" s="1537">
        <f t="shared" si="4"/>
        <v>1</v>
      </c>
      <c r="AC19" s="2148">
        <f t="shared" si="5"/>
        <v>1</v>
      </c>
    </row>
    <row r="20" spans="1:29" ht="15">
      <c r="A20" s="387"/>
      <c r="B20" s="588"/>
      <c r="C20" s="2090" t="s">
        <v>3094</v>
      </c>
      <c r="D20" s="407"/>
      <c r="E20" s="2150" t="s">
        <v>3094</v>
      </c>
      <c r="F20" s="407"/>
      <c r="G20" s="2150" t="s">
        <v>3094</v>
      </c>
      <c r="H20" s="407"/>
      <c r="I20" s="2150" t="s">
        <v>3094</v>
      </c>
      <c r="J20" s="407"/>
      <c r="K20" s="572"/>
      <c r="L20" s="2949"/>
      <c r="M20" s="2943"/>
      <c r="N20" s="2943"/>
      <c r="O20" s="2943"/>
      <c r="P20" s="3776"/>
      <c r="Q20" s="1536"/>
      <c r="R20" s="714"/>
      <c r="S20" s="715"/>
      <c r="T20" s="714"/>
      <c r="U20" s="715"/>
      <c r="V20" s="714"/>
      <c r="W20" s="715"/>
      <c r="X20" s="1539"/>
      <c r="Y20" s="3769"/>
      <c r="Z20" s="1540"/>
      <c r="AA20" s="1537">
        <v>1</v>
      </c>
      <c r="AB20" s="1537">
        <v>1</v>
      </c>
      <c r="AC20" s="2148">
        <v>1</v>
      </c>
    </row>
    <row r="21" spans="1:29" ht="16.5"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776"/>
      <c r="Q21" s="1536" t="str">
        <f>B21</f>
        <v>基础设施水平</v>
      </c>
      <c r="R21" s="714" t="s">
        <v>17</v>
      </c>
      <c r="S21" s="715">
        <f>F21</f>
        <v>100</v>
      </c>
      <c r="T21" s="714" t="s">
        <v>17</v>
      </c>
      <c r="U21" s="715">
        <f>H21</f>
        <v>100</v>
      </c>
      <c r="V21" s="714" t="s">
        <v>17</v>
      </c>
      <c r="W21" s="715">
        <f>J21</f>
        <v>100</v>
      </c>
      <c r="X21" s="1539"/>
      <c r="Y21" s="3769"/>
      <c r="Z21" s="1540" t="str">
        <f>Q21</f>
        <v>基础设施水平</v>
      </c>
      <c r="AA21" s="1537">
        <f>D21/F21</f>
        <v>1</v>
      </c>
      <c r="AB21" s="1537">
        <f>D21/H21</f>
        <v>1</v>
      </c>
      <c r="AC21" s="2148">
        <f>D21/J21</f>
        <v>1</v>
      </c>
    </row>
    <row r="22" spans="1:29" ht="15">
      <c r="A22" s="387"/>
      <c r="B22" s="589"/>
      <c r="C22" s="2150" t="s">
        <v>3475</v>
      </c>
      <c r="D22" s="407"/>
      <c r="E22" s="2150" t="s">
        <v>3475</v>
      </c>
      <c r="F22" s="407"/>
      <c r="G22" s="2150" t="s">
        <v>3475</v>
      </c>
      <c r="H22" s="407"/>
      <c r="I22" s="2150" t="s">
        <v>3475</v>
      </c>
      <c r="J22" s="407"/>
      <c r="K22" s="1292"/>
      <c r="L22" s="2949"/>
      <c r="M22" s="2943"/>
      <c r="N22" s="2943"/>
      <c r="O22" s="2943"/>
      <c r="P22" s="3776"/>
      <c r="Q22" s="1536"/>
      <c r="R22" s="714"/>
      <c r="S22" s="715"/>
      <c r="T22" s="714"/>
      <c r="U22" s="715"/>
      <c r="V22" s="714"/>
      <c r="W22" s="715"/>
      <c r="X22" s="1539"/>
      <c r="Y22" s="3769"/>
      <c r="Z22" s="1540"/>
      <c r="AA22" s="1537">
        <v>1</v>
      </c>
      <c r="AB22" s="1537">
        <v>1</v>
      </c>
      <c r="AC22" s="2148">
        <v>1</v>
      </c>
    </row>
    <row r="23" spans="1:29" ht="45" customHeight="1">
      <c r="A23" s="387"/>
      <c r="B23" s="587" t="s">
        <v>2511</v>
      </c>
      <c r="C23" s="2149" t="str">
        <f>估价对象房地状况!C9</f>
        <v>周边有隆福寺广场、东四清真寺等，自然及人文环境较好</v>
      </c>
      <c r="D23" s="409">
        <v>100</v>
      </c>
      <c r="E23" s="3228" t="s">
        <v>4033</v>
      </c>
      <c r="F23" s="409">
        <f>SUMIF(85:85,E24,86:86)-SUMIF(85:85,C24,86:86)+100</f>
        <v>100</v>
      </c>
      <c r="G23" s="3228" t="s">
        <v>4035</v>
      </c>
      <c r="H23" s="409">
        <f>SUMIF(85:85,G24,86:86)-SUMIF(85:85,C24,86:86)+100</f>
        <v>100</v>
      </c>
      <c r="I23" s="3228" t="s">
        <v>3773</v>
      </c>
      <c r="J23" s="409">
        <f>SUMIF(85:85,I24,86:86)-SUMIF(85:85,C24,86:86)+100</f>
        <v>100</v>
      </c>
      <c r="K23" s="571">
        <v>2</v>
      </c>
      <c r="L23" s="2949"/>
      <c r="M23" s="2943"/>
      <c r="N23" s="2943"/>
      <c r="O23" s="2943"/>
      <c r="P23" s="3776"/>
      <c r="Q23" s="1536" t="str">
        <f>B23</f>
        <v>环境质量</v>
      </c>
      <c r="R23" s="714" t="s">
        <v>17</v>
      </c>
      <c r="S23" s="715">
        <f>F23</f>
        <v>100</v>
      </c>
      <c r="T23" s="714" t="s">
        <v>17</v>
      </c>
      <c r="U23" s="715">
        <f>H23</f>
        <v>100</v>
      </c>
      <c r="V23" s="714" t="s">
        <v>17</v>
      </c>
      <c r="W23" s="715">
        <f>J23</f>
        <v>100</v>
      </c>
      <c r="X23" s="1539"/>
      <c r="Y23" s="3769"/>
      <c r="Z23" s="1540" t="str">
        <f>Q23</f>
        <v>环境质量</v>
      </c>
      <c r="AA23" s="1537">
        <f t="shared" si="3"/>
        <v>1</v>
      </c>
      <c r="AB23" s="1537">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776"/>
      <c r="Q24" s="1536"/>
      <c r="R24" s="714"/>
      <c r="S24" s="715"/>
      <c r="T24" s="714"/>
      <c r="U24" s="715"/>
      <c r="V24" s="714"/>
      <c r="W24" s="715"/>
      <c r="X24" s="1539"/>
      <c r="Y24" s="3769"/>
      <c r="Z24" s="1540"/>
      <c r="AA24" s="1537">
        <v>1</v>
      </c>
      <c r="AB24" s="1537">
        <v>1</v>
      </c>
      <c r="AC24" s="2148">
        <v>1</v>
      </c>
    </row>
    <row r="25" spans="1:29" ht="27">
      <c r="A25" s="364"/>
      <c r="B25" s="587" t="s">
        <v>2512</v>
      </c>
      <c r="C25" s="3169" t="s">
        <v>3479</v>
      </c>
      <c r="D25" s="394">
        <v>100</v>
      </c>
      <c r="E25" s="3170" t="s">
        <v>4287</v>
      </c>
      <c r="F25" s="394">
        <f>SUMIF(87:87,E26,88:88)-SUMIF(87:87,C26,88:88)+100</f>
        <v>99</v>
      </c>
      <c r="G25" s="3170" t="s">
        <v>4286</v>
      </c>
      <c r="H25" s="394">
        <f>SUMIF(87:87,G26,88:88)-SUMIF(87:87,C26,88:88)+100</f>
        <v>99</v>
      </c>
      <c r="I25" s="3170" t="s">
        <v>3766</v>
      </c>
      <c r="J25" s="394">
        <f>SUMIF(87:87,I26,88:88)-SUMIF(87:87,C26,88:88)+100</f>
        <v>100</v>
      </c>
      <c r="K25" s="571">
        <v>1</v>
      </c>
      <c r="L25" s="2949"/>
      <c r="M25" s="2943"/>
      <c r="N25" s="2943"/>
      <c r="O25" s="2943"/>
      <c r="P25" s="3776"/>
      <c r="Q25" s="1536" t="str">
        <f>B25</f>
        <v>毗邻道路的类型与等级</v>
      </c>
      <c r="R25" s="714" t="s">
        <v>17</v>
      </c>
      <c r="S25" s="715">
        <f>F25</f>
        <v>99</v>
      </c>
      <c r="T25" s="714" t="s">
        <v>17</v>
      </c>
      <c r="U25" s="715">
        <f>H25</f>
        <v>99</v>
      </c>
      <c r="V25" s="714" t="s">
        <v>17</v>
      </c>
      <c r="W25" s="715">
        <f>J25</f>
        <v>100</v>
      </c>
      <c r="X25" s="1539"/>
      <c r="Y25" s="3769"/>
      <c r="Z25" s="1540" t="str">
        <f>Q25</f>
        <v>毗邻道路的类型与等级</v>
      </c>
      <c r="AA25" s="1537">
        <f t="shared" si="3"/>
        <v>1.0101010101010102</v>
      </c>
      <c r="AB25" s="1537">
        <f t="shared" si="4"/>
        <v>1.0101010101010102</v>
      </c>
      <c r="AC25" s="2148">
        <f t="shared" si="5"/>
        <v>1</v>
      </c>
    </row>
    <row r="26" spans="1:29" ht="15">
      <c r="A26" s="364"/>
      <c r="B26" s="588"/>
      <c r="C26" s="590" t="s">
        <v>3476</v>
      </c>
      <c r="D26" s="394"/>
      <c r="E26" s="573" t="s">
        <v>3763</v>
      </c>
      <c r="F26" s="394"/>
      <c r="G26" s="573" t="s">
        <v>3763</v>
      </c>
      <c r="H26" s="394"/>
      <c r="I26" s="573" t="s">
        <v>3476</v>
      </c>
      <c r="J26" s="394"/>
      <c r="K26" s="572"/>
      <c r="L26" s="2949"/>
      <c r="M26" s="2943"/>
      <c r="N26" s="2943"/>
      <c r="O26" s="2943"/>
      <c r="P26" s="3776"/>
      <c r="Q26" s="1536"/>
      <c r="R26" s="714"/>
      <c r="S26" s="715"/>
      <c r="T26" s="714"/>
      <c r="U26" s="715"/>
      <c r="V26" s="714"/>
      <c r="W26" s="715"/>
      <c r="X26" s="1539"/>
      <c r="Y26" s="3769"/>
      <c r="Z26" s="1540"/>
      <c r="AA26" s="1537">
        <v>1</v>
      </c>
      <c r="AB26" s="1537">
        <v>1</v>
      </c>
      <c r="AC26" s="2148">
        <v>1</v>
      </c>
    </row>
    <row r="27" spans="1:29" ht="15">
      <c r="A27" s="387"/>
      <c r="B27" s="588" t="s">
        <v>2480</v>
      </c>
      <c r="C27" s="590" t="s">
        <v>4247</v>
      </c>
      <c r="D27" s="394">
        <v>100</v>
      </c>
      <c r="E27" s="573" t="s">
        <v>4247</v>
      </c>
      <c r="F27" s="394">
        <f>SUMIF(89:89,E27,90:90)-SUMIF(89:89,C27,90:90)+100</f>
        <v>100</v>
      </c>
      <c r="G27" s="590" t="s">
        <v>4249</v>
      </c>
      <c r="H27" s="394">
        <f>SUMIF(89:89,G27,90:90)-SUMIF(89:89,C27,90:90)+100</f>
        <v>98</v>
      </c>
      <c r="I27" s="573" t="s">
        <v>4249</v>
      </c>
      <c r="J27" s="394">
        <f>SUMIF(89:89,I27,90:90)-SUMIF(89:89,C27,90:90)+100</f>
        <v>98</v>
      </c>
      <c r="K27" s="569">
        <v>2</v>
      </c>
      <c r="L27" s="2949"/>
      <c r="M27" s="2943"/>
      <c r="N27" s="2943"/>
      <c r="O27" s="2943"/>
      <c r="P27" s="3776"/>
      <c r="Q27" s="1536" t="str">
        <f t="shared" ref="Q27:Q47" si="8">B27</f>
        <v>楼层</v>
      </c>
      <c r="R27" s="714" t="s">
        <v>17</v>
      </c>
      <c r="S27" s="715">
        <f>F27</f>
        <v>100</v>
      </c>
      <c r="T27" s="714" t="s">
        <v>17</v>
      </c>
      <c r="U27" s="715">
        <f>H27</f>
        <v>98</v>
      </c>
      <c r="V27" s="714" t="s">
        <v>17</v>
      </c>
      <c r="W27" s="715">
        <f>J27</f>
        <v>98</v>
      </c>
      <c r="X27" s="1539"/>
      <c r="Y27" s="3769"/>
      <c r="Z27" s="1540" t="str">
        <f>Q27</f>
        <v>楼层</v>
      </c>
      <c r="AA27" s="1537">
        <f t="shared" si="3"/>
        <v>1</v>
      </c>
      <c r="AB27" s="1537">
        <f t="shared" si="4"/>
        <v>1.0204081632653061</v>
      </c>
      <c r="AC27" s="2148">
        <f t="shared" si="5"/>
        <v>1.0204081632653061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776"/>
      <c r="Q28" s="1527" t="str">
        <f t="shared" si="8"/>
        <v>朝向</v>
      </c>
      <c r="R28" s="710" t="s">
        <v>17</v>
      </c>
      <c r="S28" s="711">
        <f>F28</f>
        <v>100</v>
      </c>
      <c r="T28" s="710" t="s">
        <v>17</v>
      </c>
      <c r="U28" s="711">
        <f>H28</f>
        <v>100</v>
      </c>
      <c r="V28" s="710" t="s">
        <v>17</v>
      </c>
      <c r="W28" s="711">
        <f>J28</f>
        <v>100</v>
      </c>
      <c r="X28" s="712"/>
      <c r="Y28" s="3769"/>
      <c r="Z28" s="55" t="str">
        <f>Q28</f>
        <v>朝向</v>
      </c>
      <c r="AA28" s="1537">
        <f>D28/F28</f>
        <v>1</v>
      </c>
      <c r="AB28" s="1537">
        <f>D28/H28</f>
        <v>1</v>
      </c>
      <c r="AC28" s="2148">
        <f>D28/J28</f>
        <v>1</v>
      </c>
    </row>
    <row r="29" spans="1:29" ht="15">
      <c r="A29" s="387"/>
      <c r="B29" s="3423"/>
      <c r="C29" s="3169"/>
      <c r="D29" s="394">
        <v>100</v>
      </c>
      <c r="E29" s="3313"/>
      <c r="F29" s="394">
        <f>SUMIF(93:93,E29,94:94)-SUMIF(93:93,C29,94:94)+100</f>
        <v>100</v>
      </c>
      <c r="G29" s="3314"/>
      <c r="H29" s="394">
        <f>SUMIF(93:93,G29,94:94)-SUMIF(93:93,C29,94:94)+100</f>
        <v>100</v>
      </c>
      <c r="I29" s="3313"/>
      <c r="J29" s="394">
        <f>SUMIF(93:93,I29,94:94)-SUMIF(93:93,C29,94:94)+100</f>
        <v>100</v>
      </c>
      <c r="K29" s="570"/>
      <c r="L29" s="2949"/>
      <c r="M29" s="2943"/>
      <c r="N29" s="2943"/>
      <c r="O29" s="2943"/>
      <c r="P29" s="3776"/>
      <c r="Q29" s="1536">
        <f t="shared" si="8"/>
        <v>0</v>
      </c>
      <c r="R29" s="714" t="s">
        <v>17</v>
      </c>
      <c r="S29" s="715">
        <f t="shared" ref="S29:S47" si="9">F29</f>
        <v>100</v>
      </c>
      <c r="T29" s="714" t="s">
        <v>17</v>
      </c>
      <c r="U29" s="715">
        <f t="shared" ref="U29:U47" si="10">H29</f>
        <v>100</v>
      </c>
      <c r="V29" s="714" t="s">
        <v>17</v>
      </c>
      <c r="W29" s="715">
        <f t="shared" ref="W29:W47" si="11">J29</f>
        <v>100</v>
      </c>
      <c r="X29" s="1539"/>
      <c r="Y29" s="3769"/>
      <c r="Z29" s="1540">
        <f t="shared" ref="Z29:Z47" si="12">Q29</f>
        <v>0</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776"/>
      <c r="Q30" s="1536">
        <f t="shared" si="8"/>
        <v>111</v>
      </c>
      <c r="R30" s="714" t="s">
        <v>17</v>
      </c>
      <c r="S30" s="715">
        <f t="shared" si="9"/>
        <v>100</v>
      </c>
      <c r="T30" s="714" t="s">
        <v>17</v>
      </c>
      <c r="U30" s="715">
        <f t="shared" si="10"/>
        <v>100</v>
      </c>
      <c r="V30" s="714" t="s">
        <v>17</v>
      </c>
      <c r="W30" s="715">
        <f t="shared" si="11"/>
        <v>100</v>
      </c>
      <c r="X30" s="1539"/>
      <c r="Y30" s="3769"/>
      <c r="Z30" s="1540">
        <f t="shared" si="12"/>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776"/>
      <c r="Q31" s="1536">
        <f t="shared" si="8"/>
        <v>111</v>
      </c>
      <c r="R31" s="714" t="s">
        <v>17</v>
      </c>
      <c r="S31" s="715">
        <f t="shared" si="9"/>
        <v>100</v>
      </c>
      <c r="T31" s="714" t="s">
        <v>17</v>
      </c>
      <c r="U31" s="715">
        <f t="shared" si="10"/>
        <v>100</v>
      </c>
      <c r="V31" s="714" t="s">
        <v>17</v>
      </c>
      <c r="W31" s="715">
        <f t="shared" si="11"/>
        <v>100</v>
      </c>
      <c r="X31" s="1539"/>
      <c r="Y31" s="3769"/>
      <c r="Z31" s="1540">
        <f t="shared" si="12"/>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776"/>
      <c r="Q32" s="1536">
        <f t="shared" si="8"/>
        <v>111</v>
      </c>
      <c r="R32" s="714" t="s">
        <v>17</v>
      </c>
      <c r="S32" s="715">
        <f t="shared" si="9"/>
        <v>100</v>
      </c>
      <c r="T32" s="714" t="s">
        <v>17</v>
      </c>
      <c r="U32" s="715">
        <f t="shared" si="10"/>
        <v>100</v>
      </c>
      <c r="V32" s="714" t="s">
        <v>17</v>
      </c>
      <c r="W32" s="715">
        <f t="shared" si="11"/>
        <v>100</v>
      </c>
      <c r="X32" s="1539"/>
      <c r="Y32" s="3769"/>
      <c r="Z32" s="1540">
        <f t="shared" si="12"/>
        <v>111</v>
      </c>
      <c r="AA32" s="1537">
        <f t="shared" si="3"/>
        <v>1</v>
      </c>
      <c r="AB32" s="1537">
        <f t="shared" si="4"/>
        <v>1</v>
      </c>
      <c r="AC32" s="2148">
        <f t="shared" si="5"/>
        <v>1</v>
      </c>
    </row>
    <row r="33" spans="1:29" ht="15">
      <c r="A33" s="399" t="s">
        <v>2384</v>
      </c>
      <c r="B33" s="67" t="s">
        <v>2514</v>
      </c>
      <c r="C33" s="3422" t="s">
        <v>4172</v>
      </c>
      <c r="D33" s="426">
        <v>100</v>
      </c>
      <c r="E33" s="2153" t="s">
        <v>4172</v>
      </c>
      <c r="F33" s="420">
        <f>SUMIF(101:101,E33,102:102)-SUMIF(101:101,C33,102:102)+100</f>
        <v>100</v>
      </c>
      <c r="G33" s="2153" t="s">
        <v>4172</v>
      </c>
      <c r="H33" s="394">
        <f>SUMIF(101:101,G33,102:102)-SUMIF(101:101,C33,102:102)+100</f>
        <v>100</v>
      </c>
      <c r="I33" s="2153" t="s">
        <v>4172</v>
      </c>
      <c r="J33" s="426">
        <f>SUMIF(101:101,I33,102:102)-SUMIF(101:101,C33,102:102)+100</f>
        <v>100</v>
      </c>
      <c r="K33" s="569">
        <v>5</v>
      </c>
      <c r="L33" s="2949"/>
      <c r="M33" s="2943"/>
      <c r="N33" s="2943"/>
      <c r="O33" s="2943"/>
      <c r="P33" s="3770" t="s">
        <v>2386</v>
      </c>
      <c r="Q33" s="1536" t="str">
        <f t="shared" si="8"/>
        <v>建筑类型</v>
      </c>
      <c r="R33" s="714" t="s">
        <v>17</v>
      </c>
      <c r="S33" s="715">
        <f t="shared" si="9"/>
        <v>100</v>
      </c>
      <c r="T33" s="714" t="s">
        <v>17</v>
      </c>
      <c r="U33" s="715">
        <f t="shared" si="10"/>
        <v>100</v>
      </c>
      <c r="V33" s="714" t="s">
        <v>17</v>
      </c>
      <c r="W33" s="715">
        <f t="shared" si="11"/>
        <v>100</v>
      </c>
      <c r="X33" s="1539"/>
      <c r="Y33" s="3773" t="s">
        <v>2386</v>
      </c>
      <c r="Z33" s="1540" t="str">
        <f t="shared" si="12"/>
        <v>建筑类型</v>
      </c>
      <c r="AA33" s="1537">
        <f t="shared" si="3"/>
        <v>1</v>
      </c>
      <c r="AB33" s="1537">
        <f t="shared" si="4"/>
        <v>1</v>
      </c>
      <c r="AC33" s="2148">
        <f t="shared" si="5"/>
        <v>1</v>
      </c>
    </row>
    <row r="34" spans="1:29" s="430" customFormat="1" ht="15">
      <c r="A34" s="427"/>
      <c r="B34" s="381" t="s">
        <v>2387</v>
      </c>
      <c r="C34" s="428">
        <f>'数据-汇总表'!E3</f>
        <v>47689.05</v>
      </c>
      <c r="D34" s="132">
        <v>100</v>
      </c>
      <c r="E34" s="3171">
        <v>59187</v>
      </c>
      <c r="F34" s="384">
        <f>LOOKUP(E34,104:104,105:105)-LOOKUP(C34,104:104,105:105)+100</f>
        <v>101</v>
      </c>
      <c r="G34" s="388">
        <v>19803</v>
      </c>
      <c r="H34" s="132">
        <f>LOOKUP(G34,104:104,105:105)-LOOKUP(C34,104:104,105:105)+100</f>
        <v>99</v>
      </c>
      <c r="I34" s="388">
        <v>16000</v>
      </c>
      <c r="J34" s="132">
        <f>LOOKUP(I34,104:104,105:105)-LOOKUP(C34,104:104,105:105)+100</f>
        <v>99</v>
      </c>
      <c r="K34" s="570"/>
      <c r="L34" s="2948"/>
      <c r="M34" s="2950"/>
      <c r="N34" s="2950"/>
      <c r="O34" s="2950"/>
      <c r="P34" s="3771"/>
      <c r="Q34" s="716" t="str">
        <f t="shared" si="8"/>
        <v>项目建筑规模</v>
      </c>
      <c r="R34" s="717" t="s">
        <v>17</v>
      </c>
      <c r="S34" s="718">
        <f t="shared" si="9"/>
        <v>101</v>
      </c>
      <c r="T34" s="717" t="s">
        <v>17</v>
      </c>
      <c r="U34" s="718">
        <f t="shared" si="10"/>
        <v>99</v>
      </c>
      <c r="V34" s="717" t="s">
        <v>17</v>
      </c>
      <c r="W34" s="718">
        <f t="shared" si="11"/>
        <v>99</v>
      </c>
      <c r="X34" s="719"/>
      <c r="Y34" s="3773"/>
      <c r="Z34" s="720" t="str">
        <f t="shared" si="12"/>
        <v>项目建筑规模</v>
      </c>
      <c r="AA34" s="1537">
        <f t="shared" si="3"/>
        <v>0.99009900990099009</v>
      </c>
      <c r="AB34" s="1537">
        <f t="shared" si="4"/>
        <v>1.0101010101010102</v>
      </c>
      <c r="AC34" s="2148">
        <f t="shared" si="5"/>
        <v>1.0101010101010102</v>
      </c>
    </row>
    <row r="35" spans="1:29" ht="15">
      <c r="A35" s="431"/>
      <c r="B35" s="381" t="s">
        <v>2388</v>
      </c>
      <c r="C35" s="419" t="s">
        <v>3499</v>
      </c>
      <c r="D35" s="394">
        <v>100</v>
      </c>
      <c r="E35" s="419" t="s">
        <v>3499</v>
      </c>
      <c r="F35" s="420">
        <f>SUMIF(106:106,E35,107:107)-SUMIF(106:106,C35,107:107)+100</f>
        <v>100</v>
      </c>
      <c r="G35" s="419" t="s">
        <v>3499</v>
      </c>
      <c r="H35" s="394">
        <f>SUMIF(106:106,G35,107:107)-SUMIF(106:106,C35,107:107)+100</f>
        <v>100</v>
      </c>
      <c r="I35" s="419" t="s">
        <v>3499</v>
      </c>
      <c r="J35" s="394">
        <f>SUMIF(106:106,I35,107:107)-SUMIF(106:106,C35,107:107)+100</f>
        <v>100</v>
      </c>
      <c r="K35" s="569">
        <v>2</v>
      </c>
      <c r="L35" s="2949"/>
      <c r="M35" s="2943"/>
      <c r="N35" s="2943"/>
      <c r="O35" s="2943"/>
      <c r="P35" s="3771"/>
      <c r="Q35" s="1536" t="str">
        <f t="shared" si="8"/>
        <v>建筑结构</v>
      </c>
      <c r="R35" s="714" t="s">
        <v>17</v>
      </c>
      <c r="S35" s="715">
        <f t="shared" si="9"/>
        <v>100</v>
      </c>
      <c r="T35" s="714" t="s">
        <v>17</v>
      </c>
      <c r="U35" s="715">
        <f t="shared" si="10"/>
        <v>100</v>
      </c>
      <c r="V35" s="714" t="s">
        <v>17</v>
      </c>
      <c r="W35" s="715">
        <f t="shared" si="11"/>
        <v>100</v>
      </c>
      <c r="X35" s="1539"/>
      <c r="Y35" s="3773"/>
      <c r="Z35" s="1540" t="str">
        <f t="shared" si="12"/>
        <v>建筑结构</v>
      </c>
      <c r="AA35" s="1537">
        <f t="shared" si="3"/>
        <v>1</v>
      </c>
      <c r="AB35" s="1537">
        <f t="shared" si="4"/>
        <v>1</v>
      </c>
      <c r="AC35" s="2148">
        <f t="shared" si="5"/>
        <v>1</v>
      </c>
    </row>
    <row r="36" spans="1:29" ht="15">
      <c r="A36" s="431"/>
      <c r="B36" s="381" t="s">
        <v>2482</v>
      </c>
      <c r="C36" s="419" t="s">
        <v>3503</v>
      </c>
      <c r="D36" s="394">
        <v>100</v>
      </c>
      <c r="E36" s="419" t="s">
        <v>3500</v>
      </c>
      <c r="F36" s="420">
        <f>SUMIF(108:108,E36,109:109)-SUMIF(108:108,C36,109:109)+100</f>
        <v>106</v>
      </c>
      <c r="G36" s="419" t="s">
        <v>3500</v>
      </c>
      <c r="H36" s="394">
        <f>SUMIF(108:108,G36,109:109)-SUMIF(108:108,C36,109:109)+100</f>
        <v>106</v>
      </c>
      <c r="I36" s="419" t="s">
        <v>3500</v>
      </c>
      <c r="J36" s="394">
        <f>SUMIF(108:108,I36,109:109)-SUMIF(108:108,C36,109:109)+100</f>
        <v>106</v>
      </c>
      <c r="K36" s="569">
        <v>3</v>
      </c>
      <c r="L36" s="2949"/>
      <c r="M36" s="2943"/>
      <c r="N36" s="2943"/>
      <c r="O36" s="2943"/>
      <c r="P36" s="3771"/>
      <c r="Q36" s="1536" t="str">
        <f t="shared" si="8"/>
        <v>公共部分装修</v>
      </c>
      <c r="R36" s="714" t="s">
        <v>17</v>
      </c>
      <c r="S36" s="715">
        <f t="shared" si="9"/>
        <v>106</v>
      </c>
      <c r="T36" s="714" t="s">
        <v>17</v>
      </c>
      <c r="U36" s="715">
        <f t="shared" si="10"/>
        <v>106</v>
      </c>
      <c r="V36" s="714" t="s">
        <v>17</v>
      </c>
      <c r="W36" s="715">
        <f t="shared" si="11"/>
        <v>106</v>
      </c>
      <c r="X36" s="1539"/>
      <c r="Y36" s="3773"/>
      <c r="Z36" s="1540" t="str">
        <f t="shared" si="12"/>
        <v>公共部分装修</v>
      </c>
      <c r="AA36" s="1537">
        <f t="shared" si="3"/>
        <v>0.94339622641509435</v>
      </c>
      <c r="AB36" s="1537">
        <f t="shared" si="4"/>
        <v>0.94339622641509435</v>
      </c>
      <c r="AC36" s="2148">
        <f t="shared" si="5"/>
        <v>0.94339622641509435</v>
      </c>
    </row>
    <row r="37" spans="1:29" ht="15" hidden="1">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v>2</v>
      </c>
      <c r="L37" s="2949"/>
      <c r="M37" s="2943"/>
      <c r="N37" s="2943"/>
      <c r="O37" s="2943"/>
      <c r="P37" s="3771"/>
      <c r="Q37" s="1536" t="str">
        <f t="shared" si="8"/>
        <v>成新度</v>
      </c>
      <c r="R37" s="714" t="s">
        <v>17</v>
      </c>
      <c r="S37" s="715">
        <f t="shared" si="9"/>
        <v>100</v>
      </c>
      <c r="T37" s="714" t="s">
        <v>17</v>
      </c>
      <c r="U37" s="715">
        <f t="shared" si="10"/>
        <v>100</v>
      </c>
      <c r="V37" s="714" t="s">
        <v>17</v>
      </c>
      <c r="W37" s="715">
        <f t="shared" si="11"/>
        <v>100</v>
      </c>
      <c r="X37" s="1539"/>
      <c r="Y37" s="3773"/>
      <c r="Z37" s="1540" t="str">
        <f t="shared" si="12"/>
        <v>成新度</v>
      </c>
      <c r="AA37" s="1537">
        <f t="shared" si="3"/>
        <v>1</v>
      </c>
      <c r="AB37" s="1537">
        <f t="shared" si="4"/>
        <v>1</v>
      </c>
      <c r="AC37" s="2148">
        <f t="shared" si="5"/>
        <v>1</v>
      </c>
    </row>
    <row r="38" spans="1:29" s="113" customFormat="1" ht="15">
      <c r="A38" s="432"/>
      <c r="B38" s="381" t="s">
        <v>2515</v>
      </c>
      <c r="C38" s="419" t="s">
        <v>3501</v>
      </c>
      <c r="D38" s="132">
        <v>100</v>
      </c>
      <c r="E38" s="419" t="s">
        <v>3501</v>
      </c>
      <c r="F38" s="420">
        <f>SUMIF(113:113,E38,114:114)-SUMIF(113:113,C38,114:114)+100</f>
        <v>100</v>
      </c>
      <c r="G38" s="419" t="s">
        <v>3501</v>
      </c>
      <c r="H38" s="394">
        <f>SUMIF(113:113,G38,114:114)-SUMIF(113:113,C38,114:114)+100</f>
        <v>100</v>
      </c>
      <c r="I38" s="419" t="s">
        <v>3501</v>
      </c>
      <c r="J38" s="394">
        <f>SUMIF(113:113,I38,114:114)-SUMIF(113:113,C38,114:114)+100</f>
        <v>100</v>
      </c>
      <c r="K38" s="569">
        <v>2</v>
      </c>
      <c r="L38" s="2944"/>
      <c r="M38" s="2945"/>
      <c r="N38" s="2945"/>
      <c r="O38" s="2945"/>
      <c r="P38" s="3771"/>
      <c r="Q38" s="1527" t="str">
        <f t="shared" si="8"/>
        <v>写字楼等级</v>
      </c>
      <c r="R38" s="710" t="s">
        <v>17</v>
      </c>
      <c r="S38" s="711">
        <f t="shared" si="9"/>
        <v>100</v>
      </c>
      <c r="T38" s="710" t="s">
        <v>17</v>
      </c>
      <c r="U38" s="711">
        <f t="shared" si="10"/>
        <v>100</v>
      </c>
      <c r="V38" s="710" t="s">
        <v>17</v>
      </c>
      <c r="W38" s="711">
        <f t="shared" si="11"/>
        <v>100</v>
      </c>
      <c r="X38" s="712"/>
      <c r="Y38" s="3773"/>
      <c r="Z38" s="55" t="str">
        <f t="shared" si="12"/>
        <v>写字楼等级</v>
      </c>
      <c r="AA38" s="713">
        <f t="shared" si="3"/>
        <v>1</v>
      </c>
      <c r="AB38" s="713">
        <f t="shared" si="4"/>
        <v>1</v>
      </c>
      <c r="AC38" s="2145">
        <f t="shared" si="5"/>
        <v>1</v>
      </c>
    </row>
    <row r="39" spans="1:29" ht="15" hidden="1">
      <c r="A39" s="431"/>
      <c r="B39" s="381" t="s">
        <v>2516</v>
      </c>
      <c r="C39" s="419" t="s">
        <v>3557</v>
      </c>
      <c r="D39" s="394">
        <v>100</v>
      </c>
      <c r="E39" s="419" t="s">
        <v>3502</v>
      </c>
      <c r="F39" s="420">
        <f>SUMIF(115:115,E39,116:116)-SUMIF(115:115,C39,116:116)+100</f>
        <v>100</v>
      </c>
      <c r="G39" s="419" t="s">
        <v>3502</v>
      </c>
      <c r="H39" s="394">
        <f>SUMIF(115:115,G39,116:116)-SUMIF(115:115,C39,116:116)+100</f>
        <v>100</v>
      </c>
      <c r="I39" s="419" t="s">
        <v>3502</v>
      </c>
      <c r="J39" s="394">
        <f>SUMIF(115:115,I39,116:116)-SUMIF(115:115,C39,116:116)+100</f>
        <v>100</v>
      </c>
      <c r="K39" s="569">
        <v>0</v>
      </c>
      <c r="L39" s="2949"/>
      <c r="M39" s="2943"/>
      <c r="N39" s="2943"/>
      <c r="O39" s="2943"/>
      <c r="P39" s="3771" t="s">
        <v>2386</v>
      </c>
      <c r="Q39" s="1536" t="str">
        <f t="shared" si="8"/>
        <v>物业管理</v>
      </c>
      <c r="R39" s="714" t="s">
        <v>17</v>
      </c>
      <c r="S39" s="715">
        <f t="shared" si="9"/>
        <v>100</v>
      </c>
      <c r="T39" s="714" t="s">
        <v>17</v>
      </c>
      <c r="U39" s="715">
        <f t="shared" si="10"/>
        <v>100</v>
      </c>
      <c r="V39" s="714" t="s">
        <v>17</v>
      </c>
      <c r="W39" s="715">
        <f t="shared" si="11"/>
        <v>100</v>
      </c>
      <c r="X39" s="1539"/>
      <c r="Y39" s="3773" t="s">
        <v>2386</v>
      </c>
      <c r="Z39" s="1540" t="str">
        <f t="shared" si="12"/>
        <v>物业管理</v>
      </c>
      <c r="AA39" s="1537">
        <f t="shared" si="3"/>
        <v>1</v>
      </c>
      <c r="AB39" s="1537">
        <f t="shared" si="4"/>
        <v>1</v>
      </c>
      <c r="AC39" s="2148">
        <f t="shared" si="5"/>
        <v>1</v>
      </c>
    </row>
    <row r="40" spans="1:29" ht="15" hidden="1">
      <c r="A40" s="431"/>
      <c r="B40" s="381" t="s">
        <v>2484</v>
      </c>
      <c r="C40" s="419" t="s">
        <v>3475</v>
      </c>
      <c r="D40" s="394">
        <v>100</v>
      </c>
      <c r="E40" s="419" t="s">
        <v>3475</v>
      </c>
      <c r="F40" s="420">
        <f>SUMIF(117:117,E40,118:118)-SUMIF(117:117,C40,118:118)+100</f>
        <v>100</v>
      </c>
      <c r="G40" s="419" t="s">
        <v>3475</v>
      </c>
      <c r="H40" s="394">
        <f>SUMIF(117:117,G40,118:118)-SUMIF(117:117,C40,118:118)+100</f>
        <v>100</v>
      </c>
      <c r="I40" s="419" t="s">
        <v>3475</v>
      </c>
      <c r="J40" s="394">
        <f>SUMIF(117:117,I40,118:118)-SUMIF(117:117,C40,118:118)+100</f>
        <v>100</v>
      </c>
      <c r="K40" s="569">
        <v>2</v>
      </c>
      <c r="L40" s="2949"/>
      <c r="M40" s="2943"/>
      <c r="N40" s="2943"/>
      <c r="O40" s="2943"/>
      <c r="P40" s="3771"/>
      <c r="Q40" s="1536" t="str">
        <f t="shared" si="8"/>
        <v>市政基础设施</v>
      </c>
      <c r="R40" s="714" t="s">
        <v>17</v>
      </c>
      <c r="S40" s="715">
        <f t="shared" si="9"/>
        <v>100</v>
      </c>
      <c r="T40" s="714" t="s">
        <v>17</v>
      </c>
      <c r="U40" s="715">
        <f t="shared" si="10"/>
        <v>100</v>
      </c>
      <c r="V40" s="714" t="s">
        <v>17</v>
      </c>
      <c r="W40" s="715">
        <f t="shared" si="11"/>
        <v>100</v>
      </c>
      <c r="X40" s="1539"/>
      <c r="Y40" s="3773"/>
      <c r="Z40" s="1540" t="str">
        <f t="shared" si="12"/>
        <v>市政基础设施</v>
      </c>
      <c r="AA40" s="1537">
        <f t="shared" si="3"/>
        <v>1</v>
      </c>
      <c r="AB40" s="1537">
        <f t="shared" si="4"/>
        <v>1</v>
      </c>
      <c r="AC40" s="2148">
        <f t="shared" si="5"/>
        <v>1</v>
      </c>
    </row>
    <row r="41" spans="1:29" ht="15">
      <c r="A41" s="431"/>
      <c r="B41" s="381" t="s">
        <v>2486</v>
      </c>
      <c r="C41" s="573" t="s">
        <v>3776</v>
      </c>
      <c r="D41" s="394">
        <v>100</v>
      </c>
      <c r="E41" s="573" t="s">
        <v>3778</v>
      </c>
      <c r="F41" s="420">
        <f>SUMIF(119:119,E41,120:120)-SUMIF(119:119,C41,120:120)+100</f>
        <v>97</v>
      </c>
      <c r="G41" s="573" t="s">
        <v>3778</v>
      </c>
      <c r="H41" s="394">
        <f>SUMIF(119:119,G41,120:120)-SUMIF(119:119,C41,120:120)+100</f>
        <v>97</v>
      </c>
      <c r="I41" s="573" t="s">
        <v>3776</v>
      </c>
      <c r="J41" s="394">
        <f>SUMIF(119:119,I41,120:120)-SUMIF(119:119,C41,120:120)+100</f>
        <v>100</v>
      </c>
      <c r="K41" s="569">
        <v>3</v>
      </c>
      <c r="L41" s="2949"/>
      <c r="M41" s="2943"/>
      <c r="N41" s="2943"/>
      <c r="O41" s="2943"/>
      <c r="P41" s="3771"/>
      <c r="Q41" s="1536" t="str">
        <f t="shared" si="8"/>
        <v>层高</v>
      </c>
      <c r="R41" s="714" t="s">
        <v>17</v>
      </c>
      <c r="S41" s="715">
        <f t="shared" si="9"/>
        <v>97</v>
      </c>
      <c r="T41" s="714" t="s">
        <v>17</v>
      </c>
      <c r="U41" s="715">
        <f t="shared" si="10"/>
        <v>97</v>
      </c>
      <c r="V41" s="714" t="s">
        <v>17</v>
      </c>
      <c r="W41" s="715">
        <f t="shared" si="11"/>
        <v>100</v>
      </c>
      <c r="X41" s="1539"/>
      <c r="Y41" s="3773"/>
      <c r="Z41" s="1540" t="str">
        <f t="shared" si="12"/>
        <v>层高</v>
      </c>
      <c r="AA41" s="1537">
        <f t="shared" si="3"/>
        <v>1.0309278350515463</v>
      </c>
      <c r="AB41" s="1537">
        <f t="shared" si="4"/>
        <v>1.0309278350515463</v>
      </c>
      <c r="AC41" s="2148">
        <f t="shared" si="5"/>
        <v>1</v>
      </c>
    </row>
    <row r="42" spans="1:29" s="430" customFormat="1" ht="15">
      <c r="A42" s="427"/>
      <c r="B42" s="3394" t="s">
        <v>4175</v>
      </c>
      <c r="C42" s="393">
        <f>'数据-基础表'!I21</f>
        <v>3684.9</v>
      </c>
      <c r="D42" s="394">
        <v>100</v>
      </c>
      <c r="E42" s="393">
        <f>'案例-租金'!$N$6</f>
        <v>1562.47</v>
      </c>
      <c r="F42" s="420">
        <f>SUMIF(121:121,E42,122:122)-SUMIF(121:121,C42,122:122)+100</f>
        <v>100</v>
      </c>
      <c r="G42" s="393">
        <f>'案例-租金'!$N$7</f>
        <v>1020.87</v>
      </c>
      <c r="H42" s="394">
        <f>SUMIF(121:121,G42,122:122)-SUMIF(121:121,C42,122:122)+100</f>
        <v>100</v>
      </c>
      <c r="I42" s="393">
        <f>'案例-租金'!$N$8</f>
        <v>1867.59</v>
      </c>
      <c r="J42" s="394">
        <f>SUMIF(121:121,I42,122:122)-SUMIF(121:121,C42,122:122)+100</f>
        <v>100</v>
      </c>
      <c r="K42" s="570"/>
      <c r="L42" s="2948"/>
      <c r="M42" s="2950"/>
      <c r="N42" s="2950"/>
      <c r="O42" s="2950"/>
      <c r="P42" s="3771"/>
      <c r="Q42" s="716" t="str">
        <f t="shared" si="8"/>
        <v>标准层面积</v>
      </c>
      <c r="R42" s="717" t="s">
        <v>17</v>
      </c>
      <c r="S42" s="718">
        <f t="shared" si="9"/>
        <v>100</v>
      </c>
      <c r="T42" s="717" t="s">
        <v>17</v>
      </c>
      <c r="U42" s="718">
        <f t="shared" si="10"/>
        <v>100</v>
      </c>
      <c r="V42" s="717" t="s">
        <v>17</v>
      </c>
      <c r="W42" s="718">
        <f t="shared" si="11"/>
        <v>100</v>
      </c>
      <c r="X42" s="719"/>
      <c r="Y42" s="3773"/>
      <c r="Z42" s="720" t="str">
        <f t="shared" si="12"/>
        <v>标准层面积</v>
      </c>
      <c r="AA42" s="1537">
        <f t="shared" si="3"/>
        <v>1</v>
      </c>
      <c r="AB42" s="1537">
        <f t="shared" si="4"/>
        <v>1</v>
      </c>
      <c r="AC42" s="2148">
        <f t="shared" si="5"/>
        <v>1</v>
      </c>
    </row>
    <row r="43" spans="1:29" ht="15" hidden="1">
      <c r="A43" s="431"/>
      <c r="B43" s="381" t="s">
        <v>2489</v>
      </c>
      <c r="C43" s="419" t="s">
        <v>3503</v>
      </c>
      <c r="D43" s="394">
        <v>100</v>
      </c>
      <c r="E43" s="419" t="s">
        <v>3500</v>
      </c>
      <c r="F43" s="420">
        <f>SUMIF(123:123,E43,124:124)-SUMIF(123:123,C43,124:124)+100</f>
        <v>100</v>
      </c>
      <c r="G43" s="419" t="s">
        <v>3500</v>
      </c>
      <c r="H43" s="394">
        <f>SUMIF(123:123,G43,124:124)-SUMIF(123:123,C43,124:124)+100</f>
        <v>100</v>
      </c>
      <c r="I43" s="419" t="s">
        <v>3500</v>
      </c>
      <c r="J43" s="394">
        <f>SUMIF(123:123,I43,124:124)-SUMIF(123:123,C43,124:124)+100</f>
        <v>100</v>
      </c>
      <c r="K43" s="569">
        <v>0</v>
      </c>
      <c r="L43" s="2949"/>
      <c r="M43" s="2943"/>
      <c r="N43" s="2943"/>
      <c r="O43" s="2943"/>
      <c r="P43" s="3771"/>
      <c r="Q43" s="1536" t="str">
        <f t="shared" si="8"/>
        <v>内部装修</v>
      </c>
      <c r="R43" s="714" t="s">
        <v>17</v>
      </c>
      <c r="S43" s="715">
        <f t="shared" si="9"/>
        <v>100</v>
      </c>
      <c r="T43" s="714" t="s">
        <v>17</v>
      </c>
      <c r="U43" s="715">
        <f t="shared" si="10"/>
        <v>100</v>
      </c>
      <c r="V43" s="714" t="s">
        <v>17</v>
      </c>
      <c r="W43" s="715">
        <f t="shared" si="11"/>
        <v>100</v>
      </c>
      <c r="X43" s="1539"/>
      <c r="Y43" s="3773"/>
      <c r="Z43" s="1540" t="str">
        <f t="shared" si="12"/>
        <v>内部装修</v>
      </c>
      <c r="AA43" s="1537">
        <f t="shared" si="3"/>
        <v>1</v>
      </c>
      <c r="AB43" s="1537">
        <f t="shared" si="4"/>
        <v>1</v>
      </c>
      <c r="AC43" s="2148">
        <f t="shared" si="5"/>
        <v>1</v>
      </c>
    </row>
    <row r="44" spans="1:29" ht="15" hidden="1">
      <c r="A44" s="431"/>
      <c r="B44" s="3326"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771"/>
      <c r="Q44" s="1536" t="str">
        <f t="shared" si="8"/>
        <v>内部装修维护情况</v>
      </c>
      <c r="R44" s="714" t="s">
        <v>17</v>
      </c>
      <c r="S44" s="715">
        <f t="shared" si="9"/>
        <v>100</v>
      </c>
      <c r="T44" s="714" t="s">
        <v>17</v>
      </c>
      <c r="U44" s="715">
        <f t="shared" si="10"/>
        <v>100</v>
      </c>
      <c r="V44" s="714" t="s">
        <v>17</v>
      </c>
      <c r="W44" s="715">
        <f t="shared" si="11"/>
        <v>100</v>
      </c>
      <c r="X44" s="1539"/>
      <c r="Y44" s="3773"/>
      <c r="Z44" s="1540" t="str">
        <f t="shared" si="12"/>
        <v>内部装修维护情况</v>
      </c>
      <c r="AA44" s="1537">
        <f t="shared" si="3"/>
        <v>1</v>
      </c>
      <c r="AB44" s="1537">
        <f t="shared" si="4"/>
        <v>1</v>
      </c>
      <c r="AC44" s="2148">
        <f t="shared" si="5"/>
        <v>1</v>
      </c>
    </row>
    <row r="45" spans="1:29" s="113" customFormat="1" ht="15">
      <c r="A45" s="432"/>
      <c r="B45" s="3154" t="s">
        <v>4026</v>
      </c>
      <c r="C45" s="3316" t="s">
        <v>4027</v>
      </c>
      <c r="D45" s="132">
        <v>100</v>
      </c>
      <c r="E45" s="3317" t="s">
        <v>4177</v>
      </c>
      <c r="F45" s="384">
        <f>SUMIF(127:127,E45,128:128)-SUMIF(127:127,C45,128:128)+100</f>
        <v>105</v>
      </c>
      <c r="G45" s="3317" t="s">
        <v>4029</v>
      </c>
      <c r="H45" s="132">
        <f>SUMIF(127:127,G45,128:128)-SUMIF(127:127,C45,128:128)+100</f>
        <v>110</v>
      </c>
      <c r="I45" s="3318" t="s">
        <v>4029</v>
      </c>
      <c r="J45" s="132">
        <f>SUMIF(127:127,I45,128:128)-SUMIF(127:127,C45,128:128)+100</f>
        <v>110</v>
      </c>
      <c r="K45" s="570"/>
      <c r="L45" s="3216">
        <f>ROUND(C34/5,0)</f>
        <v>9538</v>
      </c>
      <c r="M45" s="3217">
        <f>ROUND(E34/8,0)</f>
        <v>7398</v>
      </c>
      <c r="N45" s="3217">
        <f>ROUND(G34/30,0)</f>
        <v>660</v>
      </c>
      <c r="O45" s="3217">
        <f>ROUND(I34/34,0)</f>
        <v>471</v>
      </c>
      <c r="P45" s="3771"/>
      <c r="Q45" s="1527" t="str">
        <f t="shared" si="8"/>
        <v>设施设备</v>
      </c>
      <c r="R45" s="710" t="s">
        <v>17</v>
      </c>
      <c r="S45" s="711">
        <f t="shared" si="9"/>
        <v>105</v>
      </c>
      <c r="T45" s="710" t="s">
        <v>17</v>
      </c>
      <c r="U45" s="711">
        <f t="shared" si="10"/>
        <v>110</v>
      </c>
      <c r="V45" s="710" t="s">
        <v>17</v>
      </c>
      <c r="W45" s="711">
        <f t="shared" si="11"/>
        <v>110</v>
      </c>
      <c r="X45" s="712"/>
      <c r="Y45" s="3773"/>
      <c r="Z45" s="55" t="str">
        <f t="shared" si="12"/>
        <v>设施设备</v>
      </c>
      <c r="AA45" s="713">
        <f t="shared" si="3"/>
        <v>0.95238095238095233</v>
      </c>
      <c r="AB45" s="713">
        <f t="shared" si="4"/>
        <v>0.90909090909090906</v>
      </c>
      <c r="AC45" s="2145">
        <f t="shared" si="5"/>
        <v>0.90909090909090906</v>
      </c>
    </row>
    <row r="46" spans="1:29" ht="15">
      <c r="A46" s="431"/>
      <c r="B46" s="3154" t="s">
        <v>4179</v>
      </c>
      <c r="C46" s="3184" t="s">
        <v>4180</v>
      </c>
      <c r="D46" s="394">
        <v>100</v>
      </c>
      <c r="E46" s="3317" t="s">
        <v>4177</v>
      </c>
      <c r="F46" s="420">
        <f>SUMIF(129:129,E46,130:130)-SUMIF(129:129,C46,130:130)+100</f>
        <v>105</v>
      </c>
      <c r="G46" s="3317" t="s">
        <v>4177</v>
      </c>
      <c r="H46" s="394">
        <f>SUMIF(129:129,G46,130:130)-SUMIF(129:129,C46,130:130)+100</f>
        <v>105</v>
      </c>
      <c r="I46" s="3317" t="s">
        <v>4177</v>
      </c>
      <c r="J46" s="394">
        <f>SUMIF(129:129,I46,130:130)-SUMIF(129:129,C46,130:130)+100</f>
        <v>105</v>
      </c>
      <c r="K46" s="570"/>
      <c r="L46" s="2949"/>
      <c r="M46" s="2943"/>
      <c r="N46" s="2943"/>
      <c r="O46" s="2943"/>
      <c r="P46" s="3771"/>
      <c r="Q46" s="1536" t="str">
        <f t="shared" si="8"/>
        <v>外装</v>
      </c>
      <c r="R46" s="714" t="s">
        <v>17</v>
      </c>
      <c r="S46" s="715">
        <f t="shared" si="9"/>
        <v>105</v>
      </c>
      <c r="T46" s="714" t="s">
        <v>17</v>
      </c>
      <c r="U46" s="715">
        <f t="shared" si="10"/>
        <v>105</v>
      </c>
      <c r="V46" s="714" t="s">
        <v>17</v>
      </c>
      <c r="W46" s="715">
        <f t="shared" si="11"/>
        <v>105</v>
      </c>
      <c r="X46" s="1539"/>
      <c r="Y46" s="3773"/>
      <c r="Z46" s="1540" t="str">
        <f t="shared" si="12"/>
        <v>外装</v>
      </c>
      <c r="AA46" s="1537">
        <f t="shared" si="3"/>
        <v>0.95238095238095233</v>
      </c>
      <c r="AB46" s="1537">
        <f t="shared" si="4"/>
        <v>0.95238095238095233</v>
      </c>
      <c r="AC46" s="2148">
        <f t="shared" si="5"/>
        <v>0.95238095238095233</v>
      </c>
    </row>
    <row r="47" spans="1:29" ht="15.75" thickBot="1">
      <c r="A47" s="437"/>
      <c r="B47" s="3424" t="s">
        <v>4182</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772"/>
      <c r="Q47" s="1536" t="str">
        <f t="shared" si="8"/>
        <v>利用率</v>
      </c>
      <c r="R47" s="714" t="s">
        <v>17</v>
      </c>
      <c r="S47" s="715">
        <f t="shared" si="9"/>
        <v>100</v>
      </c>
      <c r="T47" s="714" t="s">
        <v>17</v>
      </c>
      <c r="U47" s="715">
        <f t="shared" si="10"/>
        <v>100</v>
      </c>
      <c r="V47" s="714" t="s">
        <v>17</v>
      </c>
      <c r="W47" s="715">
        <f t="shared" si="11"/>
        <v>100</v>
      </c>
      <c r="X47" s="1539"/>
      <c r="Y47" s="3774"/>
      <c r="Z47" s="1540" t="str">
        <f t="shared" si="12"/>
        <v>利用率</v>
      </c>
      <c r="AA47" s="1537">
        <f t="shared" si="3"/>
        <v>1</v>
      </c>
      <c r="AB47" s="1537">
        <f t="shared" si="4"/>
        <v>1</v>
      </c>
      <c r="AC47" s="2148">
        <f t="shared" si="5"/>
        <v>1</v>
      </c>
    </row>
    <row r="48" spans="1:29" ht="15">
      <c r="A48" s="438" t="s">
        <v>2398</v>
      </c>
      <c r="B48" s="439"/>
      <c r="C48" s="1316" t="s">
        <v>1</v>
      </c>
      <c r="D48" s="1317"/>
      <c r="E48" s="1318">
        <f>'案例-租金'!O5</f>
        <v>9.4</v>
      </c>
      <c r="F48" s="1319"/>
      <c r="G48" s="1320">
        <f>'案例-租金'!D83</f>
        <v>11.5</v>
      </c>
      <c r="H48" s="1321"/>
      <c r="I48" s="1318">
        <f>'案例-租金'!O8</f>
        <v>12.7</v>
      </c>
      <c r="J48" s="444"/>
      <c r="K48" s="723"/>
      <c r="L48" s="2951"/>
      <c r="M48" s="2943"/>
      <c r="N48" s="2943"/>
      <c r="O48" s="2943"/>
      <c r="P48" s="3777" t="str">
        <f>A48</f>
        <v>成交单价（元/平方米）</v>
      </c>
      <c r="Q48" s="3766"/>
      <c r="R48" s="3767">
        <f>E48</f>
        <v>9.4</v>
      </c>
      <c r="S48" s="3767"/>
      <c r="T48" s="3767">
        <f>G48</f>
        <v>11.5</v>
      </c>
      <c r="U48" s="3767"/>
      <c r="V48" s="3767">
        <f>I48</f>
        <v>12.7</v>
      </c>
      <c r="W48" s="3767"/>
      <c r="X48" s="405"/>
      <c r="Y48" s="721"/>
      <c r="Z48" s="405"/>
      <c r="AA48" s="405"/>
      <c r="AB48" s="405"/>
      <c r="AC48" s="586"/>
    </row>
    <row r="49" spans="1:29" ht="15.75" thickBot="1">
      <c r="A49" s="445" t="s">
        <v>2490</v>
      </c>
      <c r="B49" s="446"/>
      <c r="C49" s="1322">
        <f>R50</f>
        <v>9</v>
      </c>
      <c r="D49" s="2538" t="s">
        <v>2877</v>
      </c>
      <c r="E49" s="1323">
        <f>R49</f>
        <v>8.1999999999999993</v>
      </c>
      <c r="F49" s="2539"/>
      <c r="G49" s="1322">
        <f>T49</f>
        <v>9</v>
      </c>
      <c r="H49" s="2539"/>
      <c r="I49" s="1323">
        <f>V49</f>
        <v>9.8000000000000007</v>
      </c>
      <c r="J49" s="2539"/>
      <c r="K49" s="2541">
        <f>F49+H49+J49</f>
        <v>0</v>
      </c>
      <c r="L49" s="2951"/>
      <c r="M49" s="2943"/>
      <c r="N49" s="2943"/>
      <c r="O49" s="2943"/>
      <c r="P49" s="3777" t="str">
        <f>A49</f>
        <v>比较价值（元/平方米）</v>
      </c>
      <c r="Q49" s="3766"/>
      <c r="R49" s="3767">
        <f>IF(F1="售价",ROUND(PRODUCT(R48,AA7:AA47),0),ROUND(PRODUCT(R48,AA7:AA47),1))</f>
        <v>8.1999999999999993</v>
      </c>
      <c r="S49" s="3767"/>
      <c r="T49" s="3767">
        <f>IF(F1="售价",ROUND(PRODUCT(T48,AB7:AB47),0),ROUND(PRODUCT(T48,AB7:AB47),1))</f>
        <v>9</v>
      </c>
      <c r="U49" s="3767"/>
      <c r="V49" s="3767">
        <f>IF(F1="售价",ROUND(PRODUCT(V48,AC7:AC47),0),ROUND(PRODUCT(V48,AC7:AC47),1))</f>
        <v>9.8000000000000007</v>
      </c>
      <c r="W49" s="3767"/>
      <c r="X49" s="405"/>
      <c r="Y49" s="405"/>
      <c r="Z49" s="405"/>
      <c r="AA49" s="405"/>
      <c r="AB49" s="405"/>
      <c r="AC49" s="586"/>
    </row>
    <row r="50" spans="1:29" ht="15.75" thickBot="1">
      <c r="A50" s="449" t="s">
        <v>2491</v>
      </c>
      <c r="B50" s="450"/>
      <c r="C50" s="1325">
        <f>R50</f>
        <v>9</v>
      </c>
      <c r="D50" s="1325"/>
      <c r="E50" s="1325"/>
      <c r="F50" s="1325"/>
      <c r="G50" s="1325"/>
      <c r="H50" s="1325"/>
      <c r="I50" s="1325"/>
      <c r="J50" s="451"/>
      <c r="K50" s="724"/>
      <c r="L50" s="2951"/>
      <c r="M50" s="2943"/>
      <c r="N50" s="2943"/>
      <c r="O50" s="2943"/>
      <c r="P50" s="3863" t="str">
        <f>A50</f>
        <v>估价对象XX用房的比较价值（楼面单价，元/平方米）</v>
      </c>
      <c r="Q50" s="3864"/>
      <c r="R50" s="3865">
        <f>IF(F1="售价",ROUND(IF(D49="简单平均",AVERAGE(R49:V49),R49*F49+T49*H49+V49*J49),0),ROUND(IF(D49="简单平均",AVERAGE(R49:V49),R49*F49+T49*H49+V49*J49),1))</f>
        <v>9</v>
      </c>
      <c r="S50" s="3865"/>
      <c r="T50" s="3865"/>
      <c r="U50" s="3865"/>
      <c r="V50" s="3865"/>
      <c r="W50" s="3865"/>
      <c r="X50" s="2132"/>
      <c r="Y50" s="2132"/>
      <c r="Z50" s="2132"/>
      <c r="AA50" s="2132"/>
      <c r="AB50" s="2132"/>
      <c r="AC50" s="2133"/>
    </row>
    <row r="51" spans="1:29">
      <c r="A51" s="2952"/>
      <c r="B51" s="2952"/>
      <c r="C51" s="2952"/>
      <c r="D51" s="2952"/>
      <c r="E51" s="2952">
        <v>2008</v>
      </c>
      <c r="F51" s="2952"/>
      <c r="G51" s="2956">
        <v>20.07</v>
      </c>
      <c r="H51" s="2952"/>
      <c r="I51" s="2952">
        <v>2008</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v>2.6</v>
      </c>
      <c r="F52" s="2952"/>
      <c r="G52" s="2952">
        <v>2.75</v>
      </c>
      <c r="H52" s="2952"/>
      <c r="I52" s="2952">
        <v>3</v>
      </c>
      <c r="J52" s="2952"/>
      <c r="K52" s="2957"/>
      <c r="L52" s="2952">
        <v>2016.3</v>
      </c>
      <c r="M52" s="2952">
        <v>2016.4</v>
      </c>
      <c r="N52" s="2952">
        <v>2017.1</v>
      </c>
      <c r="O52" s="2952">
        <v>2017.2</v>
      </c>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0.14634146341463428</v>
      </c>
      <c r="F53" s="457" t="str">
        <f>IF(OR(E53&gt;=0.3,E53&lt;=-0.3),"超过30%","")</f>
        <v/>
      </c>
      <c r="G53" s="456">
        <f>IF(G48&lt;G49,G49/G48-1,G48/G49-1)</f>
        <v>0.27777777777777768</v>
      </c>
      <c r="H53" s="457" t="str">
        <f>IF(OR(G53&gt;=0.3,G53&lt;=-0.3),"超过30%","")</f>
        <v/>
      </c>
      <c r="I53" s="456">
        <f>IF(I48&lt;I49,I49/I48-1,I48/I49-1)</f>
        <v>0.29591836734693855</v>
      </c>
      <c r="J53" s="457" t="str">
        <f>IF(OR(I53&gt;=0.3,I53&lt;=-0.3),"超过30%","")</f>
        <v/>
      </c>
      <c r="K53" s="2957"/>
      <c r="L53" s="2952">
        <v>1.1494</v>
      </c>
      <c r="M53" s="2952">
        <v>1.1740999999999999</v>
      </c>
      <c r="N53" s="2952">
        <v>1.1966000000000001</v>
      </c>
      <c r="O53" s="2952">
        <v>1.2205999999999999</v>
      </c>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9.7560975609756184E-2</v>
      </c>
      <c r="F54" s="457" t="str">
        <f>IF(OR(E54&gt;=0.2,E54&lt;=-0.2),"超过20%","")</f>
        <v/>
      </c>
      <c r="G54" s="456">
        <f>IF(G49&lt;I49,I49/G49-1,G49/I49-1)</f>
        <v>8.8888888888889017E-2</v>
      </c>
      <c r="H54" s="457" t="str">
        <f>IF(OR(G54&gt;=0.2,G54&lt;=-0.2),"超过20%","")</f>
        <v/>
      </c>
      <c r="I54" s="456">
        <f>IF(I49&lt;E49,E49/I49-1,I49/E49-1)</f>
        <v>0.19512195121951237</v>
      </c>
      <c r="J54" s="457" t="str">
        <f>IF(OR(I54&gt;=0.2,I54&lt;=-0.2),"超过20%","")</f>
        <v/>
      </c>
      <c r="K54" s="2957"/>
      <c r="L54" s="2952">
        <f>ROUND(L53*$O$54/$O$53,2)</f>
        <v>94.17</v>
      </c>
      <c r="M54" s="2952">
        <f>ROUND(M53*$O$54/$O$53,2)</f>
        <v>96.19</v>
      </c>
      <c r="N54" s="2952">
        <f>ROUND(N53*$O$54/$O$53,2)</f>
        <v>98.03</v>
      </c>
      <c r="O54" s="2952">
        <v>100</v>
      </c>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0.22340425531914887</v>
      </c>
      <c r="F55" s="457" t="str">
        <f>IF(OR(E55&gt;=0.3,E55&lt;=-0.3),"超过30%","")</f>
        <v/>
      </c>
      <c r="G55" s="456">
        <f>IF(G48&lt;I48,I48/G48-1,G48/I48-1)</f>
        <v>0.10434782608695636</v>
      </c>
      <c r="H55" s="457" t="str">
        <f>IF(OR(G55&gt;=0.3,G55&lt;=-0.3),"超过30%","")</f>
        <v/>
      </c>
      <c r="I55" s="456">
        <f>IF(I48&lt;E48,E48/I48-1,I48/E48-1)</f>
        <v>0.35106382978723394</v>
      </c>
      <c r="J55" s="457" t="str">
        <f>IF(OR(I55&gt;=0.3,I55&lt;=-0.3),"超过30%","")</f>
        <v>超过30%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99</v>
      </c>
      <c r="J60" s="469">
        <v>99</v>
      </c>
      <c r="K60" s="469">
        <v>99</v>
      </c>
      <c r="L60" s="469">
        <v>99</v>
      </c>
      <c r="M60" s="470">
        <v>99</v>
      </c>
      <c r="N60" s="469">
        <v>99</v>
      </c>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租期</v>
      </c>
      <c r="C71" s="511">
        <v>3</v>
      </c>
      <c r="D71" s="511">
        <v>8</v>
      </c>
      <c r="E71" s="511">
        <v>10</v>
      </c>
      <c r="F71" s="511">
        <v>15</v>
      </c>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v>100</v>
      </c>
      <c r="D72" s="493">
        <v>98</v>
      </c>
      <c r="E72" s="493">
        <v>98</v>
      </c>
      <c r="F72" s="493">
        <v>96</v>
      </c>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t="str">
        <f>B13</f>
        <v>产权</v>
      </c>
      <c r="C73" s="3313" t="s">
        <v>4185</v>
      </c>
      <c r="D73" s="3168" t="s">
        <v>4186</v>
      </c>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v>100</v>
      </c>
      <c r="D74" s="517">
        <v>103</v>
      </c>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8" t="s">
        <v>3481</v>
      </c>
      <c r="D87" s="3168" t="s">
        <v>3477</v>
      </c>
      <c r="E87" s="3168" t="s">
        <v>3478</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99</v>
      </c>
      <c r="E88" s="501">
        <f t="shared" si="16"/>
        <v>98</v>
      </c>
      <c r="F88" s="501">
        <f t="shared" si="16"/>
        <v>97</v>
      </c>
      <c r="G88" s="501">
        <f t="shared" si="16"/>
        <v>96</v>
      </c>
      <c r="H88" s="501">
        <f t="shared" si="16"/>
        <v>95</v>
      </c>
      <c r="I88" s="501">
        <f t="shared" si="16"/>
        <v>94</v>
      </c>
      <c r="J88" s="501">
        <f t="shared" si="16"/>
        <v>93</v>
      </c>
      <c r="K88" s="501">
        <f t="shared" si="16"/>
        <v>92</v>
      </c>
      <c r="L88" s="501">
        <f t="shared" si="16"/>
        <v>91</v>
      </c>
      <c r="M88" s="501">
        <f t="shared" si="16"/>
        <v>90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168" t="s">
        <v>4246</v>
      </c>
      <c r="D89" s="3168" t="s">
        <v>4248</v>
      </c>
      <c r="E89" s="3168" t="s">
        <v>4250</v>
      </c>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17">D90-$K27</f>
        <v>96</v>
      </c>
      <c r="F90" s="501">
        <f t="shared" si="17"/>
        <v>94</v>
      </c>
      <c r="G90" s="501">
        <f t="shared" si="17"/>
        <v>92</v>
      </c>
      <c r="H90" s="501">
        <f t="shared" si="17"/>
        <v>90</v>
      </c>
      <c r="I90" s="501">
        <f t="shared" si="17"/>
        <v>88</v>
      </c>
      <c r="J90" s="501">
        <f t="shared" si="17"/>
        <v>86</v>
      </c>
      <c r="K90" s="501">
        <f t="shared" si="17"/>
        <v>84</v>
      </c>
      <c r="L90" s="501">
        <f t="shared" si="17"/>
        <v>82</v>
      </c>
      <c r="M90" s="501">
        <f t="shared" si="17"/>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0</v>
      </c>
      <c r="C93" s="3168" t="s">
        <v>4022</v>
      </c>
      <c r="D93" s="3168" t="s">
        <v>4023</v>
      </c>
      <c r="E93" s="3168" t="s">
        <v>4024</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95</v>
      </c>
      <c r="E94" s="493">
        <v>90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3" t="s">
        <v>4174</v>
      </c>
      <c r="D101" s="3183" t="s">
        <v>4173</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0(含)-20000</v>
      </c>
      <c r="D103" s="535" t="str">
        <f t="shared" ref="D103:L103" si="20">D104&amp;"(含)"&amp;"-"&amp;E104</f>
        <v>20000(含)-50000</v>
      </c>
      <c r="E103" s="535" t="str">
        <f t="shared" si="20"/>
        <v>50000(含)-100000</v>
      </c>
      <c r="F103" s="535" t="str">
        <f t="shared" si="20"/>
        <v>100000(含)-150000</v>
      </c>
      <c r="G103" s="535" t="str">
        <f t="shared" si="20"/>
        <v>150000(含)-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20000</v>
      </c>
      <c r="E104" s="552">
        <v>50000</v>
      </c>
      <c r="F104" s="552">
        <v>100000</v>
      </c>
      <c r="G104" s="552">
        <v>150000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101</v>
      </c>
      <c r="E105" s="493">
        <v>102</v>
      </c>
      <c r="F105" s="493">
        <v>103</v>
      </c>
      <c r="G105" s="493">
        <v>104</v>
      </c>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8" t="s">
        <v>3495</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8" t="s">
        <v>3483</v>
      </c>
      <c r="D108" s="3168" t="s">
        <v>3484</v>
      </c>
      <c r="E108" s="3168" t="s">
        <v>3485</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97</v>
      </c>
      <c r="E109" s="501">
        <f t="shared" si="22"/>
        <v>94</v>
      </c>
      <c r="F109" s="501">
        <f t="shared" si="22"/>
        <v>91</v>
      </c>
      <c r="G109" s="501">
        <f t="shared" si="22"/>
        <v>88</v>
      </c>
      <c r="H109" s="501">
        <f t="shared" si="22"/>
        <v>85</v>
      </c>
      <c r="I109" s="501">
        <f t="shared" si="22"/>
        <v>82</v>
      </c>
      <c r="J109" s="501">
        <f t="shared" si="22"/>
        <v>79</v>
      </c>
      <c r="K109" s="501">
        <f t="shared" si="22"/>
        <v>76</v>
      </c>
      <c r="L109" s="501">
        <f t="shared" si="22"/>
        <v>73</v>
      </c>
      <c r="M109" s="502">
        <f t="shared" si="22"/>
        <v>70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3">D112+$K37</f>
        <v>104</v>
      </c>
      <c r="F112" s="501">
        <f t="shared" si="23"/>
        <v>106</v>
      </c>
      <c r="G112" s="501">
        <f t="shared" si="23"/>
        <v>108</v>
      </c>
      <c r="H112" s="501">
        <f t="shared" si="23"/>
        <v>110</v>
      </c>
      <c r="I112" s="501">
        <f t="shared" si="23"/>
        <v>112</v>
      </c>
      <c r="J112" s="501">
        <f t="shared" si="23"/>
        <v>114</v>
      </c>
      <c r="K112" s="501">
        <f t="shared" si="23"/>
        <v>116</v>
      </c>
      <c r="L112" s="501">
        <f t="shared" si="23"/>
        <v>118</v>
      </c>
      <c r="M112" s="501">
        <f t="shared" si="23"/>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8" t="s">
        <v>3486</v>
      </c>
      <c r="D113" s="3168" t="s">
        <v>3487</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8" t="s">
        <v>3488</v>
      </c>
      <c r="D115" s="3168" t="s">
        <v>3489</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8" t="s">
        <v>3490</v>
      </c>
      <c r="D117" s="3168" t="s">
        <v>3491</v>
      </c>
      <c r="E117" s="3168" t="s">
        <v>3492</v>
      </c>
      <c r="F117" s="3168" t="s">
        <v>3493</v>
      </c>
      <c r="G117" s="3168" t="s">
        <v>3494</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t="s">
        <v>3777</v>
      </c>
      <c r="D119" s="540" t="s">
        <v>3779</v>
      </c>
      <c r="E119" s="540" t="s">
        <v>3775</v>
      </c>
      <c r="F119" s="540"/>
      <c r="G119" s="540">
        <v>2.6</v>
      </c>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97</v>
      </c>
      <c r="E120" s="501">
        <f t="shared" ref="E120:M120" si="26">D120-$K41</f>
        <v>94</v>
      </c>
      <c r="F120" s="501">
        <f t="shared" si="26"/>
        <v>91</v>
      </c>
      <c r="G120" s="501">
        <f t="shared" si="26"/>
        <v>88</v>
      </c>
      <c r="H120" s="501">
        <f t="shared" si="26"/>
        <v>85</v>
      </c>
      <c r="I120" s="501">
        <f t="shared" si="26"/>
        <v>82</v>
      </c>
      <c r="J120" s="501">
        <f t="shared" si="26"/>
        <v>79</v>
      </c>
      <c r="K120" s="501">
        <f t="shared" si="26"/>
        <v>76</v>
      </c>
      <c r="L120" s="501">
        <f t="shared" si="26"/>
        <v>73</v>
      </c>
      <c r="M120" s="501">
        <f t="shared" si="26"/>
        <v>70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8" t="s">
        <v>3483</v>
      </c>
      <c r="D123" s="3168" t="s">
        <v>3484</v>
      </c>
      <c r="E123" s="3168" t="s">
        <v>3485</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设施设备</v>
      </c>
      <c r="C127" s="3168" t="s">
        <v>4027</v>
      </c>
      <c r="D127" s="3168" t="s">
        <v>4028</v>
      </c>
      <c r="E127" s="3168" t="s">
        <v>4029</v>
      </c>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105</v>
      </c>
      <c r="E128" s="493">
        <v>110</v>
      </c>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t="str">
        <f>B46</f>
        <v>外装</v>
      </c>
      <c r="C129" s="3168" t="s">
        <v>4181</v>
      </c>
      <c r="D129" s="3168" t="s">
        <v>4177</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105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t="str">
        <f>B47</f>
        <v>利用率</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38" priority="20" stopIfTrue="1" operator="containsText" text="超过">
      <formula>NOT(ISERROR(SEARCH("超过",F53)))</formula>
    </cfRule>
  </conditionalFormatting>
  <conditionalFormatting sqref="H55">
    <cfRule type="containsText" dxfId="37" priority="19" stopIfTrue="1" operator="containsText" text="超过">
      <formula>NOT(ISERROR(SEARCH("超过",H55)))</formula>
    </cfRule>
  </conditionalFormatting>
  <conditionalFormatting sqref="F55">
    <cfRule type="containsText" dxfId="36" priority="18" stopIfTrue="1" operator="containsText" text="超过">
      <formula>NOT(ISERROR(SEARCH("超过",F55)))</formula>
    </cfRule>
  </conditionalFormatting>
  <conditionalFormatting sqref="F54 H54">
    <cfRule type="containsText" dxfId="35" priority="17" stopIfTrue="1" operator="containsText" text="超过">
      <formula>NOT(ISERROR(SEARCH("超过",F54)))</formula>
    </cfRule>
  </conditionalFormatting>
  <conditionalFormatting sqref="E53">
    <cfRule type="expression" dxfId="34" priority="16" stopIfTrue="1">
      <formula>$F$53="超过30%"</formula>
    </cfRule>
  </conditionalFormatting>
  <conditionalFormatting sqref="E54">
    <cfRule type="expression" dxfId="33" priority="15" stopIfTrue="1">
      <formula>$F$54="超过20%"</formula>
    </cfRule>
  </conditionalFormatting>
  <conditionalFormatting sqref="E55">
    <cfRule type="expression" dxfId="32" priority="14" stopIfTrue="1">
      <formula>$F$55="超过30%"</formula>
    </cfRule>
  </conditionalFormatting>
  <conditionalFormatting sqref="G55">
    <cfRule type="expression" dxfId="31" priority="13" stopIfTrue="1">
      <formula>$H$55="超过30%"</formula>
    </cfRule>
  </conditionalFormatting>
  <conditionalFormatting sqref="G53">
    <cfRule type="expression" dxfId="30" priority="12" stopIfTrue="1">
      <formula>$H$53="超过30%"</formula>
    </cfRule>
  </conditionalFormatting>
  <conditionalFormatting sqref="G54">
    <cfRule type="expression" dxfId="29" priority="11" stopIfTrue="1">
      <formula>$H$54="超过20%"</formula>
    </cfRule>
  </conditionalFormatting>
  <conditionalFormatting sqref="J53">
    <cfRule type="containsText" dxfId="28" priority="10" stopIfTrue="1" operator="containsText" text="超过">
      <formula>NOT(ISERROR(SEARCH("超过",J53)))</formula>
    </cfRule>
  </conditionalFormatting>
  <conditionalFormatting sqref="J55">
    <cfRule type="containsText" dxfId="27" priority="9" stopIfTrue="1" operator="containsText" text="超过">
      <formula>NOT(ISERROR(SEARCH("超过",J55)))</formula>
    </cfRule>
  </conditionalFormatting>
  <conditionalFormatting sqref="J54">
    <cfRule type="containsText" dxfId="26" priority="8" stopIfTrue="1" operator="containsText" text="超过">
      <formula>NOT(ISERROR(SEARCH("超过",J54)))</formula>
    </cfRule>
  </conditionalFormatting>
  <conditionalFormatting sqref="I53">
    <cfRule type="expression" dxfId="25" priority="7" stopIfTrue="1">
      <formula>$J$53="超过30%"</formula>
    </cfRule>
  </conditionalFormatting>
  <conditionalFormatting sqref="I54">
    <cfRule type="expression" dxfId="24" priority="6" stopIfTrue="1">
      <formula>$J$53+$J$54="超过20%"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7:F47 H7:H47 J7:J47">
    <cfRule type="cellIs" dxfId="19" priority="1" operator="notEqual">
      <formula>100</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C2" xr:uid="{00000000-0002-0000-2800-000016000000}">
      <formula1>"需扣减承租人权益,——"</formula1>
    </dataValidation>
    <dataValidation type="list" allowBlank="1" showInputMessage="1" showErrorMessage="1" sqref="F2" xr:uid="{00000000-0002-0000-2800-000017000000}">
      <formula1>估价方法</formula1>
    </dataValidation>
    <dataValidation type="list" allowBlank="1" showInputMessage="1" showErrorMessage="1" sqref="D49" xr:uid="{00000000-0002-0000-28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A22" zoomScaleNormal="60" zoomScaleSheetLayoutView="100" workbookViewId="0">
      <selection activeCell="C38" sqref="C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5.62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t="s">
        <v>27</v>
      </c>
      <c r="C1" s="1392" t="s">
        <v>2351</v>
      </c>
      <c r="D1" s="1393" t="s">
        <v>48</v>
      </c>
      <c r="E1" s="1394"/>
      <c r="F1" s="2065" t="s">
        <v>3755</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0</v>
      </c>
      <c r="C2" s="2067" t="s">
        <v>70</v>
      </c>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0</v>
      </c>
      <c r="C3" s="360" t="s">
        <v>2465</v>
      </c>
      <c r="D3" s="359">
        <f>SUMIF('数据-汇总表'!$C19:$C33,D1,'数据-汇总表'!$E19:$E33)</f>
        <v>5444.8200000000006</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781" t="s">
        <v>2467</v>
      </c>
      <c r="D4" s="3782"/>
      <c r="E4" s="3783" t="s">
        <v>2468</v>
      </c>
      <c r="F4" s="3784"/>
      <c r="G4" s="3781" t="s">
        <v>2469</v>
      </c>
      <c r="H4" s="3782"/>
      <c r="I4" s="3781" t="s">
        <v>2470</v>
      </c>
      <c r="J4" s="3782"/>
      <c r="K4" s="567" t="s">
        <v>2471</v>
      </c>
      <c r="L4" s="2942"/>
      <c r="M4" s="2943"/>
      <c r="N4" s="2943"/>
      <c r="O4" s="2943"/>
      <c r="P4" s="3785" t="s">
        <v>2472</v>
      </c>
      <c r="Q4" s="3786"/>
      <c r="R4" s="3791" t="s">
        <v>2468</v>
      </c>
      <c r="S4" s="3792"/>
      <c r="T4" s="3791" t="s">
        <v>2469</v>
      </c>
      <c r="U4" s="3792"/>
      <c r="V4" s="3797" t="s">
        <v>2470</v>
      </c>
      <c r="W4" s="3797"/>
      <c r="X4" s="1539"/>
      <c r="Y4" s="3791" t="s">
        <v>2472</v>
      </c>
      <c r="Z4" s="3792"/>
      <c r="AA4" s="3778" t="s">
        <v>2468</v>
      </c>
      <c r="AB4" s="3779" t="s">
        <v>2469</v>
      </c>
      <c r="AC4" s="3778" t="s">
        <v>2470</v>
      </c>
    </row>
    <row r="5" spans="1:29" ht="15">
      <c r="A5" s="364"/>
      <c r="B5" s="365"/>
      <c r="C5" s="3800" t="s">
        <v>2363</v>
      </c>
      <c r="D5" s="3801"/>
      <c r="E5" s="3807" t="str">
        <f>'案例-租金'!L32</f>
        <v>民生金融</v>
      </c>
      <c r="F5" s="3808"/>
      <c r="G5" s="3800" t="str">
        <f>'案例-租金'!L33</f>
        <v>东方广场</v>
      </c>
      <c r="H5" s="3801"/>
      <c r="I5" s="3800" t="str">
        <f>'案例-租金'!L34</f>
        <v>德信京汇</v>
      </c>
      <c r="J5" s="3801"/>
      <c r="K5" s="567"/>
      <c r="L5" s="2942"/>
      <c r="M5" s="2943"/>
      <c r="N5" s="2943"/>
      <c r="O5" s="2943"/>
      <c r="P5" s="3787"/>
      <c r="Q5" s="3788"/>
      <c r="R5" s="3793"/>
      <c r="S5" s="3794"/>
      <c r="T5" s="3793"/>
      <c r="U5" s="3794"/>
      <c r="V5" s="3797"/>
      <c r="W5" s="3797"/>
      <c r="X5" s="1539"/>
      <c r="Y5" s="3793"/>
      <c r="Z5" s="3794"/>
      <c r="AA5" s="3779"/>
      <c r="AB5" s="3779"/>
      <c r="AC5" s="3779"/>
    </row>
    <row r="6" spans="1:29" ht="15.75" thickBot="1">
      <c r="A6" s="366"/>
      <c r="B6" s="367"/>
      <c r="C6" s="3798" t="s">
        <v>2367</v>
      </c>
      <c r="D6" s="3799"/>
      <c r="E6" s="3805" t="s">
        <v>2367</v>
      </c>
      <c r="F6" s="3806"/>
      <c r="G6" s="3847" t="s">
        <v>4294</v>
      </c>
      <c r="H6" s="3799"/>
      <c r="I6" s="3847" t="s">
        <v>4295</v>
      </c>
      <c r="J6" s="3799"/>
      <c r="K6" s="567" t="s">
        <v>2368</v>
      </c>
      <c r="L6" s="2942"/>
      <c r="M6" s="2943"/>
      <c r="N6" s="2943"/>
      <c r="O6" s="2943"/>
      <c r="P6" s="3789"/>
      <c r="Q6" s="3790"/>
      <c r="R6" s="3793"/>
      <c r="S6" s="3794"/>
      <c r="T6" s="3795"/>
      <c r="U6" s="3796"/>
      <c r="V6" s="3797"/>
      <c r="W6" s="3797"/>
      <c r="X6" s="1539"/>
      <c r="Y6" s="3795"/>
      <c r="Z6" s="3796"/>
      <c r="AA6" s="3780"/>
      <c r="AB6" s="3780"/>
      <c r="AC6" s="3780"/>
    </row>
    <row r="7" spans="1:29" s="113" customFormat="1" ht="15.75" thickBot="1">
      <c r="A7" s="368" t="s">
        <v>2369</v>
      </c>
      <c r="B7" s="369"/>
      <c r="C7" s="370">
        <f>'数据-取费表'!B2</f>
        <v>42914</v>
      </c>
      <c r="D7" s="371">
        <v>100</v>
      </c>
      <c r="E7" s="372">
        <v>42856</v>
      </c>
      <c r="F7" s="373">
        <f>SUMIF(48:48,YEAR(E7)&amp;"-"&amp;MONTH(E7),49:49)</f>
        <v>100</v>
      </c>
      <c r="G7" s="372">
        <v>42705</v>
      </c>
      <c r="H7" s="371">
        <f>SUMIF(48:48,YEAR(G7)&amp;"-"&amp;MONTH(G7),49:49)</f>
        <v>100</v>
      </c>
      <c r="I7" s="372">
        <v>42856</v>
      </c>
      <c r="J7" s="371">
        <f>SUMIF(48:48,YEAR(I7)&amp;"-"&amp;MONTH(I7),49:49)</f>
        <v>100</v>
      </c>
      <c r="K7" s="568"/>
      <c r="L7" s="2944"/>
      <c r="M7" s="2945"/>
      <c r="N7" s="2945"/>
      <c r="O7" s="2945"/>
      <c r="P7" s="3802" t="s">
        <v>2370</v>
      </c>
      <c r="Q7" s="3804"/>
      <c r="R7" s="710" t="s">
        <v>17</v>
      </c>
      <c r="S7" s="711">
        <f t="shared" ref="S7:S14" si="0">F7</f>
        <v>100</v>
      </c>
      <c r="T7" s="710" t="s">
        <v>17</v>
      </c>
      <c r="U7" s="711">
        <f t="shared" ref="U7:U14" si="1">H7</f>
        <v>100</v>
      </c>
      <c r="V7" s="710" t="s">
        <v>17</v>
      </c>
      <c r="W7" s="711">
        <f t="shared" ref="W7:W14" si="2">J7</f>
        <v>100</v>
      </c>
      <c r="X7" s="712"/>
      <c r="Y7" s="3802" t="s">
        <v>2370</v>
      </c>
      <c r="Z7" s="3803"/>
      <c r="AA7" s="713">
        <f>D7/F7</f>
        <v>1</v>
      </c>
      <c r="AB7" s="713">
        <f>D7/H7</f>
        <v>1</v>
      </c>
      <c r="AC7" s="713">
        <f>D7/J7</f>
        <v>1</v>
      </c>
    </row>
    <row r="8" spans="1:29" s="113" customFormat="1" ht="15.75" thickBot="1">
      <c r="A8" s="368" t="s">
        <v>2371</v>
      </c>
      <c r="B8" s="369"/>
      <c r="C8" s="374" t="s">
        <v>2473</v>
      </c>
      <c r="D8" s="371">
        <v>100</v>
      </c>
      <c r="E8" s="374" t="s">
        <v>3461</v>
      </c>
      <c r="F8" s="373">
        <f>SUMIF(51:51,E8,52:52)-SUMIF(51:51,C8,52:52)+100</f>
        <v>100</v>
      </c>
      <c r="G8" s="374" t="s">
        <v>3461</v>
      </c>
      <c r="H8" s="371">
        <f>SUMIF(51:51,G8,52:52)-SUMIF(51:51,C8,52:52)+100</f>
        <v>100</v>
      </c>
      <c r="I8" s="374" t="s">
        <v>3461</v>
      </c>
      <c r="J8" s="371">
        <f>SUMIF(51:51,I8,52:52)-SUMIF(51:51,C8,52:52)+100</f>
        <v>100</v>
      </c>
      <c r="K8" s="568"/>
      <c r="L8" s="2944"/>
      <c r="M8" s="2945"/>
      <c r="N8" s="2945"/>
      <c r="O8" s="2945"/>
      <c r="P8" s="3802" t="s">
        <v>2373</v>
      </c>
      <c r="Q8" s="3803"/>
      <c r="R8" s="710" t="s">
        <v>17</v>
      </c>
      <c r="S8" s="711">
        <f t="shared" si="0"/>
        <v>100</v>
      </c>
      <c r="T8" s="710" t="s">
        <v>17</v>
      </c>
      <c r="U8" s="711">
        <f t="shared" si="1"/>
        <v>100</v>
      </c>
      <c r="V8" s="710" t="s">
        <v>17</v>
      </c>
      <c r="W8" s="711">
        <f t="shared" si="2"/>
        <v>100</v>
      </c>
      <c r="X8" s="712"/>
      <c r="Y8" s="3802" t="s">
        <v>2373</v>
      </c>
      <c r="Z8" s="3803"/>
      <c r="AA8" s="713">
        <f t="shared" ref="AA8:AA36" si="3">D8/F8</f>
        <v>1</v>
      </c>
      <c r="AB8" s="713">
        <f t="shared" ref="AB8:AB36" si="4">D8/H8</f>
        <v>1</v>
      </c>
      <c r="AC8" s="713">
        <f t="shared" ref="AC8:AC36" si="5">D8/J8</f>
        <v>1</v>
      </c>
    </row>
    <row r="9" spans="1:29" s="113" customFormat="1">
      <c r="A9" s="64" t="s">
        <v>2374</v>
      </c>
      <c r="B9" s="596" t="s">
        <v>2375</v>
      </c>
      <c r="C9" s="3167" t="s">
        <v>4052</v>
      </c>
      <c r="D9" s="131">
        <v>100</v>
      </c>
      <c r="E9" s="379" t="s">
        <v>3065</v>
      </c>
      <c r="F9" s="131">
        <f>SUMIF(53:53,E9,54:54)-SUMIF(53:53,C9,54:54)+100</f>
        <v>100</v>
      </c>
      <c r="G9" s="379" t="s">
        <v>3065</v>
      </c>
      <c r="H9" s="131">
        <f>SUMIF(53:53,G9,54:54)-SUMIF(53:53,C9,54:54)+100</f>
        <v>100</v>
      </c>
      <c r="I9" s="379" t="s">
        <v>3065</v>
      </c>
      <c r="J9" s="131">
        <f>SUMIF(53:53,I9,54:54)-SUMIF(53:53,C9,54:54)+100</f>
        <v>100</v>
      </c>
      <c r="K9" s="568"/>
      <c r="L9" s="2944"/>
      <c r="M9" s="2945"/>
      <c r="N9" s="2945"/>
      <c r="O9" s="2945"/>
      <c r="P9" s="3766" t="s">
        <v>2376</v>
      </c>
      <c r="Q9" s="1527" t="str">
        <f t="shared" ref="Q9:Q14" si="6">B9</f>
        <v>用途</v>
      </c>
      <c r="R9" s="710" t="s">
        <v>17</v>
      </c>
      <c r="S9" s="711">
        <f t="shared" si="0"/>
        <v>100</v>
      </c>
      <c r="T9" s="710" t="s">
        <v>17</v>
      </c>
      <c r="U9" s="711">
        <f t="shared" si="1"/>
        <v>100</v>
      </c>
      <c r="V9" s="710" t="s">
        <v>17</v>
      </c>
      <c r="W9" s="711">
        <f t="shared" si="2"/>
        <v>100</v>
      </c>
      <c r="X9" s="712"/>
      <c r="Y9" s="363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766"/>
      <c r="Q10" s="1527" t="str">
        <f t="shared" si="6"/>
        <v>土地使用年限（年）</v>
      </c>
      <c r="R10" s="710" t="s">
        <v>17</v>
      </c>
      <c r="S10" s="711">
        <f t="shared" si="0"/>
        <v>100</v>
      </c>
      <c r="T10" s="710" t="s">
        <v>17</v>
      </c>
      <c r="U10" s="711">
        <f t="shared" si="1"/>
        <v>100</v>
      </c>
      <c r="V10" s="710" t="s">
        <v>17</v>
      </c>
      <c r="W10" s="711">
        <f t="shared" si="2"/>
        <v>100</v>
      </c>
      <c r="X10" s="712"/>
      <c r="Y10" s="3636"/>
      <c r="Z10" s="55" t="str">
        <f t="shared" si="7"/>
        <v>土地使用年限（年）</v>
      </c>
      <c r="AA10" s="713">
        <f t="shared" si="3"/>
        <v>1</v>
      </c>
      <c r="AB10" s="713">
        <f t="shared" si="4"/>
        <v>1</v>
      </c>
      <c r="AC10" s="713">
        <f t="shared" si="5"/>
        <v>1</v>
      </c>
    </row>
    <row r="11" spans="1:29" ht="15">
      <c r="A11" s="599"/>
      <c r="B11" s="3473" t="s">
        <v>4296</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766"/>
      <c r="Q11" s="1527" t="str">
        <f t="shared" si="6"/>
        <v>租期</v>
      </c>
      <c r="R11" s="710" t="s">
        <v>17</v>
      </c>
      <c r="S11" s="711">
        <f t="shared" si="0"/>
        <v>100</v>
      </c>
      <c r="T11" s="710" t="s">
        <v>17</v>
      </c>
      <c r="U11" s="711">
        <f t="shared" si="1"/>
        <v>100</v>
      </c>
      <c r="V11" s="710" t="s">
        <v>17</v>
      </c>
      <c r="W11" s="711">
        <f t="shared" si="2"/>
        <v>100</v>
      </c>
      <c r="X11" s="712"/>
      <c r="Y11" s="3636"/>
      <c r="Z11" s="55" t="str">
        <f t="shared" si="7"/>
        <v>租期</v>
      </c>
      <c r="AA11" s="713">
        <f t="shared" si="3"/>
        <v>1</v>
      </c>
      <c r="AB11" s="713">
        <f t="shared" si="4"/>
        <v>1</v>
      </c>
      <c r="AC11" s="713">
        <f t="shared" si="5"/>
        <v>1</v>
      </c>
    </row>
    <row r="12" spans="1:29" s="113" customFormat="1" ht="15">
      <c r="A12" s="601"/>
      <c r="B12" s="3473" t="s">
        <v>4297</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766"/>
      <c r="Q12" s="1527" t="str">
        <f t="shared" si="6"/>
        <v>产别</v>
      </c>
      <c r="R12" s="710" t="s">
        <v>17</v>
      </c>
      <c r="S12" s="711">
        <f t="shared" si="0"/>
        <v>100</v>
      </c>
      <c r="T12" s="710" t="s">
        <v>17</v>
      </c>
      <c r="U12" s="711">
        <f t="shared" si="1"/>
        <v>100</v>
      </c>
      <c r="V12" s="710" t="s">
        <v>17</v>
      </c>
      <c r="W12" s="711">
        <f t="shared" si="2"/>
        <v>100</v>
      </c>
      <c r="X12" s="712"/>
      <c r="Y12" s="3636"/>
      <c r="Z12" s="55" t="str">
        <f t="shared" si="7"/>
        <v>产别</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766"/>
      <c r="Q13" s="1527">
        <f t="shared" si="6"/>
        <v>111</v>
      </c>
      <c r="R13" s="710" t="s">
        <v>17</v>
      </c>
      <c r="S13" s="711">
        <f t="shared" si="0"/>
        <v>100</v>
      </c>
      <c r="T13" s="710" t="s">
        <v>17</v>
      </c>
      <c r="U13" s="711">
        <f t="shared" si="1"/>
        <v>100</v>
      </c>
      <c r="V13" s="710" t="s">
        <v>17</v>
      </c>
      <c r="W13" s="711">
        <f t="shared" si="2"/>
        <v>100</v>
      </c>
      <c r="X13" s="712"/>
      <c r="Y13" s="3636"/>
      <c r="Z13" s="55">
        <f t="shared" si="7"/>
        <v>111</v>
      </c>
      <c r="AA13" s="713">
        <f t="shared" si="3"/>
        <v>1</v>
      </c>
      <c r="AB13" s="713">
        <f t="shared" si="4"/>
        <v>1</v>
      </c>
      <c r="AC13" s="713">
        <f t="shared" si="5"/>
        <v>1</v>
      </c>
    </row>
    <row r="14" spans="1:29" ht="125.25" customHeight="1">
      <c r="A14" s="361" t="s">
        <v>2380</v>
      </c>
      <c r="B14" s="3478" t="s">
        <v>4317</v>
      </c>
      <c r="C14" s="3479"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c r="F14" s="402">
        <f>SUMIF(63:63,E15,64:64)-SUMIF(63:63,C15,64:64)+100</f>
        <v>106</v>
      </c>
      <c r="G14" s="403"/>
      <c r="H14" s="400">
        <f>SUMIF(63:63,G15,64:64)-SUMIF(63:63,C15,64:64)+100</f>
        <v>106</v>
      </c>
      <c r="I14" s="401"/>
      <c r="J14" s="400">
        <f>SUMIF(63:63,I15,64:64)-SUMIF(63:63,C15,64:64)+100</f>
        <v>100</v>
      </c>
      <c r="K14" s="571">
        <v>6</v>
      </c>
      <c r="L14" s="2949"/>
      <c r="M14" s="2943"/>
      <c r="N14" s="2943"/>
      <c r="O14" s="2943"/>
      <c r="P14" s="3768" t="s">
        <v>2381</v>
      </c>
      <c r="Q14" s="1536" t="str">
        <f t="shared" si="6"/>
        <v>停车便捷度</v>
      </c>
      <c r="R14" s="714" t="s">
        <v>17</v>
      </c>
      <c r="S14" s="715">
        <f t="shared" si="0"/>
        <v>106</v>
      </c>
      <c r="T14" s="714" t="s">
        <v>17</v>
      </c>
      <c r="U14" s="715">
        <f t="shared" si="1"/>
        <v>106</v>
      </c>
      <c r="V14" s="714" t="s">
        <v>17</v>
      </c>
      <c r="W14" s="715">
        <f t="shared" si="2"/>
        <v>100</v>
      </c>
      <c r="X14" s="1539"/>
      <c r="Y14" s="3768" t="s">
        <v>2381</v>
      </c>
      <c r="Z14" s="1540" t="str">
        <f t="shared" si="7"/>
        <v>停车便捷度</v>
      </c>
      <c r="AA14" s="1537">
        <f t="shared" si="3"/>
        <v>0.94339622641509435</v>
      </c>
      <c r="AB14" s="1537">
        <f t="shared" si="4"/>
        <v>0.94339622641509435</v>
      </c>
      <c r="AC14" s="1537">
        <f t="shared" si="5"/>
        <v>1</v>
      </c>
    </row>
    <row r="15" spans="1:29" ht="15">
      <c r="A15" s="364"/>
      <c r="B15" s="603"/>
      <c r="C15" s="406" t="s">
        <v>3094</v>
      </c>
      <c r="D15" s="407"/>
      <c r="E15" s="406" t="str">
        <f>'比较法租金-办公'!I18</f>
        <v>好</v>
      </c>
      <c r="F15" s="408"/>
      <c r="G15" s="406" t="s">
        <v>3095</v>
      </c>
      <c r="H15" s="409"/>
      <c r="I15" s="406" t="s">
        <v>3094</v>
      </c>
      <c r="J15" s="407"/>
      <c r="K15" s="572"/>
      <c r="L15" s="2949"/>
      <c r="M15" s="2943"/>
      <c r="N15" s="2943"/>
      <c r="O15" s="2943"/>
      <c r="P15" s="3769"/>
      <c r="Q15" s="1536"/>
      <c r="R15" s="714"/>
      <c r="S15" s="715"/>
      <c r="T15" s="714"/>
      <c r="U15" s="715"/>
      <c r="V15" s="714"/>
      <c r="W15" s="715"/>
      <c r="X15" s="1539"/>
      <c r="Y15" s="3769"/>
      <c r="Z15" s="1540"/>
      <c r="AA15" s="1537">
        <v>1</v>
      </c>
      <c r="AB15" s="1537">
        <v>1</v>
      </c>
      <c r="AC15" s="1537">
        <v>1</v>
      </c>
    </row>
    <row r="16" spans="1:29" ht="105" customHeight="1">
      <c r="A16" s="364"/>
      <c r="B16" s="587"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c r="F16" s="417">
        <f>SUMIF(65:65,E17,66:66)-SUMIF(65:65,C17,66:66)+100</f>
        <v>100</v>
      </c>
      <c r="G16" s="418"/>
      <c r="H16" s="414">
        <f>SUMIF(65:65,G17,66:66)-SUMIF(65:65,C17,66:66)+100</f>
        <v>100</v>
      </c>
      <c r="I16" s="416"/>
      <c r="J16" s="414">
        <f>SUMIF(65:65,I17,66:66)-SUMIF(65:65,C17,66:66)+100</f>
        <v>100</v>
      </c>
      <c r="K16" s="571">
        <v>2</v>
      </c>
      <c r="L16" s="2949"/>
      <c r="M16" s="2943"/>
      <c r="N16" s="2943"/>
      <c r="O16" s="2943"/>
      <c r="P16" s="3769"/>
      <c r="Q16" s="1536" t="str">
        <f>B16</f>
        <v>公共配套设施</v>
      </c>
      <c r="R16" s="714" t="s">
        <v>17</v>
      </c>
      <c r="S16" s="715">
        <f>F16</f>
        <v>100</v>
      </c>
      <c r="T16" s="714" t="s">
        <v>17</v>
      </c>
      <c r="U16" s="715">
        <f>H16</f>
        <v>100</v>
      </c>
      <c r="V16" s="714" t="s">
        <v>17</v>
      </c>
      <c r="W16" s="715">
        <f>J16</f>
        <v>100</v>
      </c>
      <c r="X16" s="1539"/>
      <c r="Y16" s="3769"/>
      <c r="Z16" s="1540" t="str">
        <f>Q16</f>
        <v>公共配套设施</v>
      </c>
      <c r="AA16" s="1537">
        <f t="shared" si="3"/>
        <v>1</v>
      </c>
      <c r="AB16" s="1537">
        <f t="shared" si="4"/>
        <v>1</v>
      </c>
      <c r="AC16" s="1537">
        <f t="shared" si="5"/>
        <v>1</v>
      </c>
    </row>
    <row r="17" spans="1:29" ht="15">
      <c r="A17" s="364"/>
      <c r="B17" s="588"/>
      <c r="C17" s="2087" t="s">
        <v>3094</v>
      </c>
      <c r="D17" s="407"/>
      <c r="E17" s="406" t="str">
        <f>'比较法租金-办公'!I20</f>
        <v>较好</v>
      </c>
      <c r="F17" s="408"/>
      <c r="G17" s="406" t="s">
        <v>3094</v>
      </c>
      <c r="H17" s="407"/>
      <c r="I17" s="406" t="s">
        <v>3094</v>
      </c>
      <c r="J17" s="407"/>
      <c r="K17" s="572"/>
      <c r="L17" s="2949"/>
      <c r="M17" s="2943"/>
      <c r="N17" s="2943"/>
      <c r="O17" s="2943"/>
      <c r="P17" s="3769"/>
      <c r="Q17" s="1536"/>
      <c r="R17" s="714"/>
      <c r="S17" s="715"/>
      <c r="T17" s="714"/>
      <c r="U17" s="715"/>
      <c r="V17" s="714"/>
      <c r="W17" s="715"/>
      <c r="X17" s="1539"/>
      <c r="Y17" s="3769"/>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v>2</v>
      </c>
      <c r="L18" s="2949"/>
      <c r="M18" s="2943"/>
      <c r="N18" s="2943"/>
      <c r="O18" s="2943"/>
      <c r="P18" s="3769"/>
      <c r="Q18" s="1536" t="str">
        <f>B18</f>
        <v>基础设施水平</v>
      </c>
      <c r="R18" s="714" t="s">
        <v>17</v>
      </c>
      <c r="S18" s="715">
        <f>F18</f>
        <v>100</v>
      </c>
      <c r="T18" s="714" t="s">
        <v>17</v>
      </c>
      <c r="U18" s="715">
        <f>H18</f>
        <v>100</v>
      </c>
      <c r="V18" s="714" t="s">
        <v>17</v>
      </c>
      <c r="W18" s="715">
        <f>J18</f>
        <v>100</v>
      </c>
      <c r="X18" s="1539"/>
      <c r="Y18" s="3769"/>
      <c r="Z18" s="1540" t="str">
        <f>Q18</f>
        <v>基础设施水平</v>
      </c>
      <c r="AA18" s="1537">
        <f>D18/F18</f>
        <v>1</v>
      </c>
      <c r="AB18" s="1537">
        <f>D18/H18</f>
        <v>1</v>
      </c>
      <c r="AC18" s="1537">
        <f>D18/J18</f>
        <v>1</v>
      </c>
    </row>
    <row r="19" spans="1:29" ht="15">
      <c r="A19" s="364"/>
      <c r="B19" s="589"/>
      <c r="C19" s="2087" t="s">
        <v>3475</v>
      </c>
      <c r="D19" s="409"/>
      <c r="E19" s="2087" t="s">
        <v>3475</v>
      </c>
      <c r="F19" s="412"/>
      <c r="G19" s="2087" t="s">
        <v>3475</v>
      </c>
      <c r="H19" s="407"/>
      <c r="I19" s="2087" t="s">
        <v>3475</v>
      </c>
      <c r="J19" s="407"/>
      <c r="K19" s="1292"/>
      <c r="L19" s="2949"/>
      <c r="M19" s="2943"/>
      <c r="N19" s="2943"/>
      <c r="O19" s="2943"/>
      <c r="P19" s="3769"/>
      <c r="Q19" s="1536"/>
      <c r="R19" s="714"/>
      <c r="S19" s="715"/>
      <c r="T19" s="714"/>
      <c r="U19" s="715"/>
      <c r="V19" s="714"/>
      <c r="W19" s="715"/>
      <c r="X19" s="1539"/>
      <c r="Y19" s="3769"/>
      <c r="Z19" s="1540"/>
      <c r="AA19" s="1537">
        <v>1</v>
      </c>
      <c r="AB19" s="1537">
        <v>1</v>
      </c>
      <c r="AC19" s="1537">
        <v>1</v>
      </c>
    </row>
    <row r="20" spans="1:29" ht="57">
      <c r="A20" s="364"/>
      <c r="B20" s="587" t="s">
        <v>2530</v>
      </c>
      <c r="C20" s="2086" t="str">
        <f>IF(B1="工业",估价对象房地状况!G7,估价对象房地状况!C9)</f>
        <v>周边有隆福寺广场、东四清真寺等，自然及人文环境较好</v>
      </c>
      <c r="D20" s="414">
        <v>100</v>
      </c>
      <c r="E20" s="416"/>
      <c r="F20" s="417">
        <f>SUMIF(69:69,E21,70:70)-SUMIF(69:69,C21,70:70)+100</f>
        <v>100</v>
      </c>
      <c r="G20" s="418"/>
      <c r="H20" s="409">
        <f>SUMIF(69:69,G21,70:70)-SUMIF(69:69,C21,70:70)+100</f>
        <v>100</v>
      </c>
      <c r="I20" s="411"/>
      <c r="J20" s="409">
        <f>SUMIF(69:69,I21,70:70)-SUMIF(69:69,C21,70:70)+100</f>
        <v>100</v>
      </c>
      <c r="K20" s="571">
        <v>2</v>
      </c>
      <c r="L20" s="2949"/>
      <c r="M20" s="2943"/>
      <c r="N20" s="2943"/>
      <c r="O20" s="2943"/>
      <c r="P20" s="3769"/>
      <c r="Q20" s="1536" t="str">
        <f>B20</f>
        <v>自然及人文环境</v>
      </c>
      <c r="R20" s="714" t="s">
        <v>17</v>
      </c>
      <c r="S20" s="715">
        <f>F20</f>
        <v>100</v>
      </c>
      <c r="T20" s="714" t="s">
        <v>17</v>
      </c>
      <c r="U20" s="715">
        <f>H20</f>
        <v>100</v>
      </c>
      <c r="V20" s="714" t="s">
        <v>17</v>
      </c>
      <c r="W20" s="715">
        <f>J20</f>
        <v>100</v>
      </c>
      <c r="X20" s="1539"/>
      <c r="Y20" s="3769"/>
      <c r="Z20" s="1540" t="str">
        <f>Q20</f>
        <v>自然及人文环境</v>
      </c>
      <c r="AA20" s="1537">
        <f t="shared" si="3"/>
        <v>1</v>
      </c>
      <c r="AB20" s="1537">
        <f t="shared" si="4"/>
        <v>1</v>
      </c>
      <c r="AC20" s="1537">
        <f t="shared" si="5"/>
        <v>1</v>
      </c>
    </row>
    <row r="21" spans="1:29" ht="15">
      <c r="A21" s="364"/>
      <c r="B21" s="588"/>
      <c r="C21" s="406" t="s">
        <v>3094</v>
      </c>
      <c r="D21" s="407"/>
      <c r="E21" s="406" t="str">
        <f>'比较法租金-办公'!I24</f>
        <v>较好</v>
      </c>
      <c r="F21" s="408"/>
      <c r="G21" s="406" t="s">
        <v>3094</v>
      </c>
      <c r="H21" s="407"/>
      <c r="I21" s="406" t="s">
        <v>3094</v>
      </c>
      <c r="J21" s="407"/>
      <c r="K21" s="572"/>
      <c r="L21" s="2949"/>
      <c r="M21" s="2943"/>
      <c r="N21" s="2943"/>
      <c r="O21" s="2943"/>
      <c r="P21" s="3769"/>
      <c r="Q21" s="1536"/>
      <c r="R21" s="714"/>
      <c r="S21" s="715"/>
      <c r="T21" s="714"/>
      <c r="U21" s="715"/>
      <c r="V21" s="714"/>
      <c r="W21" s="715"/>
      <c r="X21" s="1539"/>
      <c r="Y21" s="376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769"/>
      <c r="Q22" s="1536" t="str">
        <f>B22</f>
        <v>楼层</v>
      </c>
      <c r="R22" s="714" t="s">
        <v>17</v>
      </c>
      <c r="S22" s="715">
        <f>F22</f>
        <v>100</v>
      </c>
      <c r="T22" s="714" t="s">
        <v>17</v>
      </c>
      <c r="U22" s="715">
        <f>H22</f>
        <v>100</v>
      </c>
      <c r="V22" s="714" t="s">
        <v>17</v>
      </c>
      <c r="W22" s="715">
        <f>J22</f>
        <v>100</v>
      </c>
      <c r="X22" s="1539"/>
      <c r="Y22" s="376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769"/>
      <c r="Q23" s="1536">
        <f>B23</f>
        <v>111</v>
      </c>
      <c r="R23" s="714" t="s">
        <v>17</v>
      </c>
      <c r="S23" s="715">
        <f>F23</f>
        <v>100</v>
      </c>
      <c r="T23" s="714" t="s">
        <v>17</v>
      </c>
      <c r="U23" s="715">
        <f>H23</f>
        <v>100</v>
      </c>
      <c r="V23" s="714" t="s">
        <v>17</v>
      </c>
      <c r="W23" s="715">
        <f>J23</f>
        <v>100</v>
      </c>
      <c r="X23" s="1539"/>
      <c r="Y23" s="376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769"/>
      <c r="Q24" s="1536">
        <f t="shared" ref="Q24:Q36" si="8">B24</f>
        <v>111</v>
      </c>
      <c r="R24" s="714" t="s">
        <v>17</v>
      </c>
      <c r="S24" s="715">
        <f>F24</f>
        <v>100</v>
      </c>
      <c r="T24" s="714" t="s">
        <v>17</v>
      </c>
      <c r="U24" s="715">
        <f>H24</f>
        <v>100</v>
      </c>
      <c r="V24" s="714" t="s">
        <v>17</v>
      </c>
      <c r="W24" s="715">
        <f>J24</f>
        <v>100</v>
      </c>
      <c r="X24" s="1539"/>
      <c r="Y24" s="376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769"/>
      <c r="Q25" s="1527">
        <f t="shared" si="8"/>
        <v>111</v>
      </c>
      <c r="R25" s="710" t="s">
        <v>17</v>
      </c>
      <c r="S25" s="711">
        <f>F25</f>
        <v>100</v>
      </c>
      <c r="T25" s="710" t="s">
        <v>17</v>
      </c>
      <c r="U25" s="711">
        <f>H25</f>
        <v>100</v>
      </c>
      <c r="V25" s="710" t="s">
        <v>17</v>
      </c>
      <c r="W25" s="711">
        <f>J25</f>
        <v>100</v>
      </c>
      <c r="X25" s="712"/>
      <c r="Y25" s="3769"/>
      <c r="Z25" s="55">
        <f>Q25</f>
        <v>111</v>
      </c>
      <c r="AA25" s="1537">
        <f>D25/F25</f>
        <v>1</v>
      </c>
      <c r="AB25" s="1537">
        <f>D25/H25</f>
        <v>1</v>
      </c>
      <c r="AC25" s="1537">
        <f>D25/J25</f>
        <v>1</v>
      </c>
    </row>
    <row r="26" spans="1:29" ht="28.5">
      <c r="A26" s="608" t="s">
        <v>2384</v>
      </c>
      <c r="B26" s="66" t="s">
        <v>2532</v>
      </c>
      <c r="C26" s="2158" t="str">
        <f>B1</f>
        <v>办公</v>
      </c>
      <c r="D26" s="407">
        <v>100</v>
      </c>
      <c r="E26" s="406" t="s">
        <v>27</v>
      </c>
      <c r="F26" s="408">
        <f>SUMIF(79:79,E26,80:80)-SUMIF(79:79,C26,80:80)+100</f>
        <v>100</v>
      </c>
      <c r="G26" s="406" t="s">
        <v>27</v>
      </c>
      <c r="H26" s="407">
        <f>SUMIF(79:79,G26,80:80)-SUMIF(79:79,C26,80:80)+100</f>
        <v>100</v>
      </c>
      <c r="I26" s="406" t="s">
        <v>27</v>
      </c>
      <c r="J26" s="407">
        <f>SUMIF(79:79,I26,80:80)-SUMIF(79:79,C26,80:80)+100</f>
        <v>100</v>
      </c>
      <c r="K26" s="569">
        <v>3</v>
      </c>
      <c r="L26" s="2949"/>
      <c r="M26" s="2943"/>
      <c r="N26" s="2943"/>
      <c r="O26" s="2943"/>
      <c r="P26" s="3809" t="s">
        <v>2386</v>
      </c>
      <c r="Q26" s="1536" t="str">
        <f t="shared" si="8"/>
        <v>配套类型</v>
      </c>
      <c r="R26" s="714" t="s">
        <v>17</v>
      </c>
      <c r="S26" s="715">
        <f t="shared" ref="S26:S36" si="9">F26</f>
        <v>100</v>
      </c>
      <c r="T26" s="714" t="s">
        <v>17</v>
      </c>
      <c r="U26" s="715">
        <f t="shared" ref="U26:U36" si="10">H26</f>
        <v>100</v>
      </c>
      <c r="V26" s="714" t="s">
        <v>17</v>
      </c>
      <c r="W26" s="715">
        <f t="shared" ref="W26:W36" si="11">J26</f>
        <v>100</v>
      </c>
      <c r="X26" s="1539"/>
      <c r="Y26" s="3773" t="s">
        <v>2386</v>
      </c>
      <c r="Z26" s="1540" t="str">
        <f t="shared" ref="Z26:Z36" si="12">Q26</f>
        <v>配套类型</v>
      </c>
      <c r="AA26" s="1537">
        <f t="shared" si="3"/>
        <v>1</v>
      </c>
      <c r="AB26" s="1537">
        <f t="shared" si="4"/>
        <v>1</v>
      </c>
      <c r="AC26" s="1537">
        <f t="shared" si="5"/>
        <v>1</v>
      </c>
    </row>
    <row r="27" spans="1:29" s="430" customFormat="1" ht="15">
      <c r="A27" s="609"/>
      <c r="B27" s="3477" t="s">
        <v>4316</v>
      </c>
      <c r="C27" s="611" t="s">
        <v>4053</v>
      </c>
      <c r="D27" s="132">
        <v>100</v>
      </c>
      <c r="E27" s="611" t="s">
        <v>4053</v>
      </c>
      <c r="F27" s="420">
        <f>SUMIF(81:81,E27,82:82)-SUMIF(81:81,C27,82:82)+100</f>
        <v>100</v>
      </c>
      <c r="G27" s="611" t="s">
        <v>4054</v>
      </c>
      <c r="H27" s="394">
        <f>SUMIF(81:81,G27,82:82)-SUMIF(81:81,C27,82:82)+100</f>
        <v>100</v>
      </c>
      <c r="I27" s="611" t="s">
        <v>4055</v>
      </c>
      <c r="J27" s="394">
        <f>SUMIF(81:81,I27,82:82)-SUMIF(81:81,C27,82:82)+100</f>
        <v>100</v>
      </c>
      <c r="K27" s="570"/>
      <c r="L27" s="2948"/>
      <c r="M27" s="2950"/>
      <c r="N27" s="2950"/>
      <c r="O27" s="2950"/>
      <c r="P27" s="3773"/>
      <c r="Q27" s="716" t="str">
        <f t="shared" si="8"/>
        <v>项目停车位配比</v>
      </c>
      <c r="R27" s="717" t="s">
        <v>17</v>
      </c>
      <c r="S27" s="718">
        <f t="shared" si="9"/>
        <v>100</v>
      </c>
      <c r="T27" s="717" t="s">
        <v>17</v>
      </c>
      <c r="U27" s="718">
        <f t="shared" si="10"/>
        <v>100</v>
      </c>
      <c r="V27" s="717" t="s">
        <v>17</v>
      </c>
      <c r="W27" s="718">
        <f t="shared" si="11"/>
        <v>100</v>
      </c>
      <c r="X27" s="719"/>
      <c r="Y27" s="3773"/>
      <c r="Z27" s="720" t="str">
        <f t="shared" si="12"/>
        <v>项目停车位配比</v>
      </c>
      <c r="AA27" s="1537">
        <f t="shared" si="3"/>
        <v>1</v>
      </c>
      <c r="AB27" s="1537">
        <f t="shared" si="4"/>
        <v>1</v>
      </c>
      <c r="AC27" s="1537">
        <f t="shared" si="5"/>
        <v>1</v>
      </c>
    </row>
    <row r="28" spans="1:29" ht="15">
      <c r="A28" s="612"/>
      <c r="B28" s="610" t="s">
        <v>2533</v>
      </c>
      <c r="C28" s="419" t="s">
        <v>3503</v>
      </c>
      <c r="D28" s="394">
        <v>100</v>
      </c>
      <c r="E28" s="419" t="s">
        <v>3500</v>
      </c>
      <c r="F28" s="420">
        <f>SUMIF(83:83,E28,84:84)-SUMIF(83:83,C28,84:84)+100</f>
        <v>106</v>
      </c>
      <c r="G28" s="419" t="s">
        <v>3500</v>
      </c>
      <c r="H28" s="394">
        <f>SUMIF(83:83,G28,84:84)-SUMIF(83:83,C28,84:84)+100</f>
        <v>106</v>
      </c>
      <c r="I28" s="419" t="s">
        <v>3500</v>
      </c>
      <c r="J28" s="394">
        <f>SUMIF(83:83,I28,84:84)-SUMIF(83:83,C28,84:84)+100</f>
        <v>106</v>
      </c>
      <c r="K28" s="569">
        <v>6</v>
      </c>
      <c r="L28" s="2949"/>
      <c r="M28" s="2943"/>
      <c r="N28" s="2943"/>
      <c r="O28" s="2943"/>
      <c r="P28" s="3773"/>
      <c r="Q28" s="1536" t="str">
        <f t="shared" si="8"/>
        <v>公共部分装修</v>
      </c>
      <c r="R28" s="714" t="s">
        <v>17</v>
      </c>
      <c r="S28" s="715">
        <f t="shared" si="9"/>
        <v>106</v>
      </c>
      <c r="T28" s="714" t="s">
        <v>17</v>
      </c>
      <c r="U28" s="715">
        <f t="shared" si="10"/>
        <v>106</v>
      </c>
      <c r="V28" s="714" t="s">
        <v>17</v>
      </c>
      <c r="W28" s="715">
        <f t="shared" si="11"/>
        <v>106</v>
      </c>
      <c r="X28" s="1539"/>
      <c r="Y28" s="3773"/>
      <c r="Z28" s="1540" t="str">
        <f t="shared" si="12"/>
        <v>公共部分装修</v>
      </c>
      <c r="AA28" s="1537">
        <f t="shared" si="3"/>
        <v>0.94339622641509435</v>
      </c>
      <c r="AB28" s="1537">
        <f t="shared" si="4"/>
        <v>0.94339622641509435</v>
      </c>
      <c r="AC28" s="1537">
        <f t="shared" si="5"/>
        <v>0.94339622641509435</v>
      </c>
    </row>
    <row r="29" spans="1:29" ht="15" hidden="1">
      <c r="A29" s="612"/>
      <c r="B29" s="610" t="s">
        <v>2534</v>
      </c>
      <c r="C29" s="428">
        <v>100</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9"/>
      <c r="M29" s="2943"/>
      <c r="N29" s="2943"/>
      <c r="O29" s="2943"/>
      <c r="P29" s="3773"/>
      <c r="Q29" s="1536" t="str">
        <f t="shared" si="8"/>
        <v>成新率</v>
      </c>
      <c r="R29" s="714" t="s">
        <v>17</v>
      </c>
      <c r="S29" s="715">
        <f t="shared" si="9"/>
        <v>100</v>
      </c>
      <c r="T29" s="714" t="s">
        <v>17</v>
      </c>
      <c r="U29" s="715">
        <f t="shared" si="10"/>
        <v>100</v>
      </c>
      <c r="V29" s="714" t="s">
        <v>17</v>
      </c>
      <c r="W29" s="715">
        <f t="shared" si="11"/>
        <v>100</v>
      </c>
      <c r="X29" s="1539"/>
      <c r="Y29" s="3773"/>
      <c r="Z29" s="1540" t="str">
        <f t="shared" si="12"/>
        <v>成新率</v>
      </c>
      <c r="AA29" s="1537">
        <f t="shared" si="3"/>
        <v>1</v>
      </c>
      <c r="AB29" s="1537">
        <f t="shared" si="4"/>
        <v>1</v>
      </c>
      <c r="AC29" s="1537">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773"/>
      <c r="Q30" s="1536" t="str">
        <f t="shared" si="8"/>
        <v>物业等级</v>
      </c>
      <c r="R30" s="714" t="s">
        <v>17</v>
      </c>
      <c r="S30" s="715">
        <f t="shared" si="9"/>
        <v>100</v>
      </c>
      <c r="T30" s="714" t="s">
        <v>17</v>
      </c>
      <c r="U30" s="715">
        <f t="shared" si="10"/>
        <v>100</v>
      </c>
      <c r="V30" s="714" t="s">
        <v>17</v>
      </c>
      <c r="W30" s="715">
        <f t="shared" si="11"/>
        <v>100</v>
      </c>
      <c r="X30" s="1539"/>
      <c r="Y30" s="3773"/>
      <c r="Z30" s="1540" t="str">
        <f t="shared" si="12"/>
        <v>物业等级</v>
      </c>
      <c r="AA30" s="1537">
        <f t="shared" si="3"/>
        <v>1</v>
      </c>
      <c r="AB30" s="1537">
        <f t="shared" si="4"/>
        <v>1</v>
      </c>
      <c r="AC30" s="1537">
        <f t="shared" si="5"/>
        <v>1</v>
      </c>
    </row>
    <row r="31" spans="1:29" s="113" customFormat="1" ht="15" hidden="1">
      <c r="A31" s="614"/>
      <c r="B31" s="610" t="s">
        <v>2536</v>
      </c>
      <c r="C31" s="428">
        <v>40</v>
      </c>
      <c r="D31" s="132">
        <v>100</v>
      </c>
      <c r="E31" s="428">
        <v>40</v>
      </c>
      <c r="F31" s="420">
        <f>LOOKUP(E31,91:91,92:92)-LOOKUP(C31,91:91,92:92)+100</f>
        <v>100</v>
      </c>
      <c r="G31" s="428">
        <v>40</v>
      </c>
      <c r="H31" s="394">
        <f>LOOKUP(G31,91:91,92:92)-LOOKUP(C31,91:91,92:92)+100</f>
        <v>100</v>
      </c>
      <c r="I31" s="428">
        <v>40</v>
      </c>
      <c r="J31" s="394">
        <f>LOOKUP(I31,91:91,92:92)-LOOKUP(C31,91:91,92:92)+100</f>
        <v>100</v>
      </c>
      <c r="K31" s="569">
        <v>0</v>
      </c>
      <c r="L31" s="2944"/>
      <c r="M31" s="2945"/>
      <c r="N31" s="2945"/>
      <c r="O31" s="2945"/>
      <c r="P31" s="3773"/>
      <c r="Q31" s="1527" t="str">
        <f t="shared" si="8"/>
        <v>停车位面积</v>
      </c>
      <c r="R31" s="710" t="s">
        <v>17</v>
      </c>
      <c r="S31" s="711">
        <f t="shared" si="9"/>
        <v>100</v>
      </c>
      <c r="T31" s="710" t="s">
        <v>17</v>
      </c>
      <c r="U31" s="711">
        <f t="shared" si="10"/>
        <v>100</v>
      </c>
      <c r="V31" s="710" t="s">
        <v>17</v>
      </c>
      <c r="W31" s="711">
        <f t="shared" si="11"/>
        <v>100</v>
      </c>
      <c r="X31" s="712"/>
      <c r="Y31" s="3773"/>
      <c r="Z31" s="55" t="str">
        <f t="shared" si="12"/>
        <v>停车位面积</v>
      </c>
      <c r="AA31" s="713">
        <f t="shared" si="3"/>
        <v>1</v>
      </c>
      <c r="AB31" s="713">
        <f t="shared" si="4"/>
        <v>1</v>
      </c>
      <c r="AC31" s="713">
        <f t="shared" si="5"/>
        <v>1</v>
      </c>
    </row>
    <row r="32" spans="1:29" ht="15">
      <c r="A32" s="612"/>
      <c r="B32" s="610" t="s">
        <v>2537</v>
      </c>
      <c r="C32" s="419" t="s">
        <v>4300</v>
      </c>
      <c r="D32" s="394">
        <v>100</v>
      </c>
      <c r="E32" s="419" t="s">
        <v>4300</v>
      </c>
      <c r="F32" s="420">
        <f>SUMIF(93:93,E32,94:94)-SUMIF(93:93,C32,94:94)+100</f>
        <v>100</v>
      </c>
      <c r="G32" s="419" t="s">
        <v>4300</v>
      </c>
      <c r="H32" s="394">
        <f>SUMIF(93:93,G32,94:94)-SUMIF(93:93,C32,94:94)+100</f>
        <v>100</v>
      </c>
      <c r="I32" s="419" t="s">
        <v>4300</v>
      </c>
      <c r="J32" s="394">
        <f>SUMIF(93:93,I32,94:94)-SUMIF(93:93,C32,94:94)+100</f>
        <v>100</v>
      </c>
      <c r="K32" s="569"/>
      <c r="L32" s="2949"/>
      <c r="M32" s="2943"/>
      <c r="N32" s="2943"/>
      <c r="O32" s="2943"/>
      <c r="P32" s="3773" t="s">
        <v>2386</v>
      </c>
      <c r="Q32" s="1536" t="str">
        <f t="shared" si="8"/>
        <v>车位类型</v>
      </c>
      <c r="R32" s="714" t="s">
        <v>17</v>
      </c>
      <c r="S32" s="715">
        <f t="shared" si="9"/>
        <v>100</v>
      </c>
      <c r="T32" s="714" t="s">
        <v>17</v>
      </c>
      <c r="U32" s="715">
        <f t="shared" si="10"/>
        <v>100</v>
      </c>
      <c r="V32" s="714" t="s">
        <v>17</v>
      </c>
      <c r="W32" s="715">
        <f t="shared" si="11"/>
        <v>100</v>
      </c>
      <c r="X32" s="1539"/>
      <c r="Y32" s="3773" t="s">
        <v>2386</v>
      </c>
      <c r="Z32" s="1540" t="str">
        <f t="shared" si="12"/>
        <v>车位类型</v>
      </c>
      <c r="AA32" s="1537">
        <f t="shared" si="3"/>
        <v>1</v>
      </c>
      <c r="AB32" s="1537">
        <f t="shared" si="4"/>
        <v>1</v>
      </c>
      <c r="AC32" s="1537">
        <f t="shared" si="5"/>
        <v>1</v>
      </c>
    </row>
    <row r="33" spans="1:29" ht="15">
      <c r="A33" s="612"/>
      <c r="B33" s="610" t="s">
        <v>2538</v>
      </c>
      <c r="C33" s="419" t="s">
        <v>3061</v>
      </c>
      <c r="D33" s="394">
        <v>100</v>
      </c>
      <c r="E33" s="419" t="s">
        <v>3061</v>
      </c>
      <c r="F33" s="420">
        <f>SUMIF(95:95,E33,96:96)-SUMIF(95:95,C33,96:96)+100</f>
        <v>100</v>
      </c>
      <c r="G33" s="419" t="s">
        <v>3061</v>
      </c>
      <c r="H33" s="394">
        <f>SUMIF(95:95,G33,96:96)-SUMIF(95:95,C33,96:96)+100</f>
        <v>100</v>
      </c>
      <c r="I33" s="419" t="s">
        <v>3061</v>
      </c>
      <c r="J33" s="394">
        <f>SUMIF(95:95,I33,96:96)-SUMIF(95:95,C33,96:96)+100</f>
        <v>100</v>
      </c>
      <c r="K33" s="569"/>
      <c r="L33" s="2949"/>
      <c r="M33" s="2943"/>
      <c r="N33" s="2943"/>
      <c r="O33" s="2943"/>
      <c r="P33" s="3773"/>
      <c r="Q33" s="1536" t="str">
        <f t="shared" si="8"/>
        <v>是否直接入户</v>
      </c>
      <c r="R33" s="714" t="s">
        <v>17</v>
      </c>
      <c r="S33" s="715">
        <f t="shared" si="9"/>
        <v>100</v>
      </c>
      <c r="T33" s="714" t="s">
        <v>17</v>
      </c>
      <c r="U33" s="715">
        <f t="shared" si="10"/>
        <v>100</v>
      </c>
      <c r="V33" s="714" t="s">
        <v>17</v>
      </c>
      <c r="W33" s="715">
        <f t="shared" si="11"/>
        <v>100</v>
      </c>
      <c r="X33" s="1539"/>
      <c r="Y33" s="3773"/>
      <c r="Z33" s="1540" t="str">
        <f t="shared" si="12"/>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773"/>
      <c r="Q34" s="1536">
        <f t="shared" si="8"/>
        <v>111</v>
      </c>
      <c r="R34" s="714" t="s">
        <v>17</v>
      </c>
      <c r="S34" s="715">
        <f t="shared" si="9"/>
        <v>100</v>
      </c>
      <c r="T34" s="714" t="s">
        <v>17</v>
      </c>
      <c r="U34" s="715">
        <f t="shared" si="10"/>
        <v>100</v>
      </c>
      <c r="V34" s="714" t="s">
        <v>17</v>
      </c>
      <c r="W34" s="715">
        <f t="shared" si="11"/>
        <v>100</v>
      </c>
      <c r="X34" s="1539"/>
      <c r="Y34" s="3773"/>
      <c r="Z34" s="1540">
        <f t="shared" si="12"/>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773"/>
      <c r="Q35" s="716">
        <f t="shared" si="8"/>
        <v>111</v>
      </c>
      <c r="R35" s="717" t="s">
        <v>17</v>
      </c>
      <c r="S35" s="718">
        <f t="shared" si="9"/>
        <v>100</v>
      </c>
      <c r="T35" s="717" t="s">
        <v>17</v>
      </c>
      <c r="U35" s="718">
        <f t="shared" si="10"/>
        <v>100</v>
      </c>
      <c r="V35" s="717" t="s">
        <v>17</v>
      </c>
      <c r="W35" s="718">
        <f t="shared" si="11"/>
        <v>100</v>
      </c>
      <c r="X35" s="719"/>
      <c r="Y35" s="3773"/>
      <c r="Z35" s="720">
        <f t="shared" si="12"/>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773"/>
      <c r="Q36" s="1536">
        <f t="shared" si="8"/>
        <v>111</v>
      </c>
      <c r="R36" s="714" t="s">
        <v>17</v>
      </c>
      <c r="S36" s="715">
        <f t="shared" si="9"/>
        <v>100</v>
      </c>
      <c r="T36" s="714" t="s">
        <v>17</v>
      </c>
      <c r="U36" s="715">
        <f t="shared" si="10"/>
        <v>100</v>
      </c>
      <c r="V36" s="714" t="s">
        <v>17</v>
      </c>
      <c r="W36" s="715">
        <f t="shared" si="11"/>
        <v>100</v>
      </c>
      <c r="X36" s="1539"/>
      <c r="Y36" s="3773"/>
      <c r="Z36" s="1540">
        <f t="shared" si="12"/>
        <v>111</v>
      </c>
      <c r="AA36" s="1537">
        <f t="shared" si="3"/>
        <v>1</v>
      </c>
      <c r="AB36" s="1537">
        <f t="shared" si="4"/>
        <v>1</v>
      </c>
      <c r="AC36" s="1537">
        <f t="shared" si="5"/>
        <v>1</v>
      </c>
    </row>
    <row r="37" spans="1:29" ht="15">
      <c r="A37" s="438" t="s">
        <v>2539</v>
      </c>
      <c r="B37" s="2159" t="s">
        <v>2540</v>
      </c>
      <c r="C37" s="1316" t="s">
        <v>1</v>
      </c>
      <c r="D37" s="1317"/>
      <c r="E37" s="1318">
        <f>'案例-租金'!O32</f>
        <v>1200</v>
      </c>
      <c r="F37" s="1319"/>
      <c r="G37" s="1320">
        <v>1300</v>
      </c>
      <c r="H37" s="1321"/>
      <c r="I37" s="1318">
        <f>'案例-租金'!O34</f>
        <v>1200</v>
      </c>
      <c r="J37" s="1321"/>
      <c r="K37" s="576"/>
      <c r="L37" s="2951"/>
      <c r="M37" s="2952"/>
      <c r="N37" s="2943"/>
      <c r="O37" s="2952"/>
      <c r="P37" s="3766" t="str">
        <f>A37</f>
        <v>成交单价</v>
      </c>
      <c r="Q37" s="3766"/>
      <c r="R37" s="3767">
        <f>E37</f>
        <v>1200</v>
      </c>
      <c r="S37" s="3767"/>
      <c r="T37" s="3767">
        <f>G37</f>
        <v>1300</v>
      </c>
      <c r="U37" s="3767"/>
      <c r="V37" s="3767">
        <f>I37</f>
        <v>1200</v>
      </c>
      <c r="W37" s="3767"/>
      <c r="X37" s="699"/>
      <c r="Y37" s="721"/>
      <c r="Z37" s="699"/>
      <c r="AA37" s="699"/>
      <c r="AB37" s="699"/>
      <c r="AC37" s="699"/>
    </row>
    <row r="38" spans="1:29" ht="15.75" thickBot="1">
      <c r="A38" s="445" t="s">
        <v>2541</v>
      </c>
      <c r="B38" s="446" t="str">
        <f>B37</f>
        <v>元/车位</v>
      </c>
      <c r="C38" s="1322">
        <f>R39</f>
        <v>1119</v>
      </c>
      <c r="D38" s="2538" t="s">
        <v>2877</v>
      </c>
      <c r="E38" s="1323">
        <f>R38</f>
        <v>1068</v>
      </c>
      <c r="F38" s="2539"/>
      <c r="G38" s="1322">
        <f>T38</f>
        <v>1157</v>
      </c>
      <c r="H38" s="2539"/>
      <c r="I38" s="1323">
        <f>V38</f>
        <v>1132</v>
      </c>
      <c r="J38" s="2539"/>
      <c r="K38" s="2541">
        <f>F38+H38+J38</f>
        <v>0</v>
      </c>
      <c r="L38" s="2951"/>
      <c r="M38" s="2952"/>
      <c r="N38" s="2952"/>
      <c r="O38" s="2952"/>
      <c r="P38" s="3766" t="str">
        <f>A38</f>
        <v>比较价值（元/平方米）</v>
      </c>
      <c r="Q38" s="3766"/>
      <c r="R38" s="3767">
        <f>IF(F1="售价",ROUND(PRODUCT(R37,AA7:AA36),0),ROUND(PRODUCT(R37,AA7:AA36),1))</f>
        <v>1068</v>
      </c>
      <c r="S38" s="3767"/>
      <c r="T38" s="3767">
        <f>IF(F1="售价",ROUND(PRODUCT(T37,AB7:AB36),0),ROUND(PRODUCT(T37,AB7:AB36),1))</f>
        <v>1157</v>
      </c>
      <c r="U38" s="3767"/>
      <c r="V38" s="3767">
        <f>IF(F1="售价",ROUND(PRODUCT(V37,AC7:AC36),0),ROUND(PRODUCT(V37,AC7:AC36),1))</f>
        <v>1132</v>
      </c>
      <c r="W38" s="3767"/>
      <c r="X38" s="699"/>
      <c r="Y38" s="699"/>
      <c r="Z38" s="699"/>
      <c r="AA38" s="699"/>
      <c r="AB38" s="699"/>
      <c r="AC38" s="699"/>
    </row>
    <row r="39" spans="1:29" ht="15.75" thickBot="1">
      <c r="A39" s="449" t="s">
        <v>2542</v>
      </c>
      <c r="B39" s="450"/>
      <c r="C39" s="1325">
        <f>R39</f>
        <v>1119</v>
      </c>
      <c r="D39" s="1325"/>
      <c r="E39" s="1325"/>
      <c r="F39" s="1325"/>
      <c r="G39" s="1325"/>
      <c r="H39" s="1325"/>
      <c r="I39" s="1325"/>
      <c r="J39" s="1325"/>
      <c r="K39" s="577"/>
      <c r="L39" s="2951"/>
      <c r="M39" s="2952"/>
      <c r="N39" s="2952"/>
      <c r="O39" s="2952"/>
      <c r="P39" s="3763" t="str">
        <f>A39</f>
        <v>估价对象XX用房的比较价值（楼面单价，元/平方米）</v>
      </c>
      <c r="Q39" s="3764"/>
      <c r="R39" s="3810">
        <f>IF(F1="售价",ROUND(IF(D38="简单平均",AVERAGE(R38:W38),R38*F38+T38*H38+V38*J38),0),ROUND(IF(D38="简单平均",AVERAGE(R38:V38),R38*F38+T38*H38+V38*J38),1))</f>
        <v>1119</v>
      </c>
      <c r="S39" s="3810"/>
      <c r="T39" s="3810"/>
      <c r="U39" s="3810"/>
      <c r="V39" s="3810"/>
      <c r="W39" s="3810"/>
      <c r="X39" s="699"/>
      <c r="Y39" s="699"/>
      <c r="Z39" s="699"/>
      <c r="AA39" s="699"/>
      <c r="AB39" s="699"/>
      <c r="AC39" s="699"/>
    </row>
    <row r="40" spans="1:29">
      <c r="A40" s="2952"/>
      <c r="B40" s="2952"/>
      <c r="C40" s="2952"/>
      <c r="D40" s="2952"/>
      <c r="E40" s="2952">
        <f>186000/764</f>
        <v>243.45549738219896</v>
      </c>
      <c r="F40" s="2952"/>
      <c r="G40" s="3325">
        <f>300000/1900</f>
        <v>157.89473684210526</v>
      </c>
      <c r="H40" s="2952"/>
      <c r="I40" s="2952">
        <f>22000/200</f>
        <v>110</v>
      </c>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f>IF(E37&lt;E38,E38/E37-1,E37/E38-1)</f>
        <v>0.12359550561797761</v>
      </c>
      <c r="F42" s="457" t="str">
        <f>IF(OR(E42&gt;=0.3,E42&lt;=-0.3),"超过30%","")</f>
        <v/>
      </c>
      <c r="G42" s="456">
        <f>IF(G37&lt;G38,G38/G37-1,G37/G38-1)</f>
        <v>0.12359550561797761</v>
      </c>
      <c r="H42" s="457" t="str">
        <f>IF(OR(G42&gt;=0.3,G42&lt;=-0.3),"超过30%","")</f>
        <v/>
      </c>
      <c r="I42" s="456">
        <f>IF(I37&lt;I38,I38/I37-1,I37/I38-1)</f>
        <v>6.0070671378091856E-2</v>
      </c>
      <c r="J42" s="457" t="str">
        <f>IF(OR(I42&gt;=0.3,I42&lt;=-0.3),"超过30%","")</f>
        <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f>IF(E38&lt;G38,G38/E38-1,E38/G38-1)</f>
        <v>8.3333333333333259E-2</v>
      </c>
      <c r="F43" s="457" t="str">
        <f>IF(OR(E43&gt;=0.2,E43&lt;=-0.2),"超过20%","")</f>
        <v/>
      </c>
      <c r="G43" s="456">
        <f>IF(G38&lt;I38,I38/G38-1,G38/I38-1)</f>
        <v>2.2084805653710182E-2</v>
      </c>
      <c r="H43" s="457" t="str">
        <f>IF(OR(G43&gt;=0.2,G43&lt;=-0.2),"超过20%","")</f>
        <v/>
      </c>
      <c r="I43" s="456">
        <f>IF(I38&lt;E38,E38/I38-1,I38/E38-1)</f>
        <v>5.9925093632958726E-2</v>
      </c>
      <c r="J43" s="457" t="str">
        <f>IF(OR(I43&gt;=0.2,I43&lt;=-0.2),"超过20%","")</f>
        <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f>IF(E37&lt;G37,G37/E37-1,E37/G37-1)</f>
        <v>8.3333333333333259E-2</v>
      </c>
      <c r="F44" s="457" t="str">
        <f>IF(OR(E44&gt;=0.3,E44&lt;=-0.3),"超过30%","")</f>
        <v/>
      </c>
      <c r="G44" s="456">
        <f>IF(G37&lt;I37,I37/G37-1,G37/I37-1)</f>
        <v>8.3333333333333259E-2</v>
      </c>
      <c r="H44" s="457" t="str">
        <f>IF(OR(G44&gt;=0.3,G44&lt;=-0.3),"超过30%","")</f>
        <v/>
      </c>
      <c r="I44" s="456">
        <f>IF(I37&lt;E37,E37/I37-1,I37/E37-1)</f>
        <v>0</v>
      </c>
      <c r="J44" s="457" t="str">
        <f>IF(OR(I44&gt;=0.3,I44&lt;=-0.3),"超过30%","")</f>
        <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2017-6</v>
      </c>
      <c r="D48" s="1347">
        <f>EDATE(C48,-1)</f>
        <v>42856</v>
      </c>
      <c r="E48" s="1347">
        <f t="shared" ref="E48:O48" si="13">EDATE(D48,-1)</f>
        <v>42826</v>
      </c>
      <c r="F48" s="1347">
        <f t="shared" si="13"/>
        <v>42795</v>
      </c>
      <c r="G48" s="1347">
        <f t="shared" si="13"/>
        <v>42767</v>
      </c>
      <c r="H48" s="1347">
        <f t="shared" si="13"/>
        <v>42736</v>
      </c>
      <c r="I48" s="1347">
        <f t="shared" si="13"/>
        <v>42705</v>
      </c>
      <c r="J48" s="1347">
        <f t="shared" si="13"/>
        <v>42675</v>
      </c>
      <c r="K48" s="1347">
        <f t="shared" si="13"/>
        <v>42644</v>
      </c>
      <c r="L48" s="1347">
        <f t="shared" si="13"/>
        <v>42614</v>
      </c>
      <c r="M48" s="1347">
        <f t="shared" si="13"/>
        <v>42583</v>
      </c>
      <c r="N48" s="1347">
        <f t="shared" si="13"/>
        <v>42552</v>
      </c>
      <c r="O48" s="1347">
        <f t="shared" si="13"/>
        <v>42522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v>100</v>
      </c>
      <c r="E49" s="469">
        <v>100</v>
      </c>
      <c r="F49" s="469">
        <v>100</v>
      </c>
      <c r="G49" s="469">
        <v>100</v>
      </c>
      <c r="H49" s="469">
        <v>100</v>
      </c>
      <c r="I49" s="469">
        <v>100</v>
      </c>
      <c r="J49" s="469">
        <v>100</v>
      </c>
      <c r="K49" s="469">
        <v>100</v>
      </c>
      <c r="L49" s="469">
        <v>100</v>
      </c>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t="str">
        <f>C9</f>
        <v>车库</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t="str">
        <f>B11</f>
        <v>租期</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t="str">
        <f>B12</f>
        <v>产别</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94</v>
      </c>
      <c r="E64" s="501">
        <f>D64-$K14</f>
        <v>88</v>
      </c>
      <c r="F64" s="501">
        <f>E64-$K14</f>
        <v>82</v>
      </c>
      <c r="G64" s="501">
        <f>F64-$K14</f>
        <v>76</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98</v>
      </c>
      <c r="E66" s="501">
        <f>D66-$K16</f>
        <v>96</v>
      </c>
      <c r="F66" s="501">
        <f>E66-$K16</f>
        <v>94</v>
      </c>
      <c r="G66" s="501">
        <f>F66-$K16</f>
        <v>92</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98</v>
      </c>
      <c r="E68" s="501">
        <f>D68-$K18</f>
        <v>96</v>
      </c>
      <c r="F68" s="501">
        <f>E68-$K18</f>
        <v>94</v>
      </c>
      <c r="G68" s="501">
        <f>F68-$K18</f>
        <v>92</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98</v>
      </c>
      <c r="E70" s="501">
        <f>D70-$K20</f>
        <v>96</v>
      </c>
      <c r="F70" s="501">
        <f>E70-$K20</f>
        <v>94</v>
      </c>
      <c r="G70" s="501">
        <f>F70-$K20</f>
        <v>92</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2549</v>
      </c>
      <c r="C79" s="486" t="str">
        <f>C26</f>
        <v>办公</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4">C80-$K26</f>
        <v>97</v>
      </c>
      <c r="E80" s="501">
        <f t="shared" si="14"/>
        <v>94</v>
      </c>
      <c r="F80" s="501">
        <f t="shared" si="14"/>
        <v>91</v>
      </c>
      <c r="G80" s="501">
        <f t="shared" si="14"/>
        <v>88</v>
      </c>
      <c r="H80" s="501">
        <f t="shared" si="14"/>
        <v>85</v>
      </c>
      <c r="I80" s="501">
        <f t="shared" si="14"/>
        <v>82</v>
      </c>
      <c r="J80" s="501">
        <f t="shared" si="14"/>
        <v>79</v>
      </c>
      <c r="K80" s="501">
        <f t="shared" si="14"/>
        <v>76</v>
      </c>
      <c r="L80" s="501">
        <f t="shared" si="14"/>
        <v>73</v>
      </c>
      <c r="M80" s="502">
        <f t="shared" si="14"/>
        <v>70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t="s">
        <v>4055</v>
      </c>
      <c r="D81" s="617" t="s">
        <v>4054</v>
      </c>
      <c r="E81" s="617" t="s">
        <v>4053</v>
      </c>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v>100</v>
      </c>
      <c r="D82" s="493">
        <v>100</v>
      </c>
      <c r="E82" s="493">
        <v>100</v>
      </c>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3168" t="s">
        <v>4299</v>
      </c>
      <c r="D83" s="3168" t="s">
        <v>4298</v>
      </c>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5">C84-$K28</f>
        <v>94</v>
      </c>
      <c r="E84" s="501">
        <f t="shared" si="15"/>
        <v>88</v>
      </c>
      <c r="F84" s="501">
        <f t="shared" si="15"/>
        <v>82</v>
      </c>
      <c r="G84" s="501">
        <f t="shared" si="15"/>
        <v>76</v>
      </c>
      <c r="H84" s="501">
        <f t="shared" si="15"/>
        <v>70</v>
      </c>
      <c r="I84" s="501">
        <f t="shared" si="15"/>
        <v>64</v>
      </c>
      <c r="J84" s="501">
        <f t="shared" si="15"/>
        <v>58</v>
      </c>
      <c r="K84" s="501">
        <f t="shared" si="15"/>
        <v>52</v>
      </c>
      <c r="L84" s="501">
        <f t="shared" si="15"/>
        <v>46</v>
      </c>
      <c r="M84" s="502">
        <f t="shared" si="15"/>
        <v>40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0(含)-20</v>
      </c>
      <c r="D90" s="535" t="str">
        <f t="shared" ref="D90:L90" si="18">D91&amp;"(含)"&amp;"-"&amp;E91</f>
        <v>20(含)-30</v>
      </c>
      <c r="E90" s="535" t="str">
        <f t="shared" si="18"/>
        <v>30(含)-40</v>
      </c>
      <c r="F90" s="535" t="str">
        <f t="shared" si="18"/>
        <v>40(含)-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v>0</v>
      </c>
      <c r="D91" s="552">
        <v>20</v>
      </c>
      <c r="E91" s="552">
        <v>30</v>
      </c>
      <c r="F91" s="552">
        <v>40</v>
      </c>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v>100</v>
      </c>
      <c r="D92" s="493">
        <v>102</v>
      </c>
      <c r="E92" s="493">
        <v>104</v>
      </c>
      <c r="F92" s="493">
        <v>106</v>
      </c>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3168" t="s">
        <v>4301</v>
      </c>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3321" t="s">
        <v>4302</v>
      </c>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8" priority="18" stopIfTrue="1" operator="containsText" text="超过">
      <formula>NOT(ISERROR(SEARCH("超过",F42)))</formula>
    </cfRule>
  </conditionalFormatting>
  <conditionalFormatting sqref="J44">
    <cfRule type="containsText" dxfId="17" priority="17" stopIfTrue="1" operator="containsText" text="超过">
      <formula>NOT(ISERROR(SEARCH("超过",J44)))</formula>
    </cfRule>
  </conditionalFormatting>
  <conditionalFormatting sqref="H44">
    <cfRule type="containsText" dxfId="16" priority="16" stopIfTrue="1" operator="containsText" text="超过">
      <formula>NOT(ISERROR(SEARCH("超过",H44)))</formula>
    </cfRule>
  </conditionalFormatting>
  <conditionalFormatting sqref="F44">
    <cfRule type="containsText" dxfId="15" priority="15" stopIfTrue="1" operator="containsText" text="超过">
      <formula>NOT(ISERROR(SEARCH("超过",F44)))</formula>
    </cfRule>
  </conditionalFormatting>
  <conditionalFormatting sqref="F43 H43 J43">
    <cfRule type="containsText" dxfId="14" priority="14" stopIfTrue="1" operator="containsText" text="超过">
      <formula>NOT(ISERROR(SEARCH("超过",F43)))</formula>
    </cfRule>
  </conditionalFormatting>
  <conditionalFormatting sqref="E42">
    <cfRule type="expression" dxfId="13" priority="13" stopIfTrue="1">
      <formula>$F$42="超过30%"</formula>
    </cfRule>
  </conditionalFormatting>
  <conditionalFormatting sqref="G44">
    <cfRule type="expression" dxfId="12" priority="12" stopIfTrue="1">
      <formula>$H$54+$H$44="超过30%"</formula>
    </cfRule>
  </conditionalFormatting>
  <conditionalFormatting sqref="E43">
    <cfRule type="expression" dxfId="11" priority="11" stopIfTrue="1">
      <formula>$F$43="超过20%"</formula>
    </cfRule>
  </conditionalFormatting>
  <conditionalFormatting sqref="E44">
    <cfRule type="expression" dxfId="10" priority="10" stopIfTrue="1">
      <formula>$F$44="超过30%"</formula>
    </cfRule>
  </conditionalFormatting>
  <conditionalFormatting sqref="G42">
    <cfRule type="expression" dxfId="9" priority="9" stopIfTrue="1">
      <formula>$H$52+$H$42="超过30%"</formula>
    </cfRule>
  </conditionalFormatting>
  <conditionalFormatting sqref="G43">
    <cfRule type="expression" dxfId="8" priority="8" stopIfTrue="1">
      <formula>$H$43="超过20%"</formula>
    </cfRule>
  </conditionalFormatting>
  <conditionalFormatting sqref="I42">
    <cfRule type="expression" dxfId="7" priority="7" stopIfTrue="1">
      <formula>$J$52+$J$42="超过30%"</formula>
    </cfRule>
  </conditionalFormatting>
  <conditionalFormatting sqref="I43">
    <cfRule type="expression" dxfId="6" priority="6" stopIfTrue="1">
      <formula>$J$53+$J$43="超过20%"</formula>
    </cfRule>
  </conditionalFormatting>
  <conditionalFormatting sqref="I44">
    <cfRule type="expression" dxfId="5" priority="5" stopIfTrue="1">
      <formula>$J$44="超过30%"</formula>
    </cfRule>
  </conditionalFormatting>
  <conditionalFormatting sqref="F38">
    <cfRule type="expression" dxfId="4" priority="4">
      <formula>$D$38="简单平均"</formula>
    </cfRule>
  </conditionalFormatting>
  <conditionalFormatting sqref="H38">
    <cfRule type="expression" dxfId="3" priority="3">
      <formula>$D$38="简单平均"</formula>
    </cfRule>
  </conditionalFormatting>
  <conditionalFormatting sqref="J38">
    <cfRule type="expression" dxfId="2" priority="2">
      <formula>$D$38="简单平均"</formula>
    </cfRule>
  </conditionalFormatting>
  <conditionalFormatting sqref="F7:F36 H7:H36 J7:J36">
    <cfRule type="cellIs" dxfId="1" priority="1" operator="notEqual">
      <formula>100</formula>
    </cfRule>
  </conditionalFormatting>
  <dataValidations count="20">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E17 I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 type="list" allowBlank="1" showInputMessage="1" showErrorMessage="1" sqref="D38"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E46"/>
  <sheetViews>
    <sheetView topLeftCell="N1" zoomScaleNormal="100" workbookViewId="0">
      <pane ySplit="1" topLeftCell="A2" activePane="bottomLeft" state="frozen"/>
      <selection activeCell="D1" sqref="D1"/>
      <selection pane="bottomLeft" activeCell="U5" sqref="U5:U6"/>
    </sheetView>
  </sheetViews>
  <sheetFormatPr defaultRowHeight="13.5"/>
  <cols>
    <col min="1" max="1" width="16.5" style="3" customWidth="1"/>
    <col min="2" max="2" width="17.375" style="3" customWidth="1"/>
    <col min="3" max="3" width="12.25" style="3" customWidth="1"/>
    <col min="8" max="8" width="9" customWidth="1"/>
    <col min="9" max="9" width="9.375" style="3304" customWidth="1"/>
    <col min="10" max="10" width="5.625" style="3181" customWidth="1"/>
    <col min="11" max="11" width="5.625" style="3371" customWidth="1"/>
    <col min="12" max="13" width="5.625" style="3181" customWidth="1"/>
    <col min="14" max="15" width="8.375" style="3304" customWidth="1"/>
    <col min="16" max="16" width="8.625" style="3181" customWidth="1"/>
    <col min="17" max="17" width="16.5" style="3304" customWidth="1"/>
    <col min="18" max="20" width="18.625" style="3304" customWidth="1"/>
    <col min="21" max="21" width="9.75" style="3304" customWidth="1"/>
    <col min="22" max="22" width="5.875" customWidth="1"/>
    <col min="23" max="24" width="12.375" customWidth="1"/>
    <col min="25" max="26" width="12.25" customWidth="1"/>
    <col min="27" max="27" width="11" customWidth="1"/>
    <col min="28" max="28" width="9" customWidth="1"/>
    <col min="29" max="29" width="9.25" customWidth="1"/>
    <col min="30" max="30" width="9.375" customWidth="1"/>
    <col min="31" max="31" width="9.125" customWidth="1"/>
  </cols>
  <sheetData>
    <row r="1" spans="1:31" s="3" customFormat="1" ht="27">
      <c r="A1" s="3263" t="s">
        <v>3874</v>
      </c>
      <c r="B1" s="3263" t="s">
        <v>3875</v>
      </c>
      <c r="C1" s="3263" t="s">
        <v>3876</v>
      </c>
      <c r="D1" s="3263" t="s">
        <v>3877</v>
      </c>
      <c r="E1" s="3263" t="s">
        <v>3878</v>
      </c>
      <c r="F1" s="3263" t="s">
        <v>3881</v>
      </c>
      <c r="G1" s="3395" t="s">
        <v>4168</v>
      </c>
      <c r="H1" s="3395" t="s">
        <v>4169</v>
      </c>
      <c r="I1" s="3363" t="s">
        <v>4050</v>
      </c>
      <c r="J1" s="3364" t="s">
        <v>4073</v>
      </c>
      <c r="K1" s="3370" t="s">
        <v>4074</v>
      </c>
      <c r="L1" s="3364" t="s">
        <v>4072</v>
      </c>
      <c r="M1" s="3364" t="s">
        <v>4051</v>
      </c>
      <c r="N1" s="3363" t="s">
        <v>4047</v>
      </c>
      <c r="O1" s="3363" t="s">
        <v>4303</v>
      </c>
      <c r="P1" s="3364" t="s">
        <v>4202</v>
      </c>
      <c r="Q1" s="3363" t="s">
        <v>4163</v>
      </c>
      <c r="R1" s="3401" t="s">
        <v>4164</v>
      </c>
      <c r="S1" s="3401" t="s">
        <v>4165</v>
      </c>
      <c r="T1" s="3401" t="s">
        <v>4166</v>
      </c>
      <c r="U1" s="3353" t="s">
        <v>4048</v>
      </c>
      <c r="V1" s="3248"/>
      <c r="AA1" s="3247">
        <v>5.5E-2</v>
      </c>
      <c r="AB1" s="3">
        <f>ROUND('比较法-大宗交易'!C49/365*面积表及结果!AA1,1)</f>
        <v>5.6</v>
      </c>
    </row>
    <row r="2" spans="1:31" ht="20.25" customHeight="1">
      <c r="A2" s="3244" t="s">
        <v>3851</v>
      </c>
      <c r="B2" s="3263" t="s">
        <v>3879</v>
      </c>
      <c r="C2" s="3354" t="s">
        <v>27</v>
      </c>
      <c r="D2" s="3265" t="s">
        <v>3858</v>
      </c>
      <c r="E2" s="3265">
        <v>3345.2</v>
      </c>
      <c r="F2" s="3264" t="s">
        <v>3882</v>
      </c>
      <c r="G2" s="3883">
        <f>3056.26+E4</f>
        <v>3439.1600000000003</v>
      </c>
      <c r="H2" s="3879">
        <f>E2+E3+E4-J25</f>
        <v>3439.16</v>
      </c>
      <c r="I2" s="3879">
        <f>'比较法-商业租金'!C48</f>
        <v>19.399999999999999</v>
      </c>
      <c r="J2" s="3892">
        <v>1</v>
      </c>
      <c r="K2" s="3893">
        <v>3.43</v>
      </c>
      <c r="L2" s="3892">
        <v>1</v>
      </c>
      <c r="M2" s="3892">
        <v>1</v>
      </c>
      <c r="N2" s="3879">
        <f>I2*J2*L2*M2</f>
        <v>19.399999999999999</v>
      </c>
      <c r="O2" s="3879">
        <f>ROUND(I2*G2*30/10000,2)</f>
        <v>200.16</v>
      </c>
      <c r="P2" s="3895">
        <f>ROUND(P24*P25*P26*P27*P28,2)</f>
        <v>1.01</v>
      </c>
      <c r="Q2" s="3894">
        <f>U19</f>
        <v>6.6</v>
      </c>
      <c r="R2" s="3922">
        <f>ROUND(Q2*AC13,1)</f>
        <v>6.7</v>
      </c>
      <c r="S2" s="3894">
        <f>ROUND(R2*AC14,1)</f>
        <v>7</v>
      </c>
      <c r="T2" s="3894">
        <f>ROUND(S2*AC15,1)</f>
        <v>6.8</v>
      </c>
      <c r="U2" s="3894"/>
      <c r="V2" s="3304"/>
      <c r="W2" s="3189" t="s">
        <v>3811</v>
      </c>
      <c r="Y2" s="3305" t="s">
        <v>3757</v>
      </c>
      <c r="Z2" s="3189" t="s">
        <v>4049</v>
      </c>
      <c r="AA2" s="3189" t="s">
        <v>3812</v>
      </c>
      <c r="AB2" s="3189" t="s">
        <v>4049</v>
      </c>
      <c r="AC2" s="3189" t="s">
        <v>4198</v>
      </c>
      <c r="AD2" s="3433"/>
      <c r="AE2" s="3433"/>
    </row>
    <row r="3" spans="1:31" ht="20.25" customHeight="1">
      <c r="A3" s="3244" t="s">
        <v>3853</v>
      </c>
      <c r="B3" s="3263" t="s">
        <v>3880</v>
      </c>
      <c r="C3" s="3354" t="s">
        <v>1343</v>
      </c>
      <c r="D3" s="3265" t="s">
        <v>3859</v>
      </c>
      <c r="E3" s="3265">
        <v>111.06</v>
      </c>
      <c r="F3" s="3264" t="s">
        <v>3882</v>
      </c>
      <c r="G3" s="3884"/>
      <c r="H3" s="3879"/>
      <c r="I3" s="3879"/>
      <c r="J3" s="3892"/>
      <c r="K3" s="3893"/>
      <c r="L3" s="3892"/>
      <c r="M3" s="3892"/>
      <c r="N3" s="3879"/>
      <c r="O3" s="3879"/>
      <c r="P3" s="3896"/>
      <c r="Q3" s="3894"/>
      <c r="R3" s="3922"/>
      <c r="S3" s="3894"/>
      <c r="T3" s="3894"/>
      <c r="U3" s="3894"/>
      <c r="V3" s="3304"/>
      <c r="X3" s="3189" t="s">
        <v>27</v>
      </c>
      <c r="Y3" s="3919">
        <f>Q19</f>
        <v>7.5</v>
      </c>
      <c r="Z3" s="3917">
        <v>0.6</v>
      </c>
      <c r="AA3" s="3918">
        <f>AB1</f>
        <v>5.6</v>
      </c>
      <c r="AB3" s="3917">
        <f>1-Z3</f>
        <v>0.4</v>
      </c>
      <c r="AC3" s="3921">
        <f>ROUND(Y3*Z3+AA3*AB3,2)</f>
        <v>6.74</v>
      </c>
      <c r="AD3" s="3920"/>
      <c r="AE3" s="3920"/>
    </row>
    <row r="4" spans="1:31" ht="20.25" customHeight="1">
      <c r="A4" s="3244" t="s">
        <v>3851</v>
      </c>
      <c r="B4" s="3244" t="s">
        <v>3852</v>
      </c>
      <c r="C4" s="3354" t="s">
        <v>27</v>
      </c>
      <c r="D4" s="3480" t="s">
        <v>3860</v>
      </c>
      <c r="E4" s="3480">
        <v>382.9</v>
      </c>
      <c r="F4" s="3481" t="s">
        <v>3882</v>
      </c>
      <c r="G4" s="3885"/>
      <c r="H4" s="3879"/>
      <c r="I4" s="3879"/>
      <c r="J4" s="3892"/>
      <c r="K4" s="3893"/>
      <c r="L4" s="3892"/>
      <c r="M4" s="3892"/>
      <c r="N4" s="3879"/>
      <c r="O4" s="3879"/>
      <c r="P4" s="3896"/>
      <c r="Q4" s="3894"/>
      <c r="R4" s="3922"/>
      <c r="S4" s="3894"/>
      <c r="T4" s="3894"/>
      <c r="U4" s="3894"/>
      <c r="V4" s="3304"/>
      <c r="X4" s="3189" t="s">
        <v>1343</v>
      </c>
      <c r="Y4" s="3919"/>
      <c r="Z4" s="3917"/>
      <c r="AA4" s="3918"/>
      <c r="AB4" s="3917"/>
      <c r="AC4" s="3921"/>
      <c r="AD4" s="3920"/>
      <c r="AE4" s="3920"/>
    </row>
    <row r="5" spans="1:31" ht="20.25" customHeight="1">
      <c r="A5" s="3244" t="s">
        <v>3851</v>
      </c>
      <c r="B5" s="3244" t="s">
        <v>3852</v>
      </c>
      <c r="C5" s="3354" t="s">
        <v>27</v>
      </c>
      <c r="D5" s="3265" t="s">
        <v>3861</v>
      </c>
      <c r="E5" s="3265">
        <v>1383.41</v>
      </c>
      <c r="F5" s="3264" t="s">
        <v>3883</v>
      </c>
      <c r="G5" s="3886">
        <v>2835.15</v>
      </c>
      <c r="H5" s="3876">
        <f>E5+E6-J26</f>
        <v>2835.1499999999996</v>
      </c>
      <c r="I5" s="3876"/>
      <c r="J5" s="3900">
        <v>1</v>
      </c>
      <c r="K5" s="3890">
        <v>3.13</v>
      </c>
      <c r="L5" s="3900">
        <v>1.02</v>
      </c>
      <c r="M5" s="3900">
        <v>0.99</v>
      </c>
      <c r="N5" s="3876">
        <f>ROUND($I$8*J5*L5*M5,1)</f>
        <v>9.1</v>
      </c>
      <c r="O5" s="3876">
        <f>ROUND(N5*G5*30/10000,2)</f>
        <v>77.400000000000006</v>
      </c>
      <c r="P5" s="3896"/>
      <c r="Q5" s="3898">
        <f>ROUND(Q2*$G$20*W11/10000,2)</f>
        <v>5578.71</v>
      </c>
      <c r="R5" s="3898">
        <f>ROUND(R2*$G$20*X11/10000,2)</f>
        <v>11295.53</v>
      </c>
      <c r="S5" s="3898">
        <f>ROUND(S2*$G$20*Y11/10000,2)</f>
        <v>11801.3</v>
      </c>
      <c r="T5" s="3898">
        <f>ROUND(T2*$G$20*Z11/10000,2)</f>
        <v>11495.53</v>
      </c>
      <c r="U5" s="3898">
        <f>Q5+R5+S5+T5</f>
        <v>40171.07</v>
      </c>
      <c r="V5" s="3304"/>
      <c r="X5" s="3189" t="s">
        <v>3065</v>
      </c>
      <c r="Y5" s="3919"/>
      <c r="Z5" s="3917"/>
      <c r="AA5" s="3918"/>
      <c r="AB5" s="3917"/>
      <c r="AC5" s="3921"/>
      <c r="AD5" s="3920"/>
      <c r="AE5" s="3920"/>
    </row>
    <row r="6" spans="1:31" ht="20.25" customHeight="1">
      <c r="A6" s="3244" t="s">
        <v>3854</v>
      </c>
      <c r="B6" s="3244" t="s">
        <v>3855</v>
      </c>
      <c r="C6" s="3354" t="s">
        <v>3856</v>
      </c>
      <c r="D6" s="3265" t="s">
        <v>3862</v>
      </c>
      <c r="E6" s="3265">
        <v>2101.7399999999998</v>
      </c>
      <c r="F6" s="3264" t="s">
        <v>3883</v>
      </c>
      <c r="G6" s="3887"/>
      <c r="H6" s="3876"/>
      <c r="I6" s="3876"/>
      <c r="J6" s="3900"/>
      <c r="K6" s="3890"/>
      <c r="L6" s="3900"/>
      <c r="M6" s="3900"/>
      <c r="N6" s="3876"/>
      <c r="O6" s="3876"/>
      <c r="P6" s="3896"/>
      <c r="Q6" s="3898"/>
      <c r="R6" s="3898"/>
      <c r="S6" s="3898"/>
      <c r="T6" s="3898"/>
      <c r="U6" s="3898"/>
      <c r="V6" s="3304"/>
      <c r="X6" s="3189"/>
      <c r="Y6" s="3212"/>
    </row>
    <row r="7" spans="1:31" ht="20.25" customHeight="1">
      <c r="A7" s="3244" t="s">
        <v>3854</v>
      </c>
      <c r="B7" s="3244" t="s">
        <v>3855</v>
      </c>
      <c r="C7" s="3354" t="s">
        <v>3856</v>
      </c>
      <c r="D7" s="3265" t="s">
        <v>3863</v>
      </c>
      <c r="E7" s="3265">
        <v>7369.8</v>
      </c>
      <c r="F7" s="3264" t="s">
        <v>3883</v>
      </c>
      <c r="G7" s="3264">
        <f>3684.9+3684.9</f>
        <v>7369.8</v>
      </c>
      <c r="H7" s="3265">
        <f>E7</f>
        <v>7369.8</v>
      </c>
      <c r="I7" s="3265"/>
      <c r="J7" s="3396">
        <v>1</v>
      </c>
      <c r="K7" s="3397">
        <v>3.13</v>
      </c>
      <c r="L7" s="3396">
        <v>1.02</v>
      </c>
      <c r="M7" s="3396">
        <v>0.99</v>
      </c>
      <c r="N7" s="3265">
        <f>ROUND($I$8*J7*L7*M7,1)</f>
        <v>9.1</v>
      </c>
      <c r="O7" s="3265">
        <f>ROUND(N7*G7*30/10000,2)</f>
        <v>201.2</v>
      </c>
      <c r="P7" s="3896"/>
      <c r="Q7" s="3485" t="s">
        <v>4320</v>
      </c>
      <c r="R7" s="3304">
        <v>98</v>
      </c>
      <c r="X7" s="3189"/>
      <c r="Y7" s="3212"/>
    </row>
    <row r="8" spans="1:31" ht="20.25" customHeight="1">
      <c r="A8" s="3244" t="s">
        <v>3851</v>
      </c>
      <c r="B8" s="3244" t="s">
        <v>3852</v>
      </c>
      <c r="C8" s="3354" t="s">
        <v>27</v>
      </c>
      <c r="D8" s="3265" t="s">
        <v>3864</v>
      </c>
      <c r="E8" s="3265">
        <v>641.71</v>
      </c>
      <c r="F8" s="3264" t="s">
        <v>3883</v>
      </c>
      <c r="G8" s="3886">
        <v>3684.9</v>
      </c>
      <c r="H8" s="3867">
        <f>E8+E9</f>
        <v>3684.9</v>
      </c>
      <c r="I8" s="3867">
        <f>'比较法租金-办公'!C49</f>
        <v>9</v>
      </c>
      <c r="J8" s="3889">
        <v>1</v>
      </c>
      <c r="K8" s="3891">
        <v>2.83</v>
      </c>
      <c r="L8" s="3889">
        <v>1</v>
      </c>
      <c r="M8" s="3889">
        <v>1</v>
      </c>
      <c r="N8" s="3876">
        <f>ROUND($I$8*J8*L8*M8,1)</f>
        <v>9</v>
      </c>
      <c r="O8" s="3867">
        <f>ROUND(N8*G8*30/10000,2)</f>
        <v>99.49</v>
      </c>
      <c r="P8" s="3896"/>
      <c r="Q8" s="3899" t="s">
        <v>4321</v>
      </c>
      <c r="R8" s="3898">
        <v>100</v>
      </c>
      <c r="S8" s="3898">
        <f>S5/365/H21*10000</f>
        <v>10.342006526901283</v>
      </c>
      <c r="T8" s="3898"/>
      <c r="U8" s="3898"/>
      <c r="V8" s="3304"/>
      <c r="X8" s="3189"/>
      <c r="Y8" s="3212"/>
    </row>
    <row r="9" spans="1:31" ht="20.25" customHeight="1">
      <c r="A9" s="3244" t="s">
        <v>3854</v>
      </c>
      <c r="B9" s="3244" t="s">
        <v>3855</v>
      </c>
      <c r="C9" s="3354" t="s">
        <v>3856</v>
      </c>
      <c r="D9" s="3265" t="s">
        <v>3865</v>
      </c>
      <c r="E9" s="3265">
        <v>3043.19</v>
      </c>
      <c r="F9" s="3264" t="s">
        <v>3883</v>
      </c>
      <c r="G9" s="3887"/>
      <c r="H9" s="3867"/>
      <c r="I9" s="3867"/>
      <c r="J9" s="3889"/>
      <c r="K9" s="3891"/>
      <c r="L9" s="3889"/>
      <c r="M9" s="3889"/>
      <c r="N9" s="3876"/>
      <c r="O9" s="3867"/>
      <c r="P9" s="3896"/>
      <c r="Q9" s="3898"/>
      <c r="R9" s="3898"/>
      <c r="S9" s="3898"/>
      <c r="T9" s="3898"/>
      <c r="U9" s="3898"/>
      <c r="V9" s="3304"/>
      <c r="W9" s="3429">
        <v>42914</v>
      </c>
      <c r="X9" s="3429">
        <v>43097</v>
      </c>
      <c r="Y9" s="3430">
        <v>43462</v>
      </c>
      <c r="Z9" s="3430">
        <v>43827</v>
      </c>
    </row>
    <row r="10" spans="1:31" ht="20.25" customHeight="1">
      <c r="A10" s="3244" t="s">
        <v>3851</v>
      </c>
      <c r="B10" s="3244" t="s">
        <v>3852</v>
      </c>
      <c r="C10" s="3354" t="s">
        <v>27</v>
      </c>
      <c r="D10" s="3265" t="s">
        <v>3866</v>
      </c>
      <c r="E10" s="3265">
        <v>3684.9</v>
      </c>
      <c r="F10" s="3264" t="s">
        <v>3883</v>
      </c>
      <c r="G10" s="3264">
        <v>3684.9</v>
      </c>
      <c r="H10" s="3265">
        <f>E10</f>
        <v>3684.9</v>
      </c>
      <c r="I10" s="3265"/>
      <c r="J10" s="3396">
        <v>1</v>
      </c>
      <c r="K10" s="3397">
        <v>3.63</v>
      </c>
      <c r="L10" s="3396">
        <v>1.02</v>
      </c>
      <c r="M10" s="3396">
        <v>1</v>
      </c>
      <c r="N10" s="3265">
        <f>ROUND($I$8*J10*L10*M10,1)</f>
        <v>9.1999999999999993</v>
      </c>
      <c r="O10" s="3471">
        <f>ROUND(N10*G10*30/10000,2)</f>
        <v>101.7</v>
      </c>
      <c r="P10" s="3896"/>
      <c r="Q10" s="3483" t="s">
        <v>4322</v>
      </c>
      <c r="R10" s="3304">
        <v>102</v>
      </c>
      <c r="W10" s="3429">
        <v>43096</v>
      </c>
      <c r="X10" s="3429">
        <v>43461</v>
      </c>
      <c r="Y10" s="3429">
        <v>43826</v>
      </c>
      <c r="Z10" s="3430">
        <v>44192</v>
      </c>
    </row>
    <row r="11" spans="1:31" ht="20.25" customHeight="1">
      <c r="A11" s="3244" t="s">
        <v>3851</v>
      </c>
      <c r="B11" s="3244" t="s">
        <v>3852</v>
      </c>
      <c r="C11" s="3354" t="s">
        <v>27</v>
      </c>
      <c r="D11" s="3265" t="s">
        <v>3867</v>
      </c>
      <c r="E11" s="3265">
        <v>3649.32</v>
      </c>
      <c r="F11" s="3264" t="s">
        <v>3883</v>
      </c>
      <c r="G11" s="3264">
        <v>3649.32</v>
      </c>
      <c r="H11" s="3265">
        <f>E11</f>
        <v>3649.32</v>
      </c>
      <c r="I11" s="3265"/>
      <c r="J11" s="3396">
        <v>1</v>
      </c>
      <c r="K11" s="3397">
        <v>2.4300000000000002</v>
      </c>
      <c r="L11" s="3396">
        <v>0.98</v>
      </c>
      <c r="M11" s="3396">
        <v>1.01</v>
      </c>
      <c r="N11" s="3265">
        <f>ROUND($I$8*J11*L11*M11,1)</f>
        <v>8.9</v>
      </c>
      <c r="O11" s="3471">
        <f>ROUND(N11*G11*30/10000,2)</f>
        <v>97.44</v>
      </c>
      <c r="P11" s="3896"/>
      <c r="Q11" s="3483"/>
      <c r="W11" s="3431">
        <f>W10-W9+1</f>
        <v>183</v>
      </c>
      <c r="X11" s="3431">
        <f>X10-X9+1</f>
        <v>365</v>
      </c>
      <c r="Y11" s="3431">
        <f t="shared" ref="Y11:Z11" si="0">Y10-Y9+1</f>
        <v>365</v>
      </c>
      <c r="Z11" s="3431">
        <f t="shared" si="0"/>
        <v>366</v>
      </c>
    </row>
    <row r="12" spans="1:31" ht="20.25" customHeight="1">
      <c r="A12" s="3244" t="s">
        <v>3851</v>
      </c>
      <c r="B12" s="3244" t="s">
        <v>3852</v>
      </c>
      <c r="C12" s="3354" t="s">
        <v>27</v>
      </c>
      <c r="D12" s="3265" t="s">
        <v>3868</v>
      </c>
      <c r="E12" s="3265">
        <v>6599.88</v>
      </c>
      <c r="F12" s="3264" t="s">
        <v>3883</v>
      </c>
      <c r="G12" s="3264">
        <f>3299.94+3299.94</f>
        <v>6599.88</v>
      </c>
      <c r="H12" s="3265">
        <f>E12</f>
        <v>6599.88</v>
      </c>
      <c r="I12" s="3265"/>
      <c r="J12" s="3396">
        <v>1</v>
      </c>
      <c r="K12" s="3397">
        <v>2.4300000000000002</v>
      </c>
      <c r="L12" s="3396">
        <v>0.98</v>
      </c>
      <c r="M12" s="3396">
        <v>1.01</v>
      </c>
      <c r="N12" s="3265">
        <f>ROUND($I$8*J12*L12*M12,1)</f>
        <v>8.9</v>
      </c>
      <c r="O12" s="3471">
        <f>ROUND(N12*G12*30/10000,2)</f>
        <v>176.22</v>
      </c>
      <c r="P12" s="3896"/>
      <c r="X12" s="3412" t="s">
        <v>4279</v>
      </c>
      <c r="Y12" s="3212">
        <v>1</v>
      </c>
      <c r="Z12" s="3212">
        <v>1</v>
      </c>
      <c r="AA12" s="3212">
        <v>1</v>
      </c>
      <c r="AB12" s="3212"/>
      <c r="AC12" s="3267" t="s">
        <v>4329</v>
      </c>
    </row>
    <row r="13" spans="1:31" ht="20.25" customHeight="1">
      <c r="A13" s="3868" t="s">
        <v>4266</v>
      </c>
      <c r="B13" s="3869"/>
      <c r="C13" s="3869"/>
      <c r="D13" s="3870"/>
      <c r="E13" s="3455">
        <f>SUM(E2:E12)</f>
        <v>32313.11</v>
      </c>
      <c r="F13" s="3264"/>
      <c r="G13" s="3468">
        <f>SUM(G2:G12)</f>
        <v>31263.110000000004</v>
      </c>
      <c r="H13" s="3468">
        <f>SUM(H2:H12)</f>
        <v>31263.110000000004</v>
      </c>
      <c r="I13" s="3872"/>
      <c r="J13" s="3873"/>
      <c r="K13" s="3873"/>
      <c r="L13" s="3873"/>
      <c r="M13" s="3874"/>
      <c r="N13" s="3468">
        <f>ROUND(O13*10000/H13/30,2)</f>
        <v>10.17</v>
      </c>
      <c r="O13" s="3468">
        <f>SUM(O2:O12)</f>
        <v>953.61000000000013</v>
      </c>
      <c r="P13" s="3896"/>
      <c r="Q13" s="3456"/>
      <c r="R13" s="3456"/>
      <c r="S13" s="3456"/>
      <c r="T13" s="3456"/>
      <c r="U13" s="3456"/>
      <c r="X13" s="3412" t="s">
        <v>4276</v>
      </c>
      <c r="Y13" s="3212">
        <f>1+市场走势!E35+市场走势!E36</f>
        <v>1.0131575120186418</v>
      </c>
      <c r="Z13" s="3212">
        <f>1+市场走势!R35+市场走势!R36</f>
        <v>1.0185185185185186</v>
      </c>
      <c r="AA13" s="3212">
        <f>1+市场走势!X10+市场走势!X11</f>
        <v>1.0056180649824016</v>
      </c>
      <c r="AB13" s="3212">
        <f>AVERAGE(Y13:Z13)</f>
        <v>1.0158380152685802</v>
      </c>
      <c r="AC13" s="3502">
        <f>市场走势!T60</f>
        <v>1.0177867004790082</v>
      </c>
    </row>
    <row r="14" spans="1:31" ht="20.25" customHeight="1">
      <c r="A14" s="3244" t="s">
        <v>3851</v>
      </c>
      <c r="B14" s="3244" t="s">
        <v>3852</v>
      </c>
      <c r="C14" s="3354" t="s">
        <v>27</v>
      </c>
      <c r="D14" s="3265" t="s">
        <v>3869</v>
      </c>
      <c r="E14" s="3265">
        <v>3826.8</v>
      </c>
      <c r="F14" s="3264" t="s">
        <v>3882</v>
      </c>
      <c r="G14" s="3886">
        <v>4318.3500000000004</v>
      </c>
      <c r="H14" s="3879">
        <f>E14+E15+E16</f>
        <v>4318.3500000000004</v>
      </c>
      <c r="I14" s="3879">
        <f>'比较法-地下商业租金'!C48</f>
        <v>5.2</v>
      </c>
      <c r="J14" s="3892"/>
      <c r="K14" s="3893">
        <v>3.4</v>
      </c>
      <c r="L14" s="3892"/>
      <c r="M14" s="3892"/>
      <c r="N14" s="3879">
        <f>I14</f>
        <v>5.2</v>
      </c>
      <c r="O14" s="3879">
        <f>ROUND(I14*G14*30/10000,2)</f>
        <v>67.37</v>
      </c>
      <c r="P14" s="3896"/>
      <c r="Q14" s="3877"/>
      <c r="S14" s="3916">
        <v>5.5E-2</v>
      </c>
      <c r="T14" s="3916">
        <v>0.06</v>
      </c>
      <c r="U14" s="3877"/>
      <c r="V14" s="3304"/>
      <c r="X14" s="3412" t="s">
        <v>4277</v>
      </c>
      <c r="Y14" s="3212">
        <f>1+市场走势!E37+市场走势!E38+市场走势!E39+市场走势!E40</f>
        <v>1.0312908150290738</v>
      </c>
      <c r="Z14" s="3212">
        <f>1+市场走势!R37+市场走势!R38+市场走势!R39+市场走势!R40</f>
        <v>1.047906963371859</v>
      </c>
      <c r="AA14" s="3212">
        <f>1+市场走势!X12+市场走势!X13+市场走势!X14+市场走势!X15</f>
        <v>1.0829245070966522</v>
      </c>
      <c r="AB14" s="3212">
        <f t="shared" ref="AB14:AB15" si="1">AVERAGE(Y14:Z14)</f>
        <v>1.0395988892004664</v>
      </c>
      <c r="AC14" s="3502">
        <f>市场走势!T61</f>
        <v>1.0378104203591902</v>
      </c>
    </row>
    <row r="15" spans="1:31" ht="20.25" customHeight="1">
      <c r="A15" s="3244" t="s">
        <v>3854</v>
      </c>
      <c r="B15" s="3244" t="s">
        <v>3855</v>
      </c>
      <c r="C15" s="3354" t="s">
        <v>3856</v>
      </c>
      <c r="D15" s="3265" t="s">
        <v>3870</v>
      </c>
      <c r="E15" s="3265">
        <v>185.77</v>
      </c>
      <c r="F15" s="3264" t="s">
        <v>3882</v>
      </c>
      <c r="G15" s="3888"/>
      <c r="H15" s="3879"/>
      <c r="I15" s="3879"/>
      <c r="J15" s="3892"/>
      <c r="K15" s="3893"/>
      <c r="L15" s="3892"/>
      <c r="M15" s="3892"/>
      <c r="N15" s="3879"/>
      <c r="O15" s="3879"/>
      <c r="P15" s="3896"/>
      <c r="Q15" s="3877"/>
      <c r="R15" s="3304">
        <f>Q19/S19</f>
        <v>1.3392857142857144</v>
      </c>
      <c r="S15" s="3877"/>
      <c r="T15" s="3916"/>
      <c r="U15" s="3877"/>
      <c r="V15" s="3304"/>
      <c r="X15" s="3189" t="s">
        <v>4278</v>
      </c>
      <c r="Y15" s="3212">
        <f>1+市场走势!E41+市场走势!E42+市场走势!E43+市场走势!E44</f>
        <v>0.94147718343052189</v>
      </c>
      <c r="Z15" s="3212">
        <f>1+市场走势!R41+市场走势!R42+市场走势!R43+市场走势!R44</f>
        <v>0.98841417441568236</v>
      </c>
      <c r="AA15" s="3212">
        <f>1+市场走势!X16+市场走势!X17+市场走势!X18+市场走势!X19</f>
        <v>0.98885962564778962</v>
      </c>
      <c r="AB15" s="3212">
        <f t="shared" si="1"/>
        <v>0.96494567892310212</v>
      </c>
      <c r="AC15" s="3502">
        <f>市场走势!T62</f>
        <v>0.96584889399480667</v>
      </c>
    </row>
    <row r="16" spans="1:31" ht="20.25" customHeight="1">
      <c r="A16" s="3244" t="s">
        <v>3854</v>
      </c>
      <c r="B16" s="3244" t="s">
        <v>3855</v>
      </c>
      <c r="C16" s="3354" t="s">
        <v>3856</v>
      </c>
      <c r="D16" s="3265" t="s">
        <v>3871</v>
      </c>
      <c r="E16" s="3265">
        <v>305.77999999999997</v>
      </c>
      <c r="F16" s="3264" t="s">
        <v>3882</v>
      </c>
      <c r="G16" s="3887"/>
      <c r="H16" s="3879"/>
      <c r="I16" s="3879"/>
      <c r="J16" s="3892"/>
      <c r="K16" s="3893"/>
      <c r="L16" s="3892"/>
      <c r="M16" s="3892"/>
      <c r="N16" s="3879"/>
      <c r="O16" s="3879"/>
      <c r="P16" s="3896"/>
      <c r="Q16" s="3877"/>
      <c r="S16" s="3877"/>
      <c r="T16" s="3916"/>
      <c r="U16" s="3877"/>
      <c r="V16" s="3304"/>
      <c r="X16" s="3440"/>
      <c r="Y16" s="3475" t="s">
        <v>4313</v>
      </c>
      <c r="Z16" s="3475" t="s">
        <v>4314</v>
      </c>
      <c r="AA16" s="3189" t="s">
        <v>4315</v>
      </c>
    </row>
    <row r="17" spans="1:24" ht="20.25" customHeight="1">
      <c r="A17" s="3244" t="s">
        <v>3851</v>
      </c>
      <c r="B17" s="3244" t="s">
        <v>3852</v>
      </c>
      <c r="C17" s="3354" t="s">
        <v>27</v>
      </c>
      <c r="D17" s="3265" t="s">
        <v>3872</v>
      </c>
      <c r="E17" s="3265">
        <v>6104.32</v>
      </c>
      <c r="F17" s="3264" t="s">
        <v>3884</v>
      </c>
      <c r="G17" s="3264">
        <v>5654.32</v>
      </c>
      <c r="H17" s="3882">
        <f>E17+E18-J27</f>
        <v>10607.59</v>
      </c>
      <c r="I17" s="3878">
        <f>'比较法-车位租金'!C38</f>
        <v>1119</v>
      </c>
      <c r="J17" s="3880"/>
      <c r="K17" s="3881">
        <v>5.2</v>
      </c>
      <c r="L17" s="3880"/>
      <c r="M17" s="3880">
        <v>127</v>
      </c>
      <c r="N17" s="3878">
        <f>I17</f>
        <v>1119</v>
      </c>
      <c r="O17" s="3878">
        <f>ROUND(I17*M17/10000,2)</f>
        <v>14.21</v>
      </c>
      <c r="P17" s="3896"/>
      <c r="Q17" s="3875" t="s">
        <v>4268</v>
      </c>
      <c r="R17" s="3875" t="s">
        <v>4270</v>
      </c>
      <c r="S17" s="3875" t="s">
        <v>4269</v>
      </c>
      <c r="T17" s="3875" t="s">
        <v>4270</v>
      </c>
      <c r="U17" s="3875" t="s">
        <v>4323</v>
      </c>
      <c r="V17" s="3304"/>
      <c r="W17" s="3189"/>
      <c r="X17" s="3412"/>
    </row>
    <row r="18" spans="1:24" ht="20.25" customHeight="1">
      <c r="A18" s="3244" t="s">
        <v>3854</v>
      </c>
      <c r="B18" s="3244" t="s">
        <v>3857</v>
      </c>
      <c r="C18" s="3354" t="s">
        <v>3856</v>
      </c>
      <c r="D18" s="3265" t="s">
        <v>3873</v>
      </c>
      <c r="E18" s="3265">
        <v>4953.2700000000004</v>
      </c>
      <c r="F18" s="3264" t="s">
        <v>3884</v>
      </c>
      <c r="G18" s="3264">
        <v>4953.2700000000004</v>
      </c>
      <c r="H18" s="3878"/>
      <c r="I18" s="3878"/>
      <c r="J18" s="3880"/>
      <c r="K18" s="3881"/>
      <c r="L18" s="3880"/>
      <c r="M18" s="3880"/>
      <c r="N18" s="3878"/>
      <c r="O18" s="3878"/>
      <c r="P18" s="3897"/>
      <c r="Q18" s="3876"/>
      <c r="R18" s="3876"/>
      <c r="S18" s="3876"/>
      <c r="T18" s="3876"/>
      <c r="U18" s="3876"/>
      <c r="V18" s="3304"/>
      <c r="X18" s="3189"/>
    </row>
    <row r="19" spans="1:24" ht="20.25" customHeight="1">
      <c r="A19" s="3871" t="s">
        <v>4267</v>
      </c>
      <c r="B19" s="3871"/>
      <c r="C19" s="3871"/>
      <c r="D19" s="3871"/>
      <c r="E19" s="3462">
        <f>SUM(E14:E18)</f>
        <v>15375.94</v>
      </c>
      <c r="F19" s="3464"/>
      <c r="G19" s="3464"/>
      <c r="H19" s="3463"/>
      <c r="I19" s="3463"/>
      <c r="J19" s="3465"/>
      <c r="K19" s="3466"/>
      <c r="L19" s="3465"/>
      <c r="M19" s="3465"/>
      <c r="N19" s="3463"/>
      <c r="O19" s="3463"/>
      <c r="P19" s="3467"/>
      <c r="Q19" s="3487">
        <f>ROUND(P20*10000/30/H20,1)</f>
        <v>7.5</v>
      </c>
      <c r="R19" s="3488">
        <v>0.55000000000000004</v>
      </c>
      <c r="S19" s="3484">
        <f>ROUND('比较法-大宗交易'!C49*面积表及结果!S14/365,1)</f>
        <v>5.6</v>
      </c>
      <c r="T19" s="3488">
        <f>1-R19</f>
        <v>0.44999999999999996</v>
      </c>
      <c r="U19" s="3489">
        <f>ROUND(Q19*R19+S19*T19,1)</f>
        <v>6.6</v>
      </c>
      <c r="V19" s="3459" t="s">
        <v>4281</v>
      </c>
      <c r="X19" s="3189"/>
    </row>
    <row r="20" spans="1:24">
      <c r="D20" s="3258"/>
      <c r="E20" s="3266">
        <f>SUM(E2:E18)-E13</f>
        <v>47689.050000000017</v>
      </c>
      <c r="F20" s="3258"/>
      <c r="G20" s="3266">
        <f>SUM(G2:G18)-G13</f>
        <v>46189.050000000017</v>
      </c>
      <c r="H20" s="3266">
        <f>SUM(H2:H18)-H13</f>
        <v>46189.05</v>
      </c>
      <c r="N20" s="3470"/>
      <c r="O20" s="3266">
        <f>SUM(O2:O18)-O13</f>
        <v>1035.19</v>
      </c>
      <c r="P20" s="3469">
        <f>ROUND(O20*P2,2)</f>
        <v>1045.54</v>
      </c>
      <c r="Q20" s="3487">
        <f>ROUND(P20*10000/30/H21,1)</f>
        <v>11.1</v>
      </c>
      <c r="R20" s="3488">
        <f>R19</f>
        <v>0.55000000000000004</v>
      </c>
      <c r="S20" s="3484">
        <f>ROUND('比较法-大宗交易'!C49*面积表及结果!H20*面积表及结果!S14/365/面积表及结果!H21,1)</f>
        <v>8.3000000000000007</v>
      </c>
      <c r="T20" s="3488">
        <f>1-R20</f>
        <v>0.44999999999999996</v>
      </c>
      <c r="U20" s="3489">
        <f>ROUND(Q20*R20+S20*T20,1)</f>
        <v>9.8000000000000007</v>
      </c>
      <c r="V20" s="3189" t="s">
        <v>4282</v>
      </c>
      <c r="X20" s="3189"/>
    </row>
    <row r="21" spans="1:24">
      <c r="D21" s="3258"/>
      <c r="E21" s="3258">
        <f>E20-1500</f>
        <v>46189.050000000017</v>
      </c>
      <c r="F21" s="3258"/>
      <c r="G21" s="3258">
        <f>G2+G5+G7+G8+G10+G11+G12</f>
        <v>31263.110000000004</v>
      </c>
      <c r="H21" s="3258">
        <f>SUM(H2:H12)</f>
        <v>31263.110000000004</v>
      </c>
      <c r="Q21" s="3482">
        <f>Q19/S14*H20*365/10000</f>
        <v>229895.4988636364</v>
      </c>
      <c r="U21" s="3482">
        <f>U19/S14*H20*365/10000</f>
        <v>202308.03899999999</v>
      </c>
    </row>
    <row r="22" spans="1:24" ht="40.5">
      <c r="C22" s="3">
        <f>G17/40</f>
        <v>141.358</v>
      </c>
      <c r="D22" s="3258"/>
      <c r="E22" s="3258">
        <f>E20-E18-E17-E16-E15-E14</f>
        <v>32313.110000000019</v>
      </c>
      <c r="F22" s="3258"/>
      <c r="G22" s="3258">
        <f>G21-382.9</f>
        <v>30880.210000000003</v>
      </c>
      <c r="H22" s="3258"/>
      <c r="L22" s="3353" t="s">
        <v>4075</v>
      </c>
      <c r="Q22" s="3304">
        <f>Q20/S14*H21*365/10000</f>
        <v>230295.43666363638</v>
      </c>
      <c r="S22" s="3304">
        <f>'比较法-大宗交易'!L49</f>
        <v>172391.39131500004</v>
      </c>
      <c r="U22" s="3482">
        <f>U20/S14*H21*365/10000</f>
        <v>203323.89903636367</v>
      </c>
    </row>
    <row r="23" spans="1:24">
      <c r="D23" s="3258"/>
      <c r="E23" s="3258"/>
      <c r="F23" s="3258"/>
      <c r="Q23" s="3482"/>
    </row>
    <row r="24" spans="1:24" ht="27">
      <c r="D24" s="3258"/>
      <c r="E24" s="3456">
        <v>2006</v>
      </c>
      <c r="F24" s="3457" t="s">
        <v>4271</v>
      </c>
      <c r="G24" s="3456">
        <v>2016</v>
      </c>
      <c r="H24" s="3456"/>
      <c r="I24" s="3456"/>
      <c r="J24" s="3181">
        <v>2002</v>
      </c>
      <c r="O24" s="3181" t="s">
        <v>4251</v>
      </c>
      <c r="P24" s="3181">
        <v>1.01</v>
      </c>
      <c r="R24" s="3475" t="s">
        <v>4319</v>
      </c>
      <c r="S24" s="3476">
        <f>ROUND(152000/G20*面积表及结果!S14/365*10000,1)</f>
        <v>5</v>
      </c>
      <c r="T24" s="3476">
        <f>ROUND(155500/H20*面积表及结果!T14/365*10000,1)</f>
        <v>5.5</v>
      </c>
    </row>
    <row r="25" spans="1:24" ht="27">
      <c r="C25" s="3248" t="s">
        <v>4076</v>
      </c>
      <c r="D25" s="3258">
        <v>1</v>
      </c>
      <c r="E25" s="3456">
        <v>342.36</v>
      </c>
      <c r="F25" s="3456">
        <v>385</v>
      </c>
      <c r="G25" s="3456">
        <f>E17-G17</f>
        <v>450</v>
      </c>
      <c r="H25" s="3456">
        <v>1</v>
      </c>
      <c r="I25" s="3456"/>
      <c r="J25" s="3181">
        <v>400</v>
      </c>
      <c r="O25" s="3181" t="s">
        <v>4318</v>
      </c>
      <c r="P25" s="3181">
        <v>0.98</v>
      </c>
      <c r="W25" s="3189"/>
      <c r="X25" s="3189"/>
    </row>
    <row r="26" spans="1:24">
      <c r="D26" s="3258">
        <v>2</v>
      </c>
      <c r="E26" s="3456">
        <v>586.14</v>
      </c>
      <c r="F26" s="3456">
        <v>642</v>
      </c>
      <c r="G26" s="3456">
        <v>400</v>
      </c>
      <c r="H26" s="3456">
        <v>2</v>
      </c>
      <c r="I26" s="3456"/>
      <c r="J26" s="3181">
        <v>650</v>
      </c>
      <c r="O26" s="3181" t="s">
        <v>4252</v>
      </c>
      <c r="P26" s="3181">
        <v>1.05</v>
      </c>
      <c r="X26" s="3189"/>
    </row>
    <row r="27" spans="1:24">
      <c r="D27" s="3258">
        <v>-2</v>
      </c>
      <c r="E27" s="3456">
        <f>1500-E25-E26</f>
        <v>571.49999999999989</v>
      </c>
      <c r="F27" s="3456">
        <f>51.8+64.9+184.2</f>
        <v>300.89999999999998</v>
      </c>
      <c r="G27" s="3456">
        <v>650</v>
      </c>
      <c r="H27" s="3456">
        <v>-2</v>
      </c>
      <c r="I27" s="3456"/>
      <c r="J27" s="3181">
        <v>450</v>
      </c>
      <c r="O27" s="3181" t="s">
        <v>4254</v>
      </c>
      <c r="P27" s="3181">
        <v>0.97</v>
      </c>
      <c r="X27" s="3189"/>
    </row>
    <row r="28" spans="1:24">
      <c r="D28" s="3258"/>
      <c r="E28" s="3258"/>
      <c r="F28" s="3258"/>
      <c r="G28" s="3258"/>
      <c r="H28" s="3258"/>
      <c r="O28" s="3181" t="s">
        <v>4265</v>
      </c>
      <c r="P28" s="3181">
        <v>1</v>
      </c>
    </row>
    <row r="29" spans="1:24">
      <c r="D29" s="3258"/>
      <c r="E29" s="3258"/>
      <c r="F29" s="3258"/>
      <c r="G29" s="3258"/>
      <c r="H29" s="3258"/>
    </row>
    <row r="30" spans="1:24">
      <c r="D30" s="3258"/>
      <c r="E30" s="3258"/>
      <c r="F30" s="3258"/>
      <c r="G30" s="3258"/>
      <c r="H30" s="3258"/>
    </row>
    <row r="31" spans="1:24">
      <c r="D31" s="3258"/>
      <c r="E31" s="3258"/>
      <c r="F31" s="3258"/>
      <c r="G31" s="3258"/>
      <c r="H31" s="3258"/>
    </row>
    <row r="35" spans="1:16" ht="14.25" thickBot="1"/>
    <row r="36" spans="1:16" ht="15.75" thickBot="1">
      <c r="A36" s="3259" t="s">
        <v>3824</v>
      </c>
      <c r="B36" s="3904" t="s">
        <v>3825</v>
      </c>
      <c r="C36" s="3905"/>
      <c r="D36" s="3905"/>
      <c r="E36" s="3905"/>
      <c r="F36" s="3906"/>
      <c r="G36" s="3359"/>
      <c r="H36" s="3355"/>
      <c r="I36" s="3251" t="s">
        <v>3826</v>
      </c>
      <c r="J36" s="3365"/>
      <c r="K36" s="3372"/>
      <c r="L36" s="3365"/>
      <c r="M36" s="3365"/>
      <c r="O36" s="3324"/>
      <c r="P36" s="3365"/>
    </row>
    <row r="37" spans="1:16" ht="15.75" thickBot="1">
      <c r="A37" s="3260" t="s">
        <v>3827</v>
      </c>
      <c r="B37" s="3907" t="s">
        <v>3828</v>
      </c>
      <c r="C37" s="3908"/>
      <c r="D37" s="3908"/>
      <c r="E37" s="3908"/>
      <c r="F37" s="3909"/>
      <c r="G37" s="3366"/>
      <c r="H37" s="3366"/>
      <c r="I37" s="3252" t="s">
        <v>27</v>
      </c>
      <c r="J37" s="3365"/>
      <c r="K37" s="3372"/>
      <c r="L37" s="3365"/>
      <c r="M37" s="3365"/>
      <c r="O37" s="3324"/>
      <c r="P37" s="3365"/>
    </row>
    <row r="38" spans="1:16" ht="15.75" thickBot="1">
      <c r="A38" s="3260" t="s">
        <v>3829</v>
      </c>
      <c r="B38" s="3907" t="s">
        <v>3830</v>
      </c>
      <c r="C38" s="3908"/>
      <c r="D38" s="3908"/>
      <c r="E38" s="3908"/>
      <c r="F38" s="3909"/>
      <c r="G38" s="3360"/>
      <c r="H38" s="3356"/>
      <c r="I38" s="3251" t="s">
        <v>27</v>
      </c>
      <c r="J38" s="3365"/>
      <c r="K38" s="3372"/>
      <c r="L38" s="3365"/>
      <c r="M38" s="3365"/>
      <c r="O38" s="3324"/>
      <c r="P38" s="3365"/>
    </row>
    <row r="39" spans="1:16" ht="15.75" thickBot="1">
      <c r="A39" s="3260" t="s">
        <v>3831</v>
      </c>
      <c r="B39" s="3907" t="s">
        <v>3832</v>
      </c>
      <c r="C39" s="3908"/>
      <c r="D39" s="3908"/>
      <c r="E39" s="3908"/>
      <c r="F39" s="3909"/>
      <c r="G39" s="3367"/>
      <c r="H39" s="3367"/>
      <c r="I39" s="3253" t="s">
        <v>27</v>
      </c>
      <c r="J39" s="3365"/>
      <c r="K39" s="3372"/>
      <c r="L39" s="3365"/>
      <c r="M39" s="3365"/>
      <c r="O39" s="3324"/>
      <c r="P39" s="3365"/>
    </row>
    <row r="40" spans="1:16" ht="30.75" thickBot="1">
      <c r="A40" s="3260" t="s">
        <v>3833</v>
      </c>
      <c r="B40" s="3261" t="s">
        <v>3834</v>
      </c>
      <c r="C40" s="3910" t="s">
        <v>4327</v>
      </c>
      <c r="D40" s="3911"/>
      <c r="E40" s="3911"/>
      <c r="F40" s="3912"/>
      <c r="G40" s="3368"/>
      <c r="H40" s="3368"/>
      <c r="I40" s="3253" t="s">
        <v>27</v>
      </c>
      <c r="J40" s="3365"/>
      <c r="K40" s="3372"/>
      <c r="L40" s="3365"/>
      <c r="M40" s="3365"/>
      <c r="O40" s="3324"/>
      <c r="P40" s="3365"/>
    </row>
    <row r="41" spans="1:16" ht="15.75" thickBot="1">
      <c r="A41" s="3260" t="s">
        <v>3835</v>
      </c>
      <c r="B41" s="3901" t="s">
        <v>3836</v>
      </c>
      <c r="C41" s="3902"/>
      <c r="D41" s="3902"/>
      <c r="E41" s="3902"/>
      <c r="F41" s="3903"/>
      <c r="G41" s="3369"/>
      <c r="H41" s="3369"/>
      <c r="I41" s="3252" t="s">
        <v>27</v>
      </c>
      <c r="J41" s="3365"/>
      <c r="K41" s="3372"/>
      <c r="L41" s="3365"/>
      <c r="M41" s="3365"/>
      <c r="O41" s="3324"/>
      <c r="P41" s="3365"/>
    </row>
    <row r="42" spans="1:16" ht="15.75" thickBot="1">
      <c r="A42" s="3260" t="s">
        <v>3837</v>
      </c>
      <c r="B42" s="3907" t="s">
        <v>3838</v>
      </c>
      <c r="C42" s="3909"/>
      <c r="D42" s="3913" t="s">
        <v>4328</v>
      </c>
      <c r="E42" s="3914"/>
      <c r="F42" s="3915"/>
      <c r="G42" s="3361"/>
      <c r="H42" s="3357"/>
      <c r="I42" s="3251" t="s">
        <v>27</v>
      </c>
      <c r="J42" s="3365"/>
      <c r="K42" s="3372"/>
      <c r="L42" s="3365"/>
      <c r="M42" s="3365"/>
      <c r="O42" s="3324"/>
      <c r="P42" s="3365"/>
    </row>
    <row r="43" spans="1:16" ht="45.75" thickBot="1">
      <c r="A43" s="3260" t="s">
        <v>3839</v>
      </c>
      <c r="B43" s="3907" t="s">
        <v>3840</v>
      </c>
      <c r="C43" s="3908"/>
      <c r="D43" s="3909"/>
      <c r="E43" s="3254" t="s">
        <v>3841</v>
      </c>
      <c r="F43" s="3255" t="s">
        <v>3842</v>
      </c>
      <c r="G43" s="3255"/>
      <c r="H43" s="3255"/>
      <c r="I43" s="3253" t="s">
        <v>1343</v>
      </c>
      <c r="J43" s="3365"/>
      <c r="K43" s="3372"/>
      <c r="L43" s="3365"/>
      <c r="M43" s="3365"/>
      <c r="O43" s="3324"/>
      <c r="P43" s="3365"/>
    </row>
    <row r="44" spans="1:16" ht="60.75" thickBot="1">
      <c r="A44" s="3262" t="s">
        <v>3843</v>
      </c>
      <c r="B44" s="3907" t="s">
        <v>3844</v>
      </c>
      <c r="C44" s="3908"/>
      <c r="D44" s="3909"/>
      <c r="E44" s="3256" t="s">
        <v>3845</v>
      </c>
      <c r="F44" s="3257" t="s">
        <v>3846</v>
      </c>
      <c r="G44" s="3257"/>
      <c r="H44" s="3257"/>
      <c r="I44" s="3253" t="s">
        <v>1343</v>
      </c>
      <c r="J44" s="3365"/>
      <c r="K44" s="3372"/>
      <c r="L44" s="3365"/>
      <c r="M44" s="3365"/>
      <c r="O44" s="3324"/>
      <c r="P44" s="3365"/>
    </row>
    <row r="45" spans="1:16" ht="15.75" thickBot="1">
      <c r="A45" s="3262" t="s">
        <v>3847</v>
      </c>
      <c r="B45" s="3907" t="s">
        <v>3848</v>
      </c>
      <c r="C45" s="3908"/>
      <c r="D45" s="3908"/>
      <c r="E45" s="3908"/>
      <c r="F45" s="3909"/>
      <c r="G45" s="3367"/>
      <c r="H45" s="3367"/>
      <c r="I45" s="3253" t="s">
        <v>3065</v>
      </c>
      <c r="J45" s="3365"/>
      <c r="K45" s="3372"/>
      <c r="L45" s="3365"/>
      <c r="M45" s="3365"/>
      <c r="O45" s="3324"/>
      <c r="P45" s="3365"/>
    </row>
    <row r="46" spans="1:16" ht="15.75" thickBot="1">
      <c r="A46" s="3262" t="s">
        <v>3849</v>
      </c>
      <c r="B46" s="3901" t="s">
        <v>3850</v>
      </c>
      <c r="C46" s="3902"/>
      <c r="D46" s="3902"/>
      <c r="E46" s="3902"/>
      <c r="F46" s="3903"/>
      <c r="G46" s="3256"/>
      <c r="H46" s="3256"/>
      <c r="I46" s="3253" t="s">
        <v>3065</v>
      </c>
      <c r="J46" s="3365"/>
      <c r="K46" s="3372"/>
      <c r="L46" s="3365"/>
      <c r="M46" s="3365"/>
      <c r="O46" s="3324"/>
      <c r="P46" s="3365"/>
    </row>
  </sheetData>
  <mergeCells count="91">
    <mergeCell ref="AE3:AE5"/>
    <mergeCell ref="AC3:AC5"/>
    <mergeCell ref="AD3:AD5"/>
    <mergeCell ref="U14:U16"/>
    <mergeCell ref="R2:R4"/>
    <mergeCell ref="S2:S4"/>
    <mergeCell ref="T2:T4"/>
    <mergeCell ref="U2:U4"/>
    <mergeCell ref="R5:R6"/>
    <mergeCell ref="S5:S6"/>
    <mergeCell ref="T5:T6"/>
    <mergeCell ref="U5:U6"/>
    <mergeCell ref="R8:R9"/>
    <mergeCell ref="S8:S9"/>
    <mergeCell ref="T8:T9"/>
    <mergeCell ref="U8:U9"/>
    <mergeCell ref="I2:I4"/>
    <mergeCell ref="H2:H4"/>
    <mergeCell ref="H5:H6"/>
    <mergeCell ref="H8:H9"/>
    <mergeCell ref="H14:H16"/>
    <mergeCell ref="I14:I16"/>
    <mergeCell ref="S14:S16"/>
    <mergeCell ref="T14:T16"/>
    <mergeCell ref="AB3:AB5"/>
    <mergeCell ref="AA3:AA5"/>
    <mergeCell ref="S17:S18"/>
    <mergeCell ref="T17:T18"/>
    <mergeCell ref="U17:U18"/>
    <mergeCell ref="Z3:Z5"/>
    <mergeCell ref="Y3:Y5"/>
    <mergeCell ref="B46:F46"/>
    <mergeCell ref="B36:F36"/>
    <mergeCell ref="B37:F37"/>
    <mergeCell ref="B38:F38"/>
    <mergeCell ref="B39:F39"/>
    <mergeCell ref="C40:F40"/>
    <mergeCell ref="B41:F41"/>
    <mergeCell ref="B42:C42"/>
    <mergeCell ref="D42:F42"/>
    <mergeCell ref="B43:D43"/>
    <mergeCell ref="B44:D44"/>
    <mergeCell ref="B45:F45"/>
    <mergeCell ref="Q2:Q4"/>
    <mergeCell ref="O2:O4"/>
    <mergeCell ref="J2:J4"/>
    <mergeCell ref="L2:L4"/>
    <mergeCell ref="M2:M4"/>
    <mergeCell ref="K2:K4"/>
    <mergeCell ref="P2:P18"/>
    <mergeCell ref="N5:N6"/>
    <mergeCell ref="Q5:Q6"/>
    <mergeCell ref="N8:N9"/>
    <mergeCell ref="Q8:Q9"/>
    <mergeCell ref="O5:O6"/>
    <mergeCell ref="J5:J6"/>
    <mergeCell ref="L5:L6"/>
    <mergeCell ref="M5:M6"/>
    <mergeCell ref="J8:J9"/>
    <mergeCell ref="G2:G4"/>
    <mergeCell ref="G5:G6"/>
    <mergeCell ref="G8:G9"/>
    <mergeCell ref="G14:G16"/>
    <mergeCell ref="N2:N4"/>
    <mergeCell ref="I8:I9"/>
    <mergeCell ref="L8:L9"/>
    <mergeCell ref="M8:M9"/>
    <mergeCell ref="K5:K6"/>
    <mergeCell ref="K8:K9"/>
    <mergeCell ref="I5:I6"/>
    <mergeCell ref="N14:N16"/>
    <mergeCell ref="J14:J16"/>
    <mergeCell ref="L14:L16"/>
    <mergeCell ref="M14:M16"/>
    <mergeCell ref="K14:K16"/>
    <mergeCell ref="O8:O9"/>
    <mergeCell ref="A13:D13"/>
    <mergeCell ref="A19:D19"/>
    <mergeCell ref="I13:M13"/>
    <mergeCell ref="R17:R18"/>
    <mergeCell ref="Q14:Q16"/>
    <mergeCell ref="I17:I18"/>
    <mergeCell ref="N17:N18"/>
    <mergeCell ref="Q17:Q18"/>
    <mergeCell ref="O14:O16"/>
    <mergeCell ref="O17:O18"/>
    <mergeCell ref="J17:J18"/>
    <mergeCell ref="L17:L18"/>
    <mergeCell ref="M17:M18"/>
    <mergeCell ref="K17:K18"/>
    <mergeCell ref="H17:H18"/>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sheetPr>
  <dimension ref="A1:S158"/>
  <sheetViews>
    <sheetView topLeftCell="A92" zoomScale="90" zoomScaleNormal="90" workbookViewId="0">
      <selection activeCell="B103" sqref="B103:G103"/>
    </sheetView>
  </sheetViews>
  <sheetFormatPr defaultColWidth="11.875" defaultRowHeight="13.5"/>
  <cols>
    <col min="1" max="1" width="14.5" style="3141" customWidth="1"/>
    <col min="2" max="3" width="12.75" style="3141" bestFit="1" customWidth="1"/>
    <col min="4" max="4" width="8.25" style="3144" customWidth="1"/>
    <col min="5" max="5" width="9.125" style="3141" customWidth="1"/>
    <col min="6" max="6" width="6.375" style="3144" customWidth="1"/>
    <col min="7" max="7" width="11.875" style="3141"/>
    <col min="8" max="8" width="13.75" style="3140" customWidth="1"/>
    <col min="9" max="9" width="11.125" style="3141" customWidth="1"/>
    <col min="10" max="10" width="11.875" style="3141"/>
    <col min="11" max="11" width="14.5" style="3141" customWidth="1"/>
    <col min="12" max="12" width="12.625" style="3141" customWidth="1"/>
    <col min="13" max="13" width="10.625" style="3141" customWidth="1"/>
    <col min="14" max="14" width="12.375" style="3141" customWidth="1"/>
    <col min="15" max="15" width="8.625" style="3144" customWidth="1"/>
    <col min="16" max="16" width="8.125" style="3141" customWidth="1"/>
    <col min="17" max="17" width="5.75" style="3141" customWidth="1"/>
    <col min="18" max="16384" width="11.875" style="3141"/>
  </cols>
  <sheetData>
    <row r="1" spans="1:19" s="3135" customFormat="1">
      <c r="A1" s="3135" t="s">
        <v>1335</v>
      </c>
      <c r="B1" s="3135" t="s">
        <v>3230</v>
      </c>
      <c r="C1" s="3135" t="s">
        <v>3231</v>
      </c>
      <c r="D1" s="3136" t="s">
        <v>1320</v>
      </c>
      <c r="E1" s="3135" t="s">
        <v>3232</v>
      </c>
      <c r="F1" s="3136" t="s">
        <v>3233</v>
      </c>
      <c r="G1" s="3135" t="s">
        <v>3234</v>
      </c>
      <c r="H1" s="3137" t="s">
        <v>3235</v>
      </c>
      <c r="I1" s="3135" t="s">
        <v>3236</v>
      </c>
      <c r="J1" s="3135" t="s">
        <v>3237</v>
      </c>
      <c r="O1" s="3164"/>
    </row>
    <row r="2" spans="1:19" ht="27">
      <c r="A2" s="3923" t="s">
        <v>3238</v>
      </c>
      <c r="B2" s="3138" t="s">
        <v>3239</v>
      </c>
      <c r="C2" s="3138">
        <v>674.22</v>
      </c>
      <c r="D2" s="3139">
        <v>14</v>
      </c>
      <c r="E2" s="3138">
        <v>1</v>
      </c>
      <c r="F2" s="3139" t="s">
        <v>3240</v>
      </c>
      <c r="G2" s="3138" t="s">
        <v>3241</v>
      </c>
      <c r="J2" s="3141" t="s">
        <v>3242</v>
      </c>
      <c r="K2" s="3141" t="s">
        <v>3243</v>
      </c>
      <c r="L2" s="3157"/>
      <c r="M2" s="3157"/>
      <c r="N2" s="3157"/>
    </row>
    <row r="3" spans="1:19" ht="27">
      <c r="A3" s="3923"/>
      <c r="B3" s="3157" t="s">
        <v>3245</v>
      </c>
      <c r="C3" s="3157">
        <v>143</v>
      </c>
      <c r="D3" s="3158">
        <v>9</v>
      </c>
      <c r="E3" s="3157">
        <v>1</v>
      </c>
      <c r="F3" s="3158" t="s">
        <v>3240</v>
      </c>
      <c r="G3" s="3157" t="s">
        <v>3246</v>
      </c>
      <c r="J3" s="3141" t="s">
        <v>3247</v>
      </c>
      <c r="L3" s="3157"/>
      <c r="M3" s="3157"/>
      <c r="N3" s="3157"/>
    </row>
    <row r="4" spans="1:19" ht="27">
      <c r="A4" s="3923"/>
      <c r="B4" s="3142" t="s">
        <v>3248</v>
      </c>
      <c r="C4" s="3142">
        <v>1562.47</v>
      </c>
      <c r="D4" s="3143">
        <v>10</v>
      </c>
      <c r="E4" s="3142">
        <v>5</v>
      </c>
      <c r="F4" s="3143" t="s">
        <v>3244</v>
      </c>
      <c r="G4" s="3142" t="s">
        <v>3249</v>
      </c>
      <c r="H4" s="3160"/>
      <c r="L4" s="3157"/>
      <c r="M4" s="3157"/>
      <c r="N4" s="3157"/>
    </row>
    <row r="5" spans="1:19" ht="27">
      <c r="A5" s="3923"/>
      <c r="B5" s="3157" t="s">
        <v>3250</v>
      </c>
      <c r="C5" s="3157">
        <v>777.2</v>
      </c>
      <c r="D5" s="3158">
        <v>9</v>
      </c>
      <c r="E5" s="3157">
        <v>7</v>
      </c>
      <c r="F5" s="3158" t="s">
        <v>3244</v>
      </c>
      <c r="G5" s="3157" t="s">
        <v>3251</v>
      </c>
      <c r="H5" s="3160"/>
      <c r="K5" s="3166" t="s">
        <v>3462</v>
      </c>
      <c r="L5" s="3142" t="str">
        <f>A44</f>
        <v>银河SOHO</v>
      </c>
      <c r="M5" s="3319" t="str">
        <f>G47</f>
        <v>2016.6.1-2024.8.31</v>
      </c>
      <c r="N5" s="3142">
        <f>SUM(C47:C49)</f>
        <v>3795.3199999999997</v>
      </c>
      <c r="O5" s="3143">
        <f>ROUND(SUMPRODUCT(C47:C49,D47:D49)/N5,1)</f>
        <v>9.4</v>
      </c>
      <c r="P5" s="3142">
        <f>E3</f>
        <v>1</v>
      </c>
      <c r="Q5" s="3142" t="str">
        <f>F6</f>
        <v>办公</v>
      </c>
    </row>
    <row r="6" spans="1:19" ht="27">
      <c r="A6" s="3923"/>
      <c r="B6" s="3157" t="s">
        <v>3252</v>
      </c>
      <c r="C6" s="3157">
        <v>1246.92</v>
      </c>
      <c r="D6" s="3158">
        <v>9.8000000000000007</v>
      </c>
      <c r="E6" s="3157">
        <v>9</v>
      </c>
      <c r="F6" s="3158" t="s">
        <v>3244</v>
      </c>
      <c r="G6" s="3157" t="s">
        <v>3253</v>
      </c>
      <c r="H6" s="3160"/>
      <c r="L6" s="3302" t="str">
        <f>A2</f>
        <v>居然大厦</v>
      </c>
      <c r="M6" s="3303" t="str">
        <f>G4</f>
        <v>2017.1.1-2019.12.31</v>
      </c>
      <c r="N6" s="3302">
        <f>C4</f>
        <v>1562.47</v>
      </c>
      <c r="O6" s="3302">
        <f>D4</f>
        <v>10</v>
      </c>
      <c r="P6" s="3302">
        <f>E4</f>
        <v>5</v>
      </c>
      <c r="Q6" s="3302" t="str">
        <f>F7</f>
        <v>办公</v>
      </c>
    </row>
    <row r="7" spans="1:19" ht="27">
      <c r="A7" s="3923"/>
      <c r="B7" s="3157" t="s">
        <v>3248</v>
      </c>
      <c r="C7" s="3157">
        <v>1373.08</v>
      </c>
      <c r="D7" s="3158">
        <v>10</v>
      </c>
      <c r="E7" s="3157">
        <v>10</v>
      </c>
      <c r="F7" s="3158" t="s">
        <v>3244</v>
      </c>
      <c r="G7" s="3157" t="s">
        <v>3249</v>
      </c>
      <c r="H7" s="3160"/>
      <c r="L7" s="3142" t="str">
        <f>A76</f>
        <v>五矿广场</v>
      </c>
      <c r="M7" s="3319" t="str">
        <f>G83</f>
        <v>2017.4.20-2020.4.19</v>
      </c>
      <c r="N7" s="3142">
        <f>C83</f>
        <v>1020.87</v>
      </c>
      <c r="O7" s="3143">
        <f>D83</f>
        <v>11.5</v>
      </c>
      <c r="P7" s="3151" t="str">
        <f>E83</f>
        <v>C3</v>
      </c>
      <c r="Q7" s="3142" t="str">
        <f>F83</f>
        <v>办公</v>
      </c>
    </row>
    <row r="8" spans="1:19" ht="27">
      <c r="A8" s="3923"/>
      <c r="B8" s="3157" t="s">
        <v>3248</v>
      </c>
      <c r="C8" s="3157">
        <v>1132.1600000000001</v>
      </c>
      <c r="D8" s="3158">
        <v>10.5</v>
      </c>
      <c r="E8" s="3157">
        <v>15</v>
      </c>
      <c r="F8" s="3158" t="s">
        <v>3244</v>
      </c>
      <c r="G8" s="3157" t="s">
        <v>3249</v>
      </c>
      <c r="H8" s="3160"/>
      <c r="L8" s="3142" t="str">
        <f>A94</f>
        <v>民生金融大厦</v>
      </c>
      <c r="M8" s="3319" t="str">
        <f>G99</f>
        <v>2017.5.12-2027.5.11</v>
      </c>
      <c r="N8" s="3142">
        <f>C99</f>
        <v>1867.59</v>
      </c>
      <c r="O8" s="3143">
        <f>D99</f>
        <v>12.7</v>
      </c>
      <c r="P8" s="3151" t="str">
        <f>E99</f>
        <v>A5</v>
      </c>
      <c r="Q8" s="3142" t="str">
        <f>F99</f>
        <v>办公</v>
      </c>
    </row>
    <row r="9" spans="1:19" ht="27">
      <c r="A9" s="3923"/>
      <c r="B9" s="3157" t="s">
        <v>3254</v>
      </c>
      <c r="C9" s="3157">
        <v>56.17</v>
      </c>
      <c r="D9" s="3158">
        <v>2.2999999999999998</v>
      </c>
      <c r="E9" s="3157">
        <v>-1</v>
      </c>
      <c r="F9" s="3158" t="s">
        <v>3240</v>
      </c>
      <c r="G9" s="3157" t="s">
        <v>3255</v>
      </c>
      <c r="H9" s="3160"/>
      <c r="J9" s="3141" t="s">
        <v>3256</v>
      </c>
    </row>
    <row r="10" spans="1:19" hidden="1">
      <c r="A10" s="3924" t="s">
        <v>3257</v>
      </c>
      <c r="D10" s="3141"/>
      <c r="F10" s="3141"/>
      <c r="K10" s="3166" t="s">
        <v>3463</v>
      </c>
      <c r="L10" s="3141" t="str">
        <f>A134</f>
        <v>前门大街</v>
      </c>
      <c r="M10" s="3141" t="str">
        <f>B145</f>
        <v>2017.3.1</v>
      </c>
      <c r="N10" s="3141">
        <f>C145</f>
        <v>381.99</v>
      </c>
      <c r="O10" s="3144">
        <f>D145</f>
        <v>20.58</v>
      </c>
      <c r="P10" s="3141">
        <f>E145</f>
        <v>1</v>
      </c>
      <c r="Q10" s="3141" t="str">
        <f>F145</f>
        <v>商业</v>
      </c>
    </row>
    <row r="11" spans="1:19" hidden="1">
      <c r="A11" s="3924"/>
      <c r="K11" s="3166"/>
    </row>
    <row r="12" spans="1:19" ht="27">
      <c r="A12" s="3924"/>
      <c r="B12" s="3297" t="s">
        <v>3973</v>
      </c>
      <c r="C12" s="3298">
        <v>372.82</v>
      </c>
      <c r="D12" s="3299">
        <v>5.78</v>
      </c>
      <c r="E12" s="3298">
        <v>-1</v>
      </c>
      <c r="F12" s="3299" t="s">
        <v>3963</v>
      </c>
      <c r="G12" s="3297" t="s">
        <v>3974</v>
      </c>
      <c r="K12" s="3166"/>
    </row>
    <row r="13" spans="1:19" ht="27">
      <c r="A13" s="3924"/>
      <c r="B13" s="3166" t="s">
        <v>3971</v>
      </c>
      <c r="C13" s="3141">
        <v>153</v>
      </c>
      <c r="D13" s="3144">
        <v>5.48</v>
      </c>
      <c r="E13" s="3141">
        <v>-1</v>
      </c>
      <c r="F13" s="3144" t="s">
        <v>3963</v>
      </c>
      <c r="G13" s="3166" t="s">
        <v>3972</v>
      </c>
      <c r="K13" s="3166"/>
    </row>
    <row r="14" spans="1:19" ht="27">
      <c r="A14" s="3924"/>
      <c r="B14" s="3141" t="s">
        <v>3269</v>
      </c>
      <c r="C14" s="3141">
        <v>480</v>
      </c>
      <c r="D14" s="3144">
        <v>6.94</v>
      </c>
      <c r="E14" s="3141">
        <v>15</v>
      </c>
      <c r="F14" s="3144" t="s">
        <v>3244</v>
      </c>
      <c r="G14" s="3141" t="s">
        <v>3270</v>
      </c>
      <c r="K14" s="3166"/>
    </row>
    <row r="15" spans="1:19" ht="27">
      <c r="A15" s="3924"/>
      <c r="B15" s="3141" t="s">
        <v>3271</v>
      </c>
      <c r="C15" s="3141">
        <v>290</v>
      </c>
      <c r="D15" s="3144">
        <v>7.24</v>
      </c>
      <c r="E15" s="3141">
        <v>15</v>
      </c>
      <c r="F15" s="3144" t="s">
        <v>3244</v>
      </c>
      <c r="G15" s="3141" t="s">
        <v>3272</v>
      </c>
      <c r="K15" s="3166" t="s">
        <v>3986</v>
      </c>
    </row>
    <row r="16" spans="1:19" ht="27">
      <c r="A16" s="3924"/>
      <c r="B16" s="3141" t="s">
        <v>3248</v>
      </c>
      <c r="C16" s="3141">
        <v>260</v>
      </c>
      <c r="D16" s="3144">
        <v>7.8</v>
      </c>
      <c r="E16" s="3141">
        <v>15</v>
      </c>
      <c r="F16" s="3144" t="s">
        <v>3244</v>
      </c>
      <c r="G16" s="3141" t="s">
        <v>3260</v>
      </c>
      <c r="L16" s="3157" t="str">
        <f t="shared" ref="L16:Q16" si="0">A2</f>
        <v>居然大厦</v>
      </c>
      <c r="M16" s="3157" t="str">
        <f>G2</f>
        <v>2016.9.22-2017.9.22</v>
      </c>
      <c r="N16" s="3157">
        <f t="shared" si="0"/>
        <v>674.22</v>
      </c>
      <c r="O16" s="3158">
        <f t="shared" si="0"/>
        <v>14</v>
      </c>
      <c r="P16" s="3157">
        <f t="shared" si="0"/>
        <v>1</v>
      </c>
      <c r="Q16" s="3157" t="str">
        <f t="shared" si="0"/>
        <v>商业</v>
      </c>
      <c r="R16" s="3269" t="s">
        <v>3987</v>
      </c>
      <c r="S16" s="3157"/>
    </row>
    <row r="17" spans="1:18" ht="27">
      <c r="A17" s="3924"/>
      <c r="B17" s="3141" t="s">
        <v>3261</v>
      </c>
      <c r="C17" s="3141">
        <v>185</v>
      </c>
      <c r="D17" s="3144">
        <v>6.5</v>
      </c>
      <c r="E17" s="3141">
        <v>15</v>
      </c>
      <c r="F17" s="3144" t="s">
        <v>3244</v>
      </c>
      <c r="G17" s="3141" t="s">
        <v>3262</v>
      </c>
      <c r="L17" s="3138" t="str">
        <f>A30</f>
        <v>国瑞城</v>
      </c>
      <c r="M17" s="3138" t="str">
        <f>G31</f>
        <v>2017.5.31-2020.5.30</v>
      </c>
      <c r="N17" s="3138">
        <f>C31</f>
        <v>227.5</v>
      </c>
      <c r="O17" s="3139">
        <f>ROUND(D31,1)</f>
        <v>16.100000000000001</v>
      </c>
      <c r="P17" s="3146" t="str">
        <f>E31</f>
        <v>1层</v>
      </c>
      <c r="Q17" s="3138" t="str">
        <f>F31</f>
        <v>商业</v>
      </c>
    </row>
    <row r="18" spans="1:18" ht="27">
      <c r="A18" s="3924"/>
      <c r="B18" s="3141" t="s">
        <v>3258</v>
      </c>
      <c r="C18" s="3141">
        <v>697</v>
      </c>
      <c r="D18" s="3144">
        <v>6.67</v>
      </c>
      <c r="E18" s="3141">
        <v>15</v>
      </c>
      <c r="F18" s="3144" t="s">
        <v>3244</v>
      </c>
      <c r="G18" s="3141" t="s">
        <v>3259</v>
      </c>
      <c r="L18" s="3157" t="str">
        <f>A134</f>
        <v>前门大街</v>
      </c>
      <c r="M18" s="3157" t="str">
        <f>G145</f>
        <v>2017.3.1-2025.2.28</v>
      </c>
      <c r="N18" s="3157">
        <f>C145</f>
        <v>381.99</v>
      </c>
      <c r="O18" s="3158">
        <f t="shared" ref="O18:Q18" si="1">D145</f>
        <v>20.58</v>
      </c>
      <c r="P18" s="3157">
        <f t="shared" si="1"/>
        <v>1</v>
      </c>
      <c r="Q18" s="3157" t="str">
        <f t="shared" si="1"/>
        <v>商业</v>
      </c>
    </row>
    <row r="19" spans="1:18" ht="27">
      <c r="A19" s="3924"/>
      <c r="B19" s="3157" t="s">
        <v>3263</v>
      </c>
      <c r="C19" s="3157">
        <v>1286.5</v>
      </c>
      <c r="D19" s="3158">
        <v>5.9</v>
      </c>
      <c r="E19" s="3157">
        <v>5</v>
      </c>
      <c r="F19" s="3158" t="s">
        <v>3244</v>
      </c>
      <c r="G19" s="3157" t="s">
        <v>3264</v>
      </c>
      <c r="L19" s="3141" t="str">
        <f>A125</f>
        <v>万豪中心</v>
      </c>
      <c r="M19" s="3166" t="str">
        <f>G130</f>
        <v>2016.3.1-2021.2.28</v>
      </c>
      <c r="N19" s="3141">
        <f>C130</f>
        <v>170</v>
      </c>
      <c r="O19" s="3144">
        <f>ROUND(D130,1)</f>
        <v>15.2</v>
      </c>
      <c r="P19" s="3141">
        <v>1</v>
      </c>
      <c r="Q19" s="3166" t="s">
        <v>3240</v>
      </c>
    </row>
    <row r="20" spans="1:18" ht="27">
      <c r="A20" s="3924"/>
      <c r="B20" s="3141" t="s">
        <v>3265</v>
      </c>
      <c r="C20" s="3141">
        <v>237</v>
      </c>
      <c r="D20" s="3144">
        <v>8</v>
      </c>
      <c r="E20" s="3141">
        <v>21</v>
      </c>
      <c r="F20" s="3144" t="s">
        <v>3244</v>
      </c>
      <c r="G20" s="3141" t="s">
        <v>3266</v>
      </c>
      <c r="L20" s="3320" t="str">
        <f>A44</f>
        <v>银河SOHO</v>
      </c>
      <c r="M20" s="3320" t="str">
        <f>G44</f>
        <v>2013.4.1-2023.3.31</v>
      </c>
      <c r="N20" s="3320">
        <f t="shared" ref="N20:Q20" si="2">C44</f>
        <v>673.84999999999991</v>
      </c>
      <c r="O20" s="3163">
        <f>ROUND(D44*1.05,1)</f>
        <v>16</v>
      </c>
      <c r="P20" s="3320" t="str">
        <f t="shared" si="2"/>
        <v>1</v>
      </c>
      <c r="Q20" s="3320" t="str">
        <f t="shared" si="2"/>
        <v>商业</v>
      </c>
      <c r="R20" s="3166" t="s">
        <v>3988</v>
      </c>
    </row>
    <row r="21" spans="1:18" ht="27">
      <c r="A21" s="3924"/>
      <c r="B21" s="3141" t="s">
        <v>3267</v>
      </c>
      <c r="C21" s="3141">
        <v>240</v>
      </c>
      <c r="D21" s="3144">
        <v>7.5</v>
      </c>
      <c r="E21" s="3141">
        <v>22</v>
      </c>
      <c r="F21" s="3144" t="s">
        <v>3244</v>
      </c>
      <c r="G21" s="3141" t="s">
        <v>3268</v>
      </c>
      <c r="K21" s="3166"/>
      <c r="L21" s="3320" t="str">
        <f>A76</f>
        <v>五矿广场</v>
      </c>
      <c r="M21" s="3320" t="str">
        <f>G77</f>
        <v>2015.8.17-2018.8.16</v>
      </c>
      <c r="N21" s="3320">
        <f t="shared" ref="N21:Q21" si="3">C77</f>
        <v>130</v>
      </c>
      <c r="O21" s="3163">
        <f>ROUND(D77,1)</f>
        <v>17.600000000000001</v>
      </c>
      <c r="P21" s="3320" t="str">
        <f t="shared" si="3"/>
        <v>1</v>
      </c>
      <c r="Q21" s="3320" t="str">
        <f t="shared" si="3"/>
        <v>商业</v>
      </c>
      <c r="R21" s="3166" t="s">
        <v>3983</v>
      </c>
    </row>
    <row r="22" spans="1:18" ht="27">
      <c r="A22" s="3923" t="s">
        <v>3273</v>
      </c>
      <c r="B22" s="3141" t="s">
        <v>3274</v>
      </c>
      <c r="C22" s="3141">
        <v>280.19</v>
      </c>
      <c r="D22" s="3144">
        <v>8.1999999999999993</v>
      </c>
      <c r="E22" s="3141">
        <v>1</v>
      </c>
      <c r="F22" s="3144" t="s">
        <v>3240</v>
      </c>
      <c r="G22" s="3141" t="s">
        <v>3275</v>
      </c>
      <c r="L22" s="3157"/>
      <c r="M22" s="3157"/>
      <c r="N22" s="3157"/>
      <c r="O22" s="3158"/>
      <c r="P22" s="3157"/>
      <c r="Q22" s="3157"/>
    </row>
    <row r="23" spans="1:18" ht="27">
      <c r="A23" s="3923"/>
      <c r="B23" s="3141" t="s">
        <v>3276</v>
      </c>
      <c r="C23" s="3141">
        <v>303.89999999999998</v>
      </c>
      <c r="D23" s="3144">
        <v>8.5</v>
      </c>
      <c r="E23" s="3141">
        <v>1</v>
      </c>
      <c r="F23" s="3144" t="s">
        <v>3240</v>
      </c>
      <c r="G23" s="3141" t="s">
        <v>3277</v>
      </c>
    </row>
    <row r="24" spans="1:18" ht="27">
      <c r="A24" s="3923"/>
      <c r="B24" s="3141" t="s">
        <v>3278</v>
      </c>
      <c r="C24" s="3141">
        <v>75</v>
      </c>
      <c r="D24" s="3144">
        <v>8.06</v>
      </c>
      <c r="E24" s="3141">
        <v>1</v>
      </c>
      <c r="F24" s="3144" t="s">
        <v>3240</v>
      </c>
      <c r="G24" s="3141" t="s">
        <v>3279</v>
      </c>
      <c r="K24" s="3166" t="s">
        <v>3975</v>
      </c>
    </row>
    <row r="25" spans="1:18" ht="40.5">
      <c r="A25" s="3923"/>
      <c r="B25" s="3141" t="s">
        <v>3280</v>
      </c>
      <c r="C25" s="3141">
        <v>77</v>
      </c>
      <c r="D25" s="3144">
        <v>9.33</v>
      </c>
      <c r="E25" s="3141">
        <v>1</v>
      </c>
      <c r="F25" s="3144" t="s">
        <v>3240</v>
      </c>
      <c r="G25" s="3141" t="s">
        <v>3281</v>
      </c>
      <c r="K25" s="3166"/>
      <c r="L25" s="3298" t="str">
        <f>A10</f>
        <v>丰联大厦</v>
      </c>
      <c r="M25" s="3298" t="str">
        <f>G12</f>
        <v>2016.10.17-2019.10.16</v>
      </c>
      <c r="N25" s="3298">
        <f t="shared" ref="N25:Q25" si="4">C12</f>
        <v>372.82</v>
      </c>
      <c r="O25" s="3299">
        <f>ROUND(D12,1)</f>
        <v>5.8</v>
      </c>
      <c r="P25" s="3298">
        <f t="shared" si="4"/>
        <v>-1</v>
      </c>
      <c r="Q25" s="3298" t="str">
        <f t="shared" si="4"/>
        <v>商业</v>
      </c>
    </row>
    <row r="26" spans="1:18" ht="27">
      <c r="A26" s="3923"/>
      <c r="B26" s="3157" t="s">
        <v>3282</v>
      </c>
      <c r="C26" s="3157">
        <v>257.83</v>
      </c>
      <c r="D26" s="3158">
        <v>10.130000000000001</v>
      </c>
      <c r="E26" s="3157">
        <v>1</v>
      </c>
      <c r="F26" s="3158" t="s">
        <v>3240</v>
      </c>
      <c r="G26" s="3157" t="s">
        <v>3283</v>
      </c>
      <c r="H26" s="3160"/>
      <c r="L26" s="3297" t="s">
        <v>4020</v>
      </c>
      <c r="M26" s="3298" t="str">
        <f>G46</f>
        <v>2016.4.28-2021.7.27</v>
      </c>
      <c r="N26" s="3298">
        <f t="shared" ref="N26:Q26" si="5">C46</f>
        <v>366</v>
      </c>
      <c r="O26" s="3299">
        <f>ROUND(D46,1)</f>
        <v>4.9000000000000004</v>
      </c>
      <c r="P26" s="3298" t="str">
        <f t="shared" si="5"/>
        <v>-1</v>
      </c>
      <c r="Q26" s="3298" t="str">
        <f t="shared" si="5"/>
        <v>商业</v>
      </c>
    </row>
    <row r="27" spans="1:18" ht="40.5">
      <c r="A27" s="3923"/>
      <c r="B27" s="3141">
        <v>2020.6</v>
      </c>
      <c r="C27" s="3141">
        <v>207</v>
      </c>
      <c r="D27" s="3144">
        <v>11.3</v>
      </c>
      <c r="E27" s="3141" t="s">
        <v>3284</v>
      </c>
      <c r="F27" s="3144" t="s">
        <v>3244</v>
      </c>
      <c r="G27" s="3141" t="s">
        <v>3285</v>
      </c>
      <c r="L27" s="3166" t="s">
        <v>4021</v>
      </c>
      <c r="M27" s="3141" t="str">
        <f>G51</f>
        <v>2016.12.31-2021.12.30</v>
      </c>
      <c r="N27" s="3141">
        <f t="shared" ref="N27:Q27" si="6">C51</f>
        <v>703</v>
      </c>
      <c r="O27" s="3144">
        <f t="shared" si="6"/>
        <v>3.25</v>
      </c>
      <c r="P27" s="3141" t="str">
        <f t="shared" si="6"/>
        <v>-1</v>
      </c>
      <c r="Q27" s="3141" t="str">
        <f t="shared" si="6"/>
        <v>商业</v>
      </c>
    </row>
    <row r="28" spans="1:18" ht="27">
      <c r="A28" s="3923"/>
      <c r="B28" s="3141">
        <v>2019.1</v>
      </c>
      <c r="C28" s="3141">
        <v>525</v>
      </c>
      <c r="D28" s="3144">
        <v>9.0500000000000007</v>
      </c>
      <c r="E28" s="3141" t="s">
        <v>3286</v>
      </c>
      <c r="F28" s="3144" t="s">
        <v>3244</v>
      </c>
      <c r="G28" s="3141" t="s">
        <v>3287</v>
      </c>
      <c r="H28" s="3140">
        <v>0.05</v>
      </c>
      <c r="L28" s="3297" t="s">
        <v>4019</v>
      </c>
      <c r="M28" s="3298" t="str">
        <f>G45</f>
        <v>2014.7.10-2021.7.9</v>
      </c>
      <c r="N28" s="3298">
        <f t="shared" ref="N28:Q28" si="7">C45</f>
        <v>269.83</v>
      </c>
      <c r="O28" s="3299">
        <f>ROUND(D45,1)</f>
        <v>6</v>
      </c>
      <c r="P28" s="3298" t="str">
        <f t="shared" si="7"/>
        <v>-1</v>
      </c>
      <c r="Q28" s="3298" t="str">
        <f t="shared" si="7"/>
        <v>商业</v>
      </c>
    </row>
    <row r="29" spans="1:18" ht="27">
      <c r="A29" s="3923"/>
      <c r="B29" s="3141">
        <v>2019.8</v>
      </c>
      <c r="C29" s="3141">
        <v>464</v>
      </c>
      <c r="D29" s="3144">
        <v>10.65</v>
      </c>
      <c r="E29" s="3141" t="s">
        <v>3288</v>
      </c>
      <c r="F29" s="3144" t="s">
        <v>3244</v>
      </c>
      <c r="G29" s="3141" t="s">
        <v>3289</v>
      </c>
      <c r="H29" s="3140">
        <v>0.05</v>
      </c>
      <c r="L29" s="3166" t="s">
        <v>4019</v>
      </c>
      <c r="M29" s="3141" t="str">
        <f>G53</f>
        <v>2017.9.1-2021.8.31</v>
      </c>
      <c r="N29" s="3141">
        <f t="shared" ref="N29:Q29" si="8">C53</f>
        <v>232</v>
      </c>
      <c r="O29" s="3144">
        <f t="shared" si="8"/>
        <v>5.25</v>
      </c>
      <c r="P29" s="3141" t="str">
        <f t="shared" si="8"/>
        <v>-1</v>
      </c>
      <c r="Q29" s="3141" t="str">
        <f t="shared" si="8"/>
        <v>商业</v>
      </c>
    </row>
    <row r="30" spans="1:18" ht="27">
      <c r="A30" s="3924" t="s">
        <v>3290</v>
      </c>
      <c r="B30" s="3161" t="s">
        <v>3291</v>
      </c>
      <c r="C30" s="3157">
        <v>375</v>
      </c>
      <c r="D30" s="3158">
        <v>11.19</v>
      </c>
      <c r="E30" s="3159" t="s">
        <v>3284</v>
      </c>
      <c r="F30" s="3158" t="s">
        <v>1343</v>
      </c>
      <c r="G30" s="3157" t="s">
        <v>3292</v>
      </c>
    </row>
    <row r="31" spans="1:18" ht="27">
      <c r="A31" s="3924"/>
      <c r="B31" s="3145" t="s">
        <v>3293</v>
      </c>
      <c r="C31" s="3138">
        <v>227.5</v>
      </c>
      <c r="D31" s="3139">
        <v>16.12</v>
      </c>
      <c r="E31" s="3146" t="s">
        <v>3284</v>
      </c>
      <c r="F31" s="3139" t="s">
        <v>1343</v>
      </c>
      <c r="G31" s="3138" t="s">
        <v>3294</v>
      </c>
    </row>
    <row r="32" spans="1:18" ht="27">
      <c r="A32" s="3924"/>
      <c r="B32" s="3" t="s">
        <v>3295</v>
      </c>
      <c r="C32" s="3141">
        <v>124</v>
      </c>
      <c r="D32" s="3144">
        <v>17.100000000000001</v>
      </c>
      <c r="E32" s="3147" t="s">
        <v>3284</v>
      </c>
      <c r="F32" s="3144" t="s">
        <v>1343</v>
      </c>
      <c r="G32" s="3141" t="s">
        <v>3296</v>
      </c>
      <c r="K32" s="3166" t="s">
        <v>3989</v>
      </c>
      <c r="L32" s="3166" t="s">
        <v>3990</v>
      </c>
      <c r="O32" s="3144">
        <v>1200</v>
      </c>
      <c r="Q32" s="3166" t="s">
        <v>3991</v>
      </c>
    </row>
    <row r="33" spans="1:17" ht="27">
      <c r="A33" s="3924"/>
      <c r="B33" s="3" t="s">
        <v>3297</v>
      </c>
      <c r="C33" s="3141">
        <v>195</v>
      </c>
      <c r="D33" s="3144">
        <v>14.63</v>
      </c>
      <c r="E33" s="3147" t="s">
        <v>3284</v>
      </c>
      <c r="F33" s="3144" t="s">
        <v>1343</v>
      </c>
      <c r="G33" s="3141" t="s">
        <v>3298</v>
      </c>
      <c r="L33" s="3141" t="str">
        <f>A104</f>
        <v>东方广场</v>
      </c>
      <c r="M33" s="3141">
        <v>2016.12</v>
      </c>
      <c r="O33" s="3144">
        <f>D109</f>
        <v>1038</v>
      </c>
      <c r="Q33" s="3166" t="s">
        <v>3991</v>
      </c>
    </row>
    <row r="34" spans="1:17" ht="27">
      <c r="A34" s="3924"/>
      <c r="B34" s="3" t="s">
        <v>3278</v>
      </c>
      <c r="C34" s="3141">
        <v>446</v>
      </c>
      <c r="D34" s="3144">
        <v>16.899999999999999</v>
      </c>
      <c r="E34" s="3147" t="s">
        <v>3284</v>
      </c>
      <c r="F34" s="3144" t="s">
        <v>1343</v>
      </c>
      <c r="G34" s="3141" t="s">
        <v>3299</v>
      </c>
      <c r="L34" s="3141" t="str">
        <f>A150</f>
        <v>德信京汇</v>
      </c>
      <c r="M34" s="3141" t="str">
        <f>B153</f>
        <v>2017.5.1</v>
      </c>
      <c r="O34" s="3144">
        <v>1200</v>
      </c>
      <c r="Q34" s="3166" t="s">
        <v>3991</v>
      </c>
    </row>
    <row r="35" spans="1:17" ht="27">
      <c r="A35" s="3924"/>
      <c r="B35" s="3161" t="s">
        <v>3278</v>
      </c>
      <c r="C35" s="3157">
        <v>453</v>
      </c>
      <c r="D35" s="3158">
        <v>14.67</v>
      </c>
      <c r="E35" s="3159" t="s">
        <v>3284</v>
      </c>
      <c r="F35" s="3158" t="s">
        <v>1343</v>
      </c>
      <c r="G35" s="3157" t="s">
        <v>3300</v>
      </c>
      <c r="Q35" s="3166"/>
    </row>
    <row r="36" spans="1:17" ht="27">
      <c r="A36" s="3924"/>
      <c r="B36" s="3" t="s">
        <v>3297</v>
      </c>
      <c r="C36" s="3141">
        <v>233</v>
      </c>
      <c r="D36" s="3144">
        <v>14.59</v>
      </c>
      <c r="E36" s="3147" t="s">
        <v>3284</v>
      </c>
      <c r="F36" s="3144" t="s">
        <v>1343</v>
      </c>
      <c r="G36" s="3141" t="s">
        <v>3298</v>
      </c>
    </row>
    <row r="37" spans="1:17" ht="27">
      <c r="A37" s="3924"/>
      <c r="B37" s="3161" t="s">
        <v>3301</v>
      </c>
      <c r="C37" s="3157">
        <v>713</v>
      </c>
      <c r="D37" s="3158">
        <v>7.93</v>
      </c>
      <c r="E37" s="3159" t="s">
        <v>3284</v>
      </c>
      <c r="F37" s="3158" t="s">
        <v>1343</v>
      </c>
      <c r="G37" s="3157" t="s">
        <v>3302</v>
      </c>
    </row>
    <row r="38" spans="1:17" ht="27">
      <c r="A38" s="3924"/>
      <c r="B38" s="3" t="s">
        <v>3303</v>
      </c>
      <c r="C38" s="3141">
        <v>105</v>
      </c>
      <c r="D38" s="3144">
        <v>10.64</v>
      </c>
      <c r="E38" s="3147" t="s">
        <v>3284</v>
      </c>
      <c r="F38" s="3144" t="s">
        <v>1343</v>
      </c>
      <c r="G38" s="3141" t="s">
        <v>3304</v>
      </c>
    </row>
    <row r="39" spans="1:17" ht="40.5" customHeight="1">
      <c r="A39" s="3155" t="s">
        <v>3305</v>
      </c>
      <c r="B39" s="3141" t="s">
        <v>3291</v>
      </c>
      <c r="C39" s="3141">
        <v>213.76</v>
      </c>
      <c r="D39" s="3144">
        <v>30</v>
      </c>
      <c r="E39" s="3147">
        <v>1</v>
      </c>
      <c r="F39" s="3144" t="s">
        <v>3240</v>
      </c>
      <c r="G39" s="3141" t="s">
        <v>3292</v>
      </c>
      <c r="I39" s="3141" t="s">
        <v>3306</v>
      </c>
      <c r="J39" s="3141" t="s">
        <v>3307</v>
      </c>
    </row>
    <row r="40" spans="1:17" ht="27" hidden="1" customHeight="1">
      <c r="A40" s="3924" t="s">
        <v>3308</v>
      </c>
      <c r="B40" s="3141" t="s">
        <v>3309</v>
      </c>
      <c r="C40" s="3141">
        <v>1000.86</v>
      </c>
      <c r="D40" s="3144">
        <v>7.33</v>
      </c>
      <c r="E40" s="3147">
        <v>16</v>
      </c>
      <c r="F40" s="3144" t="s">
        <v>3244</v>
      </c>
      <c r="G40" s="3141" t="s">
        <v>3310</v>
      </c>
      <c r="H40" s="3140">
        <v>0.05</v>
      </c>
    </row>
    <row r="41" spans="1:17" ht="13.5" hidden="1" customHeight="1">
      <c r="A41" s="3924"/>
      <c r="B41" s="3141" t="s">
        <v>3311</v>
      </c>
      <c r="D41" s="3144">
        <v>1200</v>
      </c>
      <c r="E41" s="3147" t="s">
        <v>3312</v>
      </c>
      <c r="F41" s="3144" t="s">
        <v>3313</v>
      </c>
    </row>
    <row r="42" spans="1:17" ht="27" customHeight="1">
      <c r="A42" s="3923" t="s">
        <v>3314</v>
      </c>
      <c r="B42" s="3141" t="s">
        <v>3315</v>
      </c>
      <c r="C42" s="3141">
        <v>6641.86</v>
      </c>
      <c r="D42" s="3144">
        <f>ROUND(7800000/365/C42,1)</f>
        <v>3.2</v>
      </c>
      <c r="E42" s="3147" t="s">
        <v>3316</v>
      </c>
      <c r="F42" s="3144" t="s">
        <v>3244</v>
      </c>
      <c r="G42" s="3141" t="s">
        <v>3317</v>
      </c>
      <c r="H42" s="3140" t="s">
        <v>3318</v>
      </c>
      <c r="I42" s="3141" t="s">
        <v>3319</v>
      </c>
      <c r="J42" s="3141" t="s">
        <v>3320</v>
      </c>
    </row>
    <row r="43" spans="1:17" ht="27">
      <c r="A43" s="3923"/>
      <c r="B43" s="3141" t="s">
        <v>3321</v>
      </c>
      <c r="C43" s="3141">
        <v>609.49</v>
      </c>
      <c r="D43" s="3144">
        <f>ROUND(1500000/365/C43,1)</f>
        <v>6.7</v>
      </c>
      <c r="E43" s="3147" t="s">
        <v>3322</v>
      </c>
      <c r="F43" s="3144" t="s">
        <v>3240</v>
      </c>
      <c r="G43" s="3141" t="s">
        <v>3323</v>
      </c>
      <c r="H43" s="3140" t="s">
        <v>3324</v>
      </c>
      <c r="I43" s="3141" t="s">
        <v>3325</v>
      </c>
      <c r="J43" s="3141" t="s">
        <v>3326</v>
      </c>
    </row>
    <row r="44" spans="1:17" ht="27">
      <c r="A44" s="3925" t="s">
        <v>3327</v>
      </c>
      <c r="B44" s="3295" t="s">
        <v>3962</v>
      </c>
      <c r="C44" s="3138">
        <f>344.51+329.34</f>
        <v>673.84999999999991</v>
      </c>
      <c r="D44" s="3139">
        <v>15.21</v>
      </c>
      <c r="E44" s="3296" t="s">
        <v>3331</v>
      </c>
      <c r="F44" s="3139" t="s">
        <v>3963</v>
      </c>
      <c r="G44" s="3295" t="s">
        <v>3964</v>
      </c>
      <c r="H44" s="3306" t="s">
        <v>3996</v>
      </c>
      <c r="J44" s="3166" t="s">
        <v>3965</v>
      </c>
    </row>
    <row r="45" spans="1:17" ht="27">
      <c r="A45" s="3926"/>
      <c r="B45" s="3166" t="s">
        <v>3966</v>
      </c>
      <c r="C45" s="3141">
        <v>269.83</v>
      </c>
      <c r="D45" s="3144">
        <v>6.02</v>
      </c>
      <c r="E45" s="3270" t="s">
        <v>3967</v>
      </c>
      <c r="F45" s="3144" t="s">
        <v>3963</v>
      </c>
      <c r="G45" s="3166" t="s">
        <v>3968</v>
      </c>
      <c r="H45" s="3306" t="s">
        <v>4001</v>
      </c>
      <c r="J45" s="3166" t="s">
        <v>3969</v>
      </c>
    </row>
    <row r="46" spans="1:17" ht="27">
      <c r="A46" s="3926"/>
      <c r="B46" s="3" t="s">
        <v>3328</v>
      </c>
      <c r="C46" s="3141">
        <v>366</v>
      </c>
      <c r="D46" s="3144">
        <v>4.91</v>
      </c>
      <c r="E46" s="3147" t="s">
        <v>3329</v>
      </c>
      <c r="F46" s="3144" t="s">
        <v>3240</v>
      </c>
      <c r="G46" s="3166" t="s">
        <v>3908</v>
      </c>
      <c r="H46" s="3306" t="s">
        <v>4002</v>
      </c>
      <c r="J46" s="3166" t="s">
        <v>3970</v>
      </c>
    </row>
    <row r="47" spans="1:17">
      <c r="A47" s="3926"/>
      <c r="B47" s="3932" t="s">
        <v>3330</v>
      </c>
      <c r="C47" s="3142">
        <v>1346.66</v>
      </c>
      <c r="D47" s="3143">
        <v>9.3000000000000007</v>
      </c>
      <c r="E47" s="3285" t="s">
        <v>3340</v>
      </c>
      <c r="F47" s="3143" t="s">
        <v>3244</v>
      </c>
      <c r="G47" s="3933" t="s">
        <v>3907</v>
      </c>
      <c r="H47" s="3307" t="s">
        <v>3997</v>
      </c>
    </row>
    <row r="48" spans="1:17">
      <c r="A48" s="3926"/>
      <c r="B48" s="3932"/>
      <c r="C48" s="3142">
        <v>1362.34</v>
      </c>
      <c r="D48" s="3143">
        <v>9.44</v>
      </c>
      <c r="E48" s="3285" t="s">
        <v>3452</v>
      </c>
      <c r="F48" s="3143" t="s">
        <v>3244</v>
      </c>
      <c r="G48" s="3934"/>
      <c r="H48" s="3307" t="s">
        <v>3998</v>
      </c>
    </row>
    <row r="49" spans="1:18">
      <c r="A49" s="3926"/>
      <c r="B49" s="3932"/>
      <c r="C49" s="3142">
        <v>1086.32</v>
      </c>
      <c r="D49" s="3143">
        <v>9.34</v>
      </c>
      <c r="E49" s="3285" t="s">
        <v>3906</v>
      </c>
      <c r="F49" s="3143" t="s">
        <v>3244</v>
      </c>
      <c r="G49" s="3934"/>
      <c r="H49" s="3307" t="s">
        <v>3999</v>
      </c>
    </row>
    <row r="50" spans="1:18" ht="27">
      <c r="A50" s="3926"/>
      <c r="B50" s="3" t="s">
        <v>3330</v>
      </c>
      <c r="C50" s="3141">
        <v>1266.5999999999999</v>
      </c>
      <c r="D50" s="3144">
        <v>7.51</v>
      </c>
      <c r="E50" s="3147" t="s">
        <v>3331</v>
      </c>
      <c r="F50" s="3144" t="s">
        <v>3240</v>
      </c>
      <c r="G50" s="3166" t="s">
        <v>3909</v>
      </c>
      <c r="H50" s="3307" t="s">
        <v>4000</v>
      </c>
      <c r="J50" s="3308"/>
      <c r="K50" s="3308"/>
      <c r="L50" s="3308"/>
      <c r="M50" s="3308"/>
      <c r="N50" s="3308"/>
      <c r="O50" s="3309"/>
      <c r="P50" s="3308"/>
      <c r="Q50" s="3308"/>
      <c r="R50" s="3308"/>
    </row>
    <row r="51" spans="1:18" ht="27">
      <c r="A51" s="3926"/>
      <c r="B51" s="3" t="s">
        <v>3332</v>
      </c>
      <c r="C51" s="3141">
        <v>703</v>
      </c>
      <c r="D51" s="3144">
        <v>3.25</v>
      </c>
      <c r="E51" s="3147" t="s">
        <v>3329</v>
      </c>
      <c r="F51" s="3144" t="s">
        <v>3240</v>
      </c>
      <c r="G51" s="3166" t="s">
        <v>3910</v>
      </c>
      <c r="H51" s="3307" t="s">
        <v>4003</v>
      </c>
      <c r="J51" s="3271"/>
      <c r="K51" s="3271"/>
      <c r="L51" s="3271"/>
      <c r="M51" s="3271"/>
      <c r="N51" s="3271"/>
      <c r="O51" s="3310"/>
      <c r="P51" s="3271"/>
      <c r="Q51" s="3271"/>
      <c r="R51" s="3271"/>
    </row>
    <row r="52" spans="1:18" ht="27">
      <c r="A52" s="3926"/>
      <c r="B52" s="3" t="s">
        <v>3334</v>
      </c>
      <c r="C52" s="3141">
        <v>291</v>
      </c>
      <c r="D52" s="3144">
        <v>5.24</v>
      </c>
      <c r="E52" s="3147" t="s">
        <v>3331</v>
      </c>
      <c r="F52" s="3144" t="s">
        <v>3240</v>
      </c>
      <c r="G52" s="3166" t="s">
        <v>3911</v>
      </c>
      <c r="H52" s="3307" t="s">
        <v>4009</v>
      </c>
      <c r="J52" s="3271"/>
      <c r="K52" s="3311"/>
      <c r="L52" s="3272"/>
      <c r="M52" s="3272"/>
      <c r="N52" s="3272"/>
      <c r="O52" s="3273"/>
      <c r="P52" s="3272"/>
      <c r="Q52" s="3272"/>
      <c r="R52" s="3271"/>
    </row>
    <row r="53" spans="1:18" ht="27">
      <c r="A53" s="3926"/>
      <c r="B53" s="3" t="s">
        <v>3335</v>
      </c>
      <c r="C53" s="3141">
        <v>232</v>
      </c>
      <c r="D53" s="3144">
        <v>5.25</v>
      </c>
      <c r="E53" s="3147" t="s">
        <v>3329</v>
      </c>
      <c r="F53" s="3144" t="s">
        <v>3240</v>
      </c>
      <c r="G53" s="3166" t="s">
        <v>3912</v>
      </c>
      <c r="H53" s="3307" t="s">
        <v>4004</v>
      </c>
      <c r="J53" s="3271"/>
      <c r="K53" s="3271"/>
      <c r="L53" s="3272"/>
      <c r="M53" s="3272"/>
      <c r="N53" s="3272"/>
      <c r="O53" s="3273"/>
      <c r="P53" s="3272"/>
      <c r="Q53" s="3272"/>
      <c r="R53" s="3271"/>
    </row>
    <row r="54" spans="1:18" ht="27">
      <c r="A54" s="3926"/>
      <c r="B54" s="3" t="s">
        <v>3336</v>
      </c>
      <c r="C54" s="3141">
        <v>1145</v>
      </c>
      <c r="D54" s="3144">
        <v>3.59</v>
      </c>
      <c r="E54" s="3147" t="s">
        <v>3329</v>
      </c>
      <c r="F54" s="3144" t="s">
        <v>3240</v>
      </c>
      <c r="G54" s="3166" t="s">
        <v>3913</v>
      </c>
      <c r="H54" s="3307" t="s">
        <v>4005</v>
      </c>
      <c r="J54" s="3271"/>
      <c r="K54" s="3271"/>
      <c r="L54" s="3272"/>
      <c r="M54" s="3272"/>
      <c r="N54" s="3272"/>
      <c r="O54" s="3273"/>
      <c r="P54" s="3272"/>
      <c r="Q54" s="3272"/>
      <c r="R54" s="3271"/>
    </row>
    <row r="55" spans="1:18" ht="27">
      <c r="A55" s="3926"/>
      <c r="B55" s="3248" t="s">
        <v>3920</v>
      </c>
      <c r="C55" s="3141">
        <v>239.41</v>
      </c>
      <c r="D55" s="3144">
        <v>8</v>
      </c>
      <c r="E55" s="3270" t="s">
        <v>3921</v>
      </c>
      <c r="F55" s="3144" t="s">
        <v>3882</v>
      </c>
      <c r="G55" s="3248" t="s">
        <v>3919</v>
      </c>
      <c r="H55" s="3307" t="s">
        <v>4008</v>
      </c>
      <c r="J55" s="3271"/>
      <c r="K55" s="3271"/>
      <c r="L55" s="3272"/>
      <c r="M55" s="3272"/>
      <c r="N55" s="3272"/>
      <c r="O55" s="3273"/>
      <c r="P55" s="3272"/>
      <c r="Q55" s="3272"/>
      <c r="R55" s="3271"/>
    </row>
    <row r="56" spans="1:18" ht="27">
      <c r="A56" s="3926"/>
      <c r="B56" s="3161" t="s">
        <v>3341</v>
      </c>
      <c r="C56" s="3157">
        <v>364</v>
      </c>
      <c r="D56" s="3158">
        <v>5.07</v>
      </c>
      <c r="E56" s="3159" t="s">
        <v>3331</v>
      </c>
      <c r="F56" s="3158" t="s">
        <v>3244</v>
      </c>
      <c r="G56" s="3269" t="s">
        <v>3914</v>
      </c>
      <c r="H56" s="3307" t="s">
        <v>4006</v>
      </c>
    </row>
    <row r="57" spans="1:18" ht="27">
      <c r="A57" s="3926"/>
      <c r="B57" s="3" t="s">
        <v>3342</v>
      </c>
      <c r="C57" s="3141">
        <v>144</v>
      </c>
      <c r="D57" s="3144">
        <v>8.3800000000000008</v>
      </c>
      <c r="E57" s="3147" t="s">
        <v>3343</v>
      </c>
      <c r="F57" s="3144" t="s">
        <v>3244</v>
      </c>
      <c r="G57" s="3166" t="s">
        <v>3915</v>
      </c>
      <c r="H57" s="3307" t="s">
        <v>4007</v>
      </c>
    </row>
    <row r="58" spans="1:18" ht="27">
      <c r="A58" s="3926"/>
      <c r="B58" s="3" t="s">
        <v>3344</v>
      </c>
      <c r="C58" s="3141">
        <v>435</v>
      </c>
      <c r="D58" s="3144">
        <v>7.21</v>
      </c>
      <c r="E58" s="3147" t="s">
        <v>3345</v>
      </c>
      <c r="F58" s="3144" t="s">
        <v>3244</v>
      </c>
      <c r="G58" s="3166" t="s">
        <v>3916</v>
      </c>
      <c r="H58" s="3307" t="s">
        <v>4010</v>
      </c>
    </row>
    <row r="59" spans="1:18" ht="27.75" thickBot="1">
      <c r="A59" s="3926"/>
      <c r="B59" s="3" t="s">
        <v>3337</v>
      </c>
      <c r="C59" s="3141">
        <v>406</v>
      </c>
      <c r="D59" s="3144">
        <v>4.9000000000000004</v>
      </c>
      <c r="E59" s="3147" t="s">
        <v>3329</v>
      </c>
      <c r="F59" s="3144" t="s">
        <v>3240</v>
      </c>
      <c r="G59" s="3166" t="s">
        <v>3917</v>
      </c>
      <c r="H59" s="3307" t="s">
        <v>4011</v>
      </c>
      <c r="J59" s="3148"/>
      <c r="K59" s="3150"/>
      <c r="L59" s="3150"/>
      <c r="M59" s="3150"/>
      <c r="N59" s="3150"/>
      <c r="O59" s="3268"/>
      <c r="P59" s="3150"/>
      <c r="Q59" s="3150"/>
      <c r="R59" s="3150"/>
    </row>
    <row r="60" spans="1:18" ht="27.75" thickBot="1">
      <c r="A60" s="3926"/>
      <c r="B60" s="3" t="s">
        <v>3346</v>
      </c>
      <c r="C60" s="3141">
        <v>257</v>
      </c>
      <c r="D60" s="3144">
        <v>5.66</v>
      </c>
      <c r="E60" s="3147" t="s">
        <v>3343</v>
      </c>
      <c r="F60" s="3144" t="s">
        <v>3244</v>
      </c>
      <c r="G60" s="3166" t="s">
        <v>3918</v>
      </c>
      <c r="H60" s="3307" t="s">
        <v>4012</v>
      </c>
      <c r="J60" s="3148"/>
      <c r="K60" s="3150"/>
      <c r="L60" s="3150"/>
      <c r="M60" s="3150"/>
      <c r="N60" s="3150"/>
      <c r="O60" s="3268"/>
      <c r="P60" s="3150"/>
      <c r="Q60" s="3150"/>
      <c r="R60" s="3150"/>
    </row>
    <row r="61" spans="1:18" ht="27.75" thickBot="1">
      <c r="A61" s="3926"/>
      <c r="B61" s="3157" t="s">
        <v>3339</v>
      </c>
      <c r="C61" s="3157">
        <v>202</v>
      </c>
      <c r="D61" s="3158">
        <v>5.4</v>
      </c>
      <c r="E61" s="3159" t="s">
        <v>3329</v>
      </c>
      <c r="F61" s="3158" t="s">
        <v>3240</v>
      </c>
      <c r="G61" s="3166" t="s">
        <v>4013</v>
      </c>
      <c r="H61" s="3306" t="s">
        <v>4016</v>
      </c>
      <c r="J61" s="3148"/>
      <c r="K61" s="3150"/>
      <c r="L61" s="3150"/>
      <c r="M61" s="3150"/>
      <c r="N61" s="3150"/>
      <c r="O61" s="3268"/>
      <c r="P61" s="3150"/>
      <c r="Q61" s="3150"/>
      <c r="R61" s="3150"/>
    </row>
    <row r="62" spans="1:18" ht="27.75" thickBot="1">
      <c r="A62" s="3926"/>
      <c r="B62" s="3141" t="s">
        <v>3339</v>
      </c>
      <c r="C62" s="3141">
        <v>203</v>
      </c>
      <c r="D62" s="3144">
        <v>6.95</v>
      </c>
      <c r="E62" s="3147" t="s">
        <v>3345</v>
      </c>
      <c r="F62" s="3144" t="s">
        <v>3244</v>
      </c>
      <c r="G62" s="3166" t="s">
        <v>4014</v>
      </c>
      <c r="H62" s="3306" t="s">
        <v>4017</v>
      </c>
      <c r="J62" s="3148" t="s">
        <v>3347</v>
      </c>
      <c r="K62" s="3150" t="s">
        <v>3348</v>
      </c>
      <c r="L62" s="3149">
        <v>2011</v>
      </c>
      <c r="M62" s="3149">
        <v>250000</v>
      </c>
      <c r="N62" s="3149">
        <v>45000</v>
      </c>
      <c r="O62" s="3165">
        <v>23</v>
      </c>
      <c r="P62" s="3149">
        <v>2.8</v>
      </c>
      <c r="Q62" s="3149">
        <v>3000</v>
      </c>
      <c r="R62" s="3150" t="s">
        <v>3338</v>
      </c>
    </row>
    <row r="63" spans="1:18" ht="27.75" thickBot="1">
      <c r="A63" s="3927"/>
      <c r="B63" s="3141" t="s">
        <v>3349</v>
      </c>
      <c r="C63" s="3141">
        <v>700</v>
      </c>
      <c r="D63" s="3144">
        <v>4.0199999999999996</v>
      </c>
      <c r="E63" s="3147" t="s">
        <v>3329</v>
      </c>
      <c r="F63" s="3144" t="s">
        <v>3244</v>
      </c>
      <c r="G63" s="3166" t="s">
        <v>4015</v>
      </c>
      <c r="H63" s="3306" t="s">
        <v>4018</v>
      </c>
      <c r="J63" s="3148" t="s">
        <v>3350</v>
      </c>
      <c r="K63" s="3150" t="s">
        <v>3351</v>
      </c>
      <c r="L63" s="3149">
        <v>2003</v>
      </c>
      <c r="M63" s="3149">
        <v>800000</v>
      </c>
      <c r="N63" s="3149">
        <v>100000</v>
      </c>
      <c r="O63" s="3165">
        <v>25</v>
      </c>
      <c r="P63" s="3149">
        <v>3.5</v>
      </c>
      <c r="Q63" s="3149">
        <v>3000</v>
      </c>
      <c r="R63" s="3150" t="s">
        <v>3352</v>
      </c>
    </row>
    <row r="64" spans="1:18" ht="26.25" thickBot="1">
      <c r="A64" s="3924" t="s">
        <v>3353</v>
      </c>
      <c r="B64" s="3141" t="s">
        <v>3254</v>
      </c>
      <c r="C64" s="3928" t="s">
        <v>3354</v>
      </c>
      <c r="D64" s="3144">
        <f>452900</f>
        <v>452900</v>
      </c>
      <c r="E64" s="3147" t="s">
        <v>3331</v>
      </c>
      <c r="F64" s="3144" t="s">
        <v>3240</v>
      </c>
      <c r="J64" s="3148" t="s">
        <v>3355</v>
      </c>
      <c r="K64" s="3150" t="s">
        <v>3356</v>
      </c>
      <c r="L64" s="3149">
        <v>2006</v>
      </c>
      <c r="M64" s="3149">
        <v>128000</v>
      </c>
      <c r="N64" s="3149">
        <v>25800</v>
      </c>
      <c r="O64" s="3165">
        <v>18</v>
      </c>
      <c r="P64" s="3150" t="s">
        <v>70</v>
      </c>
      <c r="Q64" s="3150" t="s">
        <v>70</v>
      </c>
      <c r="R64" s="3150" t="s">
        <v>3357</v>
      </c>
    </row>
    <row r="65" spans="1:18" ht="14.25" thickBot="1">
      <c r="A65" s="3924"/>
      <c r="B65" s="3141" t="s">
        <v>3248</v>
      </c>
      <c r="C65" s="3928"/>
      <c r="D65" s="3144">
        <v>452900</v>
      </c>
      <c r="E65" s="3147" t="s">
        <v>3331</v>
      </c>
      <c r="F65" s="3144" t="s">
        <v>3240</v>
      </c>
      <c r="J65" s="3148" t="s">
        <v>3358</v>
      </c>
      <c r="K65" s="3150" t="s">
        <v>3359</v>
      </c>
      <c r="L65" s="3149">
        <v>2003</v>
      </c>
      <c r="M65" s="3149">
        <v>64455</v>
      </c>
      <c r="N65" s="3149">
        <v>5600</v>
      </c>
      <c r="O65" s="3165">
        <v>22</v>
      </c>
      <c r="P65" s="3149">
        <v>2.5</v>
      </c>
      <c r="Q65" s="3149">
        <v>2600</v>
      </c>
      <c r="R65" s="3152" t="s">
        <v>3360</v>
      </c>
    </row>
    <row r="66" spans="1:18">
      <c r="A66" s="3924"/>
      <c r="B66" s="3141" t="s">
        <v>3361</v>
      </c>
      <c r="C66" s="3928"/>
      <c r="D66" s="3144">
        <v>452900</v>
      </c>
      <c r="E66" s="3147" t="s">
        <v>3331</v>
      </c>
      <c r="F66" s="3144" t="s">
        <v>3240</v>
      </c>
    </row>
    <row r="67" spans="1:18">
      <c r="A67" s="3924"/>
      <c r="B67" s="3141" t="s">
        <v>3362</v>
      </c>
      <c r="C67" s="3928"/>
      <c r="D67" s="3144">
        <v>360000</v>
      </c>
      <c r="E67" s="3147" t="s">
        <v>3331</v>
      </c>
      <c r="F67" s="3144" t="s">
        <v>3240</v>
      </c>
    </row>
    <row r="68" spans="1:18">
      <c r="A68" s="3924"/>
      <c r="B68" s="3141" t="s">
        <v>3363</v>
      </c>
      <c r="C68" s="3928"/>
      <c r="D68" s="3144">
        <v>240000</v>
      </c>
      <c r="E68" s="3147" t="s">
        <v>3331</v>
      </c>
      <c r="F68" s="3144" t="s">
        <v>3240</v>
      </c>
    </row>
    <row r="69" spans="1:18">
      <c r="A69" s="3924"/>
      <c r="B69" s="3141" t="s">
        <v>3364</v>
      </c>
      <c r="C69" s="3928"/>
      <c r="D69" s="3144">
        <v>240000</v>
      </c>
      <c r="E69" s="3147" t="s">
        <v>3331</v>
      </c>
      <c r="F69" s="3144" t="s">
        <v>3240</v>
      </c>
    </row>
    <row r="70" spans="1:18">
      <c r="A70" s="3924"/>
      <c r="B70" s="3141" t="s">
        <v>3365</v>
      </c>
      <c r="C70" s="3928"/>
      <c r="D70" s="3144">
        <v>240000</v>
      </c>
      <c r="E70" s="3147" t="s">
        <v>3331</v>
      </c>
      <c r="F70" s="3144" t="s">
        <v>3240</v>
      </c>
    </row>
    <row r="71" spans="1:18" ht="27">
      <c r="A71" s="3924"/>
      <c r="B71" s="3141" t="s">
        <v>3366</v>
      </c>
      <c r="C71" s="3928">
        <v>337.8</v>
      </c>
      <c r="D71" s="3144">
        <f>739282</f>
        <v>739282</v>
      </c>
      <c r="E71" s="3929">
        <v>1</v>
      </c>
      <c r="F71" s="3144" t="s">
        <v>3240</v>
      </c>
      <c r="G71" s="3141" t="s">
        <v>3367</v>
      </c>
      <c r="I71" s="3141" t="s">
        <v>3368</v>
      </c>
    </row>
    <row r="72" spans="1:18">
      <c r="A72" s="3924"/>
      <c r="B72" s="3141" t="s">
        <v>3369</v>
      </c>
      <c r="C72" s="3928"/>
      <c r="D72" s="3144">
        <v>369891</v>
      </c>
      <c r="E72" s="3929"/>
    </row>
    <row r="73" spans="1:18">
      <c r="A73" s="3924"/>
      <c r="B73" s="3141" t="s">
        <v>3254</v>
      </c>
      <c r="C73" s="3928"/>
      <c r="D73" s="3144">
        <v>295913</v>
      </c>
      <c r="E73" s="3929"/>
    </row>
    <row r="74" spans="1:18">
      <c r="A74" s="3924"/>
      <c r="B74" s="3141" t="s">
        <v>3363</v>
      </c>
      <c r="C74" s="3928"/>
      <c r="D74" s="3144">
        <v>240000</v>
      </c>
      <c r="E74" s="3929"/>
    </row>
    <row r="75" spans="1:18" ht="27">
      <c r="A75" s="3924"/>
      <c r="B75" s="3141" t="s">
        <v>3370</v>
      </c>
      <c r="C75" s="3141">
        <v>86</v>
      </c>
      <c r="D75" s="3144">
        <v>480000</v>
      </c>
      <c r="E75" s="3147"/>
      <c r="F75" s="3144" t="s">
        <v>3240</v>
      </c>
      <c r="G75" s="3141" t="s">
        <v>3371</v>
      </c>
      <c r="O75" s="3144" t="s">
        <v>3372</v>
      </c>
    </row>
    <row r="76" spans="1:18" ht="27">
      <c r="A76" s="3931" t="s">
        <v>3961</v>
      </c>
      <c r="B76" s="3141" t="s">
        <v>3384</v>
      </c>
      <c r="C76" s="3141">
        <v>10808</v>
      </c>
      <c r="D76" s="3144">
        <v>10.33</v>
      </c>
      <c r="E76" s="3147" t="s">
        <v>3385</v>
      </c>
      <c r="F76" s="3144" t="s">
        <v>3244</v>
      </c>
      <c r="G76" s="3141" t="s">
        <v>3386</v>
      </c>
      <c r="I76" s="3141" t="s">
        <v>3387</v>
      </c>
    </row>
    <row r="77" spans="1:18" ht="27">
      <c r="A77" s="3931"/>
      <c r="B77" s="3300" t="s">
        <v>3984</v>
      </c>
      <c r="C77" s="3162">
        <v>130</v>
      </c>
      <c r="D77" s="3163">
        <v>17.632999999999999</v>
      </c>
      <c r="E77" s="3275" t="s">
        <v>3978</v>
      </c>
      <c r="F77" s="3163" t="s">
        <v>3979</v>
      </c>
      <c r="G77" s="3300" t="s">
        <v>3985</v>
      </c>
    </row>
    <row r="78" spans="1:18" ht="27">
      <c r="A78" s="3923"/>
      <c r="B78" s="3141" t="s">
        <v>3388</v>
      </c>
      <c r="C78" s="3141">
        <v>2161.52</v>
      </c>
      <c r="D78" s="3144">
        <v>11.17</v>
      </c>
      <c r="E78" s="3147" t="s">
        <v>3389</v>
      </c>
      <c r="F78" s="3144" t="s">
        <v>3244</v>
      </c>
      <c r="G78" s="3141" t="s">
        <v>3390</v>
      </c>
    </row>
    <row r="79" spans="1:18" ht="27">
      <c r="A79" s="3923"/>
      <c r="B79" s="3141" t="s">
        <v>3330</v>
      </c>
      <c r="C79" s="3141">
        <v>409</v>
      </c>
      <c r="D79" s="3144">
        <v>12</v>
      </c>
      <c r="E79" s="3147" t="s">
        <v>3391</v>
      </c>
      <c r="F79" s="3144" t="s">
        <v>3244</v>
      </c>
      <c r="G79" s="3141" t="s">
        <v>3392</v>
      </c>
      <c r="K79" s="3166" t="s">
        <v>4255</v>
      </c>
      <c r="L79" s="3141">
        <v>32430</v>
      </c>
    </row>
    <row r="80" spans="1:18" ht="27">
      <c r="A80" s="3923"/>
      <c r="B80" s="3157" t="s">
        <v>3379</v>
      </c>
      <c r="C80" s="3157">
        <v>1604.6</v>
      </c>
      <c r="D80" s="3158">
        <v>11.67</v>
      </c>
      <c r="E80" s="3159">
        <v>3</v>
      </c>
      <c r="F80" s="3158" t="s">
        <v>3244</v>
      </c>
      <c r="G80" s="3157" t="s">
        <v>3380</v>
      </c>
      <c r="H80" s="3160"/>
      <c r="I80" s="3157" t="s">
        <v>3381</v>
      </c>
      <c r="K80" s="3166" t="s">
        <v>4256</v>
      </c>
      <c r="L80" s="3141">
        <v>25938</v>
      </c>
    </row>
    <row r="81" spans="1:12" ht="27">
      <c r="A81" s="3923"/>
      <c r="B81" s="3157" t="s">
        <v>3400</v>
      </c>
      <c r="C81" s="3157">
        <v>2200.29</v>
      </c>
      <c r="D81" s="3158">
        <v>12.33</v>
      </c>
      <c r="E81" s="3159" t="s">
        <v>3401</v>
      </c>
      <c r="F81" s="3158" t="s">
        <v>3244</v>
      </c>
      <c r="G81" s="3157" t="s">
        <v>3402</v>
      </c>
      <c r="H81" s="3160"/>
      <c r="I81" s="3157"/>
      <c r="K81" s="3166" t="s">
        <v>4257</v>
      </c>
      <c r="L81" s="3141">
        <v>19803</v>
      </c>
    </row>
    <row r="82" spans="1:12" ht="27">
      <c r="A82" s="3923"/>
      <c r="B82" s="3141" t="s">
        <v>3248</v>
      </c>
      <c r="C82" s="3141">
        <v>2161.52</v>
      </c>
      <c r="D82" s="3144">
        <v>12</v>
      </c>
      <c r="E82" s="3270" t="s">
        <v>4176</v>
      </c>
      <c r="F82" s="3144" t="s">
        <v>3244</v>
      </c>
      <c r="G82" s="3141" t="s">
        <v>3249</v>
      </c>
    </row>
    <row r="83" spans="1:12" ht="27">
      <c r="A83" s="3923"/>
      <c r="B83" s="3142" t="s">
        <v>3393</v>
      </c>
      <c r="C83" s="3142">
        <v>1020.87</v>
      </c>
      <c r="D83" s="3143">
        <v>11.5</v>
      </c>
      <c r="E83" s="3151" t="s">
        <v>3394</v>
      </c>
      <c r="F83" s="3143" t="s">
        <v>3244</v>
      </c>
      <c r="G83" s="3142" t="s">
        <v>3395</v>
      </c>
      <c r="H83" s="3156"/>
      <c r="I83" s="3142" t="s">
        <v>3396</v>
      </c>
    </row>
    <row r="84" spans="1:12" ht="27">
      <c r="A84" s="3923"/>
      <c r="B84" s="3157" t="s">
        <v>3397</v>
      </c>
      <c r="C84" s="3157">
        <v>1052.8599999999999</v>
      </c>
      <c r="D84" s="3158">
        <v>13.17</v>
      </c>
      <c r="E84" s="3159" t="s">
        <v>3398</v>
      </c>
      <c r="F84" s="3158" t="s">
        <v>3244</v>
      </c>
      <c r="G84" s="3157" t="s">
        <v>3399</v>
      </c>
      <c r="H84" s="3160"/>
      <c r="I84" s="3157"/>
    </row>
    <row r="85" spans="1:12" ht="27">
      <c r="A85" s="3923"/>
      <c r="B85" s="3157" t="s">
        <v>3407</v>
      </c>
      <c r="C85" s="3157">
        <v>248</v>
      </c>
      <c r="D85" s="3158">
        <v>10.98</v>
      </c>
      <c r="E85" s="3159" t="s">
        <v>3331</v>
      </c>
      <c r="F85" s="3158" t="s">
        <v>3240</v>
      </c>
      <c r="G85" s="3157" t="s">
        <v>3408</v>
      </c>
    </row>
    <row r="86" spans="1:12" ht="27">
      <c r="A86" s="3923"/>
      <c r="B86" s="3269" t="s">
        <v>3977</v>
      </c>
      <c r="C86" s="3157">
        <v>657.93</v>
      </c>
      <c r="D86" s="3158">
        <v>16.23</v>
      </c>
      <c r="E86" s="3294" t="s">
        <v>3978</v>
      </c>
      <c r="F86" s="3158" t="s">
        <v>3979</v>
      </c>
      <c r="G86" s="3269" t="s">
        <v>3980</v>
      </c>
      <c r="J86" s="3166" t="s">
        <v>3982</v>
      </c>
    </row>
    <row r="87" spans="1:12" ht="27">
      <c r="A87" s="3923"/>
      <c r="B87" s="3157" t="s">
        <v>3376</v>
      </c>
      <c r="C87" s="3157">
        <v>873</v>
      </c>
      <c r="D87" s="3158">
        <v>13.33</v>
      </c>
      <c r="E87" s="3159">
        <v>2</v>
      </c>
      <c r="F87" s="3158" t="s">
        <v>3244</v>
      </c>
      <c r="G87" s="3157" t="s">
        <v>3377</v>
      </c>
      <c r="H87" s="3160"/>
      <c r="I87" s="3157" t="s">
        <v>3378</v>
      </c>
    </row>
    <row r="88" spans="1:12">
      <c r="A88" s="3923"/>
      <c r="B88" s="3269" t="s">
        <v>3981</v>
      </c>
      <c r="C88" s="3157">
        <v>191</v>
      </c>
      <c r="D88" s="3158">
        <v>7.5</v>
      </c>
      <c r="E88" s="3294" t="s">
        <v>3978</v>
      </c>
      <c r="F88" s="3158" t="s">
        <v>3979</v>
      </c>
      <c r="G88" s="3157"/>
      <c r="H88" s="3160"/>
      <c r="I88" s="3157"/>
      <c r="J88" s="3166" t="s">
        <v>3983</v>
      </c>
    </row>
    <row r="89" spans="1:12" ht="27">
      <c r="A89" s="3923"/>
      <c r="B89" s="3141" t="s">
        <v>3410</v>
      </c>
      <c r="C89" s="3141">
        <v>587</v>
      </c>
      <c r="D89" s="3144">
        <f>565.03/30</f>
        <v>18.834333333333333</v>
      </c>
      <c r="E89" s="3147" t="s">
        <v>3331</v>
      </c>
      <c r="F89" s="3144" t="s">
        <v>3240</v>
      </c>
      <c r="G89" s="3141" t="s">
        <v>3411</v>
      </c>
      <c r="H89" s="3140" t="s">
        <v>3412</v>
      </c>
      <c r="J89" s="3141" t="s">
        <v>3413</v>
      </c>
    </row>
    <row r="90" spans="1:12" ht="27">
      <c r="A90" s="3923"/>
      <c r="B90" s="3141" t="s">
        <v>3382</v>
      </c>
      <c r="C90" s="3141">
        <v>750</v>
      </c>
      <c r="D90" s="3144">
        <v>12.25</v>
      </c>
      <c r="E90" s="3147">
        <v>5</v>
      </c>
      <c r="F90" s="3144" t="s">
        <v>3244</v>
      </c>
      <c r="G90" s="3141" t="s">
        <v>3383</v>
      </c>
    </row>
    <row r="91" spans="1:12" ht="27">
      <c r="A91" s="3923"/>
      <c r="B91" s="3141" t="s">
        <v>3370</v>
      </c>
      <c r="C91" s="3141">
        <v>657.93</v>
      </c>
      <c r="D91" s="3144">
        <f>487/30</f>
        <v>16.233333333333334</v>
      </c>
      <c r="E91" s="3147" t="s">
        <v>3331</v>
      </c>
      <c r="F91" s="3144" t="s">
        <v>3240</v>
      </c>
      <c r="G91" s="3141" t="s">
        <v>3371</v>
      </c>
      <c r="J91" s="3141" t="s">
        <v>3409</v>
      </c>
    </row>
    <row r="92" spans="1:12" ht="27">
      <c r="A92" s="3923"/>
      <c r="B92" s="3141" t="s">
        <v>3403</v>
      </c>
      <c r="C92" s="3141">
        <v>792.48</v>
      </c>
      <c r="D92" s="3144">
        <f>138.98/30</f>
        <v>4.6326666666666663</v>
      </c>
      <c r="E92" s="3147" t="s">
        <v>3331</v>
      </c>
      <c r="F92" s="3144" t="s">
        <v>3240</v>
      </c>
      <c r="G92" s="3141" t="s">
        <v>3404</v>
      </c>
      <c r="H92" s="3140" t="s">
        <v>3405</v>
      </c>
      <c r="I92" s="3141" t="s">
        <v>3406</v>
      </c>
    </row>
    <row r="93" spans="1:12" ht="27">
      <c r="A93" s="3923"/>
      <c r="B93" s="3141" t="s">
        <v>3373</v>
      </c>
      <c r="C93" s="3141">
        <v>634</v>
      </c>
      <c r="D93" s="3144">
        <v>15.67</v>
      </c>
      <c r="E93" s="3147">
        <v>2</v>
      </c>
      <c r="F93" s="3144" t="s">
        <v>3244</v>
      </c>
      <c r="G93" s="3141" t="s">
        <v>3374</v>
      </c>
      <c r="I93" s="3141" t="s">
        <v>3375</v>
      </c>
    </row>
    <row r="94" spans="1:12" ht="27">
      <c r="A94" s="3924" t="s">
        <v>3414</v>
      </c>
      <c r="B94" s="3141" t="s">
        <v>3415</v>
      </c>
      <c r="C94" s="3141">
        <v>1584.93</v>
      </c>
      <c r="D94" s="3144">
        <f>420/30</f>
        <v>14</v>
      </c>
      <c r="E94" s="3270" t="s">
        <v>3946</v>
      </c>
      <c r="F94" s="3144" t="s">
        <v>3244</v>
      </c>
      <c r="G94" s="3141" t="s">
        <v>3416</v>
      </c>
    </row>
    <row r="95" spans="1:12" ht="27">
      <c r="A95" s="3924"/>
      <c r="B95" s="3141" t="s">
        <v>3417</v>
      </c>
      <c r="C95" s="3141">
        <v>3336.23</v>
      </c>
      <c r="D95" s="3144">
        <f>420/30</f>
        <v>14</v>
      </c>
      <c r="E95" s="3270" t="s">
        <v>3945</v>
      </c>
      <c r="F95" s="3144" t="s">
        <v>3418</v>
      </c>
      <c r="G95" s="3141" t="s">
        <v>3419</v>
      </c>
    </row>
    <row r="96" spans="1:12" ht="27">
      <c r="A96" s="3924"/>
      <c r="B96" s="3141" t="s">
        <v>3420</v>
      </c>
      <c r="C96" s="3141">
        <v>928.34</v>
      </c>
      <c r="D96" s="3144">
        <f>770153.38/30/C96</f>
        <v>27.653423673797672</v>
      </c>
      <c r="E96" s="3270" t="s">
        <v>3958</v>
      </c>
      <c r="F96" s="3144" t="s">
        <v>3240</v>
      </c>
      <c r="G96" s="3141" t="s">
        <v>3422</v>
      </c>
      <c r="J96" s="3141" t="s">
        <v>3423</v>
      </c>
    </row>
    <row r="97" spans="1:17" ht="27">
      <c r="A97" s="3924"/>
      <c r="B97" s="3141" t="s">
        <v>3424</v>
      </c>
      <c r="C97" s="3141">
        <v>739.29</v>
      </c>
      <c r="D97" s="3144">
        <f>269840.85/30/C97</f>
        <v>12.166666666666666</v>
      </c>
      <c r="E97" s="3270" t="s">
        <v>3950</v>
      </c>
      <c r="F97" s="3144" t="s">
        <v>3418</v>
      </c>
      <c r="G97" s="3141" t="s">
        <v>3426</v>
      </c>
    </row>
    <row r="98" spans="1:17" ht="27">
      <c r="A98" s="3924"/>
      <c r="B98" s="3141" t="s">
        <v>3427</v>
      </c>
      <c r="C98" s="3141">
        <v>1441.69</v>
      </c>
      <c r="D98" s="3144">
        <f>1016811.41/30/C98</f>
        <v>23.509709900649007</v>
      </c>
      <c r="E98" s="3270" t="s">
        <v>3957</v>
      </c>
      <c r="F98" s="3144" t="s">
        <v>3240</v>
      </c>
      <c r="G98" s="3141" t="s">
        <v>3428</v>
      </c>
      <c r="J98" s="3141" t="s">
        <v>3423</v>
      </c>
      <c r="K98" s="3166" t="s">
        <v>4259</v>
      </c>
      <c r="L98" s="3141">
        <v>32000</v>
      </c>
    </row>
    <row r="99" spans="1:17" ht="27">
      <c r="A99" s="3924"/>
      <c r="B99" s="3142" t="s">
        <v>3429</v>
      </c>
      <c r="C99" s="3142">
        <v>1867.59</v>
      </c>
      <c r="D99" s="3143">
        <f>ROUND(709740.22/30/C99,1)</f>
        <v>12.7</v>
      </c>
      <c r="E99" s="3285" t="s">
        <v>3976</v>
      </c>
      <c r="F99" s="3143" t="s">
        <v>3244</v>
      </c>
      <c r="G99" s="3142" t="s">
        <v>3430</v>
      </c>
      <c r="H99" s="3156"/>
      <c r="I99" s="3142"/>
      <c r="J99" s="3142" t="s">
        <v>3423</v>
      </c>
      <c r="K99" s="3166" t="s">
        <v>4260</v>
      </c>
      <c r="L99" s="3141">
        <v>30000</v>
      </c>
    </row>
    <row r="100" spans="1:17" ht="27">
      <c r="A100" s="3924"/>
      <c r="B100" s="3162" t="s">
        <v>3431</v>
      </c>
      <c r="C100" s="3162">
        <v>979.75</v>
      </c>
      <c r="D100" s="3163">
        <f>386021.5/30/C100</f>
        <v>13.133333333333333</v>
      </c>
      <c r="E100" s="3275" t="s">
        <v>3950</v>
      </c>
      <c r="F100" s="3163" t="s">
        <v>3418</v>
      </c>
      <c r="G100" s="3162" t="s">
        <v>3432</v>
      </c>
      <c r="K100" s="3166" t="s">
        <v>4257</v>
      </c>
      <c r="L100" s="3141">
        <v>31000</v>
      </c>
    </row>
    <row r="101" spans="1:17" ht="27">
      <c r="A101" s="3924"/>
      <c r="B101" s="3141" t="s">
        <v>3433</v>
      </c>
      <c r="C101" s="3141">
        <v>300.16000000000003</v>
      </c>
      <c r="D101" s="3144">
        <f>570/30</f>
        <v>19</v>
      </c>
      <c r="E101" s="3270" t="s">
        <v>3947</v>
      </c>
      <c r="F101" s="3144" t="s">
        <v>3240</v>
      </c>
      <c r="G101" s="3141" t="s">
        <v>3434</v>
      </c>
      <c r="J101" s="3141" t="s">
        <v>3435</v>
      </c>
    </row>
    <row r="102" spans="1:17" ht="27">
      <c r="A102" s="3924"/>
      <c r="B102" s="3141" t="s">
        <v>3433</v>
      </c>
      <c r="C102" s="3141">
        <v>370.46</v>
      </c>
      <c r="D102" s="3144">
        <f>285/30</f>
        <v>9.5</v>
      </c>
      <c r="E102" s="3270" t="s">
        <v>3948</v>
      </c>
      <c r="F102" s="3144" t="s">
        <v>3240</v>
      </c>
      <c r="G102" s="3141" t="s">
        <v>3434</v>
      </c>
      <c r="J102" s="3141" t="s">
        <v>3435</v>
      </c>
    </row>
    <row r="103" spans="1:17" ht="27">
      <c r="A103" s="3924"/>
      <c r="B103" s="3166" t="s">
        <v>3949</v>
      </c>
      <c r="C103" s="3141">
        <f>684.27+354.21</f>
        <v>1038.48</v>
      </c>
      <c r="D103" s="3144">
        <f>285/30</f>
        <v>9.5</v>
      </c>
      <c r="E103" s="3270" t="s">
        <v>3950</v>
      </c>
      <c r="F103" s="3144" t="s">
        <v>3244</v>
      </c>
      <c r="G103" s="3166" t="s">
        <v>3951</v>
      </c>
      <c r="J103" s="3141" t="s">
        <v>3435</v>
      </c>
      <c r="K103" s="3166" t="s">
        <v>3955</v>
      </c>
      <c r="L103" s="3166" t="s">
        <v>3956</v>
      </c>
      <c r="M103" s="3302" t="s">
        <v>4272</v>
      </c>
      <c r="N103" s="3302" t="s">
        <v>4273</v>
      </c>
      <c r="O103" s="3302" t="s">
        <v>4274</v>
      </c>
      <c r="P103" s="3302" t="s">
        <v>4275</v>
      </c>
    </row>
    <row r="104" spans="1:17">
      <c r="A104" s="3925" t="s">
        <v>3436</v>
      </c>
      <c r="B104" s="3936">
        <v>2015</v>
      </c>
      <c r="C104" s="3141">
        <f>130195*J104</f>
        <v>128502.465</v>
      </c>
      <c r="D104" s="3144">
        <f>84885747/C104/30</f>
        <v>22.019226635068829</v>
      </c>
      <c r="E104" s="3270"/>
      <c r="F104" s="3144" t="s">
        <v>3240</v>
      </c>
      <c r="G104" s="3166"/>
      <c r="J104" s="3140">
        <v>0.98699999999999999</v>
      </c>
      <c r="K104" s="3166">
        <v>1475000</v>
      </c>
      <c r="L104" s="3140">
        <f>D104*365*C104/10000/K104</f>
        <v>7.001875176271187E-2</v>
      </c>
      <c r="M104" s="3141">
        <f>131560+309552+81603+116712</f>
        <v>639427</v>
      </c>
      <c r="N104" s="3141">
        <f>81203025+75995301+8832294+1920000</f>
        <v>167950620</v>
      </c>
      <c r="O104" s="3144">
        <f>14599000000+14832000000+2250000000+280000000</f>
        <v>31961000000</v>
      </c>
      <c r="P104" s="3140">
        <f>N104*12/O104</f>
        <v>6.3058334845593061E-2</v>
      </c>
      <c r="Q104" s="3141">
        <v>2016</v>
      </c>
    </row>
    <row r="105" spans="1:17">
      <c r="A105" s="3926"/>
      <c r="B105" s="3936"/>
      <c r="C105" s="3141">
        <f>309552*J105</f>
        <v>298098.576</v>
      </c>
      <c r="D105" s="3144">
        <f>79034872/30/C105</f>
        <v>8.8376662803425585</v>
      </c>
      <c r="E105" s="3270"/>
      <c r="F105" s="3144" t="s">
        <v>3244</v>
      </c>
      <c r="G105" s="3166"/>
      <c r="H105" s="3306" t="s">
        <v>4310</v>
      </c>
      <c r="I105" s="3166" t="s">
        <v>4311</v>
      </c>
      <c r="J105" s="3140">
        <v>0.96299999999999997</v>
      </c>
      <c r="K105" s="3166">
        <v>1493000</v>
      </c>
      <c r="L105" s="3140">
        <f t="shared" ref="L105" si="9">D105*365*C105/10000/K105</f>
        <v>6.4406627104264355E-2</v>
      </c>
      <c r="M105" s="3141">
        <f>131344+309768+95601+116712</f>
        <v>653425</v>
      </c>
      <c r="N105" s="3141">
        <f>77348096+84105462+10017834+1999326</f>
        <v>173470718</v>
      </c>
      <c r="O105" s="3144">
        <f>14370000000+14894000000+2560000000+287000000</f>
        <v>32111000000</v>
      </c>
      <c r="P105" s="3140">
        <f t="shared" ref="P105:P108" si="10">N105*12/O105</f>
        <v>6.4826651801563329E-2</v>
      </c>
      <c r="Q105" s="3141">
        <v>2017</v>
      </c>
    </row>
    <row r="106" spans="1:17">
      <c r="A106" s="3926"/>
      <c r="B106" s="3936"/>
      <c r="C106" s="3141">
        <v>116712</v>
      </c>
      <c r="D106" s="3301">
        <f>ROUND(1880000/E106,0)</f>
        <v>1017</v>
      </c>
      <c r="E106" s="3270" t="s">
        <v>3959</v>
      </c>
      <c r="F106" s="3144" t="s">
        <v>3884</v>
      </c>
      <c r="G106" s="3166"/>
      <c r="H106" s="3160"/>
      <c r="I106" s="3160">
        <f>SUMPRODUCT(C104:C106,L104:L106)/(C104+C105+C106)</f>
        <v>5.3341116513956309E-2</v>
      </c>
      <c r="K106" s="3166">
        <v>28000</v>
      </c>
      <c r="L106" s="3140">
        <f>D106*E106/10000/K106</f>
        <v>6.7158321428571425E-3</v>
      </c>
      <c r="M106" s="3141">
        <f>129775+309768+96968+116712</f>
        <v>653223</v>
      </c>
      <c r="N106" s="3141">
        <f>78670247+76217553+10274411+21212000</f>
        <v>186374211</v>
      </c>
      <c r="O106" s="3144">
        <f>14355000000+14973000000+2570000000+290000000</f>
        <v>32188000000</v>
      </c>
      <c r="P106" s="3140">
        <f t="shared" si="10"/>
        <v>6.948212166024606E-2</v>
      </c>
      <c r="Q106" s="3141">
        <v>2018</v>
      </c>
    </row>
    <row r="107" spans="1:17" ht="27">
      <c r="A107" s="3926"/>
      <c r="B107" s="3930">
        <v>2016</v>
      </c>
      <c r="C107" s="3276">
        <f>131560*J107</f>
        <v>131191.63199999998</v>
      </c>
      <c r="D107" s="3277">
        <f>81203025/C107/30</f>
        <v>20.632165777158718</v>
      </c>
      <c r="E107" s="3278"/>
      <c r="F107" s="3277" t="s">
        <v>3437</v>
      </c>
      <c r="G107" s="3276" t="s">
        <v>3438</v>
      </c>
      <c r="H107" s="3160">
        <f>(D107-D104)/D104</f>
        <v>-6.2993168692901058E-2</v>
      </c>
      <c r="I107" s="3157"/>
      <c r="J107" s="3279">
        <v>0.99719999999999998</v>
      </c>
      <c r="K107" s="3276">
        <v>1459900</v>
      </c>
      <c r="L107" s="3279">
        <f>D107*365*C107/10000/K107</f>
        <v>6.7673822693335176E-2</v>
      </c>
      <c r="M107" s="3141">
        <f>132584+309768+107722+118431</f>
        <v>668505</v>
      </c>
      <c r="N107" s="3141">
        <f>80043604+78667753+10356551+2088000</f>
        <v>171155908</v>
      </c>
      <c r="O107" s="3144">
        <f>14261000000+14891000000+2850000000+290000000</f>
        <v>32292000000</v>
      </c>
      <c r="P107" s="3140">
        <f t="shared" si="10"/>
        <v>6.3603087328130803E-2</v>
      </c>
      <c r="Q107" s="3141">
        <v>2019</v>
      </c>
    </row>
    <row r="108" spans="1:17" ht="27">
      <c r="A108" s="3926"/>
      <c r="B108" s="3930"/>
      <c r="C108" s="3276">
        <f>309552*J108</f>
        <v>294229.17599999998</v>
      </c>
      <c r="D108" s="3277">
        <f>73995301/30/C108</f>
        <v>8.3829553100924752</v>
      </c>
      <c r="E108" s="3278"/>
      <c r="F108" s="3277" t="s">
        <v>3418</v>
      </c>
      <c r="G108" s="3276" t="s">
        <v>3439</v>
      </c>
      <c r="H108" s="3160">
        <f>(D108-D105)/D105</f>
        <v>-5.1451475516957196E-2</v>
      </c>
      <c r="I108" s="3157"/>
      <c r="J108" s="3279">
        <v>0.95050000000000001</v>
      </c>
      <c r="K108" s="3276">
        <v>1483200</v>
      </c>
      <c r="L108" s="3279">
        <f t="shared" ref="L108" si="11">D108*365*C108/10000/K108</f>
        <v>6.0698230998291976E-2</v>
      </c>
      <c r="M108" s="3141">
        <f>132584+309768+111308</f>
        <v>553660</v>
      </c>
      <c r="N108" s="3141">
        <f>59500000+72840000+8790000</f>
        <v>141130000</v>
      </c>
      <c r="O108" s="3144">
        <f>13220000000+13995000000+272000000</f>
        <v>27487000000</v>
      </c>
      <c r="P108" s="3140">
        <f t="shared" si="10"/>
        <v>6.1613126205115144E-2</v>
      </c>
      <c r="Q108" s="3141">
        <v>2020</v>
      </c>
    </row>
    <row r="109" spans="1:17">
      <c r="A109" s="3926"/>
      <c r="B109" s="3930"/>
      <c r="C109" s="3276">
        <v>116712</v>
      </c>
      <c r="D109" s="3277">
        <f>ROUND(1920000/1849,0)</f>
        <v>1038</v>
      </c>
      <c r="E109" s="3280" t="s">
        <v>3954</v>
      </c>
      <c r="F109" s="3277" t="s">
        <v>3440</v>
      </c>
      <c r="G109" s="3276"/>
      <c r="H109" s="3160">
        <f>(D109-D106)/D106</f>
        <v>2.0648967551622419E-2</v>
      </c>
      <c r="I109" s="3160">
        <f>SUMPRODUCT(C107:C109,L107:L109)/(C107+C108+C109)</f>
        <v>5.0794625533453278E-2</v>
      </c>
      <c r="J109" s="3276">
        <v>1849</v>
      </c>
      <c r="K109" s="3276">
        <v>28000</v>
      </c>
      <c r="L109" s="3279">
        <f>D109*E109/10000/K109</f>
        <v>6.8545071428571429E-3</v>
      </c>
    </row>
    <row r="110" spans="1:17">
      <c r="A110" s="3926"/>
      <c r="B110" s="3928">
        <v>2017.6</v>
      </c>
      <c r="D110" s="3144">
        <f>1162/30</f>
        <v>38.733333333333334</v>
      </c>
      <c r="E110" s="3147"/>
      <c r="H110" s="3160"/>
      <c r="I110" s="3157"/>
      <c r="J110" s="3140">
        <v>0.97899999999999998</v>
      </c>
      <c r="L110" s="3140"/>
    </row>
    <row r="111" spans="1:17">
      <c r="A111" s="3926"/>
      <c r="B111" s="3928"/>
      <c r="D111" s="3144">
        <f>281/30</f>
        <v>9.3666666666666671</v>
      </c>
      <c r="E111" s="3147"/>
      <c r="H111" s="3160"/>
      <c r="I111" s="3157"/>
      <c r="J111" s="3140">
        <v>0.95199999999999996</v>
      </c>
      <c r="L111" s="3140"/>
    </row>
    <row r="112" spans="1:17">
      <c r="A112" s="3926"/>
      <c r="B112" s="3928"/>
      <c r="E112" s="3270"/>
      <c r="H112" s="3160"/>
      <c r="I112" s="3157"/>
      <c r="L112" s="3140"/>
    </row>
    <row r="113" spans="1:14" ht="27">
      <c r="A113" s="3926"/>
      <c r="B113" s="3930">
        <v>2017</v>
      </c>
      <c r="C113" s="3276">
        <f>131344*J113</f>
        <v>126221.584</v>
      </c>
      <c r="D113" s="3277">
        <f>77348096/30/C113</f>
        <v>20.426537086293155</v>
      </c>
      <c r="E113" s="3278"/>
      <c r="F113" s="3277" t="s">
        <v>3437</v>
      </c>
      <c r="G113" s="3276" t="s">
        <v>3441</v>
      </c>
      <c r="H113" s="3160">
        <f>(D113-D107)/D107</f>
        <v>-9.96641327364714E-3</v>
      </c>
      <c r="I113" s="3157"/>
      <c r="J113" s="3279">
        <v>0.96099999999999997</v>
      </c>
      <c r="K113" s="3276">
        <v>1437000</v>
      </c>
      <c r="L113" s="3279">
        <f>D113*365*C113/10000/K113</f>
        <v>6.5488413453955008E-2</v>
      </c>
    </row>
    <row r="114" spans="1:14" ht="27">
      <c r="A114" s="3926"/>
      <c r="B114" s="3930"/>
      <c r="C114" s="3276">
        <f>309768*J114</f>
        <v>297005.55839999998</v>
      </c>
      <c r="D114" s="3277">
        <f>84105462/30/C114</f>
        <v>9.4392691338937578</v>
      </c>
      <c r="E114" s="3278"/>
      <c r="F114" s="3277" t="s">
        <v>3418</v>
      </c>
      <c r="G114" s="3276" t="s">
        <v>3442</v>
      </c>
      <c r="H114" s="3160">
        <f>(D114-D108)/D108</f>
        <v>0.12600733091461871</v>
      </c>
      <c r="I114" s="3157"/>
      <c r="J114" s="3279">
        <v>0.95879999999999999</v>
      </c>
      <c r="K114" s="3276">
        <v>1489400</v>
      </c>
      <c r="L114" s="3279">
        <f t="shared" ref="L114" si="12">D114*365*C114/10000/K114</f>
        <v>6.8704385725795611E-2</v>
      </c>
      <c r="N114" s="3140"/>
    </row>
    <row r="115" spans="1:14">
      <c r="A115" s="3926"/>
      <c r="B115" s="3930"/>
      <c r="C115" s="3276">
        <v>116712</v>
      </c>
      <c r="D115" s="3277">
        <f>ROUND(1999326/1900,0)</f>
        <v>1052</v>
      </c>
      <c r="E115" s="3280" t="s">
        <v>3953</v>
      </c>
      <c r="F115" s="3277" t="s">
        <v>3884</v>
      </c>
      <c r="G115" s="3276"/>
      <c r="H115" s="3160">
        <f t="shared" ref="H115" si="13">(D115-D109)/D109</f>
        <v>1.348747591522158E-2</v>
      </c>
      <c r="I115" s="3160">
        <f>SUMPRODUCT(C113:C115,L113:L115)/(C113+C114+C115)</f>
        <v>5.4607027827532413E-2</v>
      </c>
      <c r="J115" s="3276">
        <v>1900</v>
      </c>
      <c r="K115" s="3276">
        <v>28700</v>
      </c>
      <c r="L115" s="3279">
        <f>D115*E115/10000/K115</f>
        <v>6.9644599303135884E-3</v>
      </c>
    </row>
    <row r="116" spans="1:14">
      <c r="A116" s="3926"/>
      <c r="B116" s="3928">
        <v>2018</v>
      </c>
      <c r="C116" s="3141">
        <f>129775*J116</f>
        <v>128477.25</v>
      </c>
      <c r="D116" s="3144">
        <f>78670247/C116/30</f>
        <v>20.410940977228783</v>
      </c>
      <c r="E116" s="3147"/>
      <c r="F116" s="3144" t="s">
        <v>3240</v>
      </c>
      <c r="H116" s="3160">
        <f t="shared" ref="H116:H124" si="14">(D116-D113)/D113</f>
        <v>-7.6352193220443709E-4</v>
      </c>
      <c r="I116" s="3157"/>
      <c r="J116" s="3140">
        <v>0.99</v>
      </c>
      <c r="K116" s="3141">
        <v>1435500</v>
      </c>
      <c r="L116" s="3140">
        <f>D116*365*C116/10000/K116</f>
        <v>6.6677441437362137E-2</v>
      </c>
    </row>
    <row r="117" spans="1:14">
      <c r="A117" s="3926"/>
      <c r="B117" s="3928"/>
      <c r="C117" s="3141">
        <f>309768*J117</f>
        <v>296447.97599999997</v>
      </c>
      <c r="D117" s="3144">
        <f>86217553/30/C117</f>
        <v>9.6945119076587432</v>
      </c>
      <c r="E117" s="3147"/>
      <c r="F117" s="3144" t="s">
        <v>3244</v>
      </c>
      <c r="H117" s="3160">
        <f t="shared" si="14"/>
        <v>2.7040522962575614E-2</v>
      </c>
      <c r="I117" s="3157"/>
      <c r="J117" s="3140">
        <v>0.95699999999999996</v>
      </c>
      <c r="K117" s="3141">
        <v>1497300</v>
      </c>
      <c r="L117" s="3140">
        <f t="shared" ref="L117" si="15">D117*365*C117/10000/K117</f>
        <v>7.0058119826799339E-2</v>
      </c>
    </row>
    <row r="118" spans="1:14">
      <c r="A118" s="3926"/>
      <c r="B118" s="3928"/>
      <c r="C118" s="3141">
        <v>116712</v>
      </c>
      <c r="D118" s="3362">
        <f>2121000/E118</f>
        <v>1178.3333333333333</v>
      </c>
      <c r="E118" s="3270" t="s">
        <v>4071</v>
      </c>
      <c r="F118" s="3144" t="s">
        <v>3313</v>
      </c>
      <c r="H118" s="3160">
        <f t="shared" si="14"/>
        <v>0.12008871989860576</v>
      </c>
      <c r="I118" s="3160">
        <f>SUMPRODUCT(C116:C118,L116:L118)/(C116+C117+C118)</f>
        <v>5.5736068551939077E-2</v>
      </c>
      <c r="J118" s="3141">
        <v>1800</v>
      </c>
      <c r="K118" s="3141">
        <v>29000</v>
      </c>
      <c r="L118" s="3140">
        <f>D118*E118/10000/K118</f>
        <v>7.3137931034482758E-3</v>
      </c>
    </row>
    <row r="119" spans="1:14" ht="27">
      <c r="A119" s="3926"/>
      <c r="B119" s="3930">
        <v>2019</v>
      </c>
      <c r="C119" s="3276">
        <f>ROUND(70913*132584/71322,2)</f>
        <v>131823.69</v>
      </c>
      <c r="D119" s="3277">
        <f>80043604/30/C119</f>
        <v>20.240065600753045</v>
      </c>
      <c r="E119" s="3278"/>
      <c r="F119" s="3277" t="s">
        <v>3240</v>
      </c>
      <c r="G119" s="3276" t="s">
        <v>3443</v>
      </c>
      <c r="H119" s="3160">
        <f t="shared" si="14"/>
        <v>-8.3717539855890661E-3</v>
      </c>
      <c r="I119" s="3157"/>
      <c r="J119" s="3279">
        <v>0.99399999999999999</v>
      </c>
      <c r="K119" s="3276">
        <v>1426100</v>
      </c>
      <c r="L119" s="3279">
        <f>D119*365*C119/10000/K119</f>
        <v>6.8288608699717174E-2</v>
      </c>
    </row>
    <row r="120" spans="1:14" ht="27">
      <c r="A120" s="3926"/>
      <c r="B120" s="3930"/>
      <c r="C120" s="3276">
        <v>265218</v>
      </c>
      <c r="D120" s="3277">
        <v>9.8800000000000008</v>
      </c>
      <c r="E120" s="3278"/>
      <c r="F120" s="3277" t="s">
        <v>3244</v>
      </c>
      <c r="G120" s="3276" t="s">
        <v>3444</v>
      </c>
      <c r="H120" s="3160">
        <f t="shared" si="14"/>
        <v>1.9133309042069516E-2</v>
      </c>
      <c r="I120" s="3157"/>
      <c r="J120" s="3279">
        <v>0.85599999999999998</v>
      </c>
      <c r="K120" s="3276">
        <v>1489100</v>
      </c>
      <c r="L120" s="3279">
        <f t="shared" ref="L120" si="16">D120*365*C120/10000/K120</f>
        <v>6.4228671788328529E-2</v>
      </c>
    </row>
    <row r="121" spans="1:14">
      <c r="A121" s="3926"/>
      <c r="B121" s="3930"/>
      <c r="C121" s="3276">
        <v>118431</v>
      </c>
      <c r="D121" s="3277">
        <v>1160</v>
      </c>
      <c r="E121" s="3280" t="s">
        <v>3952</v>
      </c>
      <c r="F121" s="3277" t="s">
        <v>3313</v>
      </c>
      <c r="G121" s="3276"/>
      <c r="H121" s="3160">
        <f t="shared" si="14"/>
        <v>-1.5558698727015496E-2</v>
      </c>
      <c r="I121" s="3160">
        <f>SUMPRODUCT(C119:C121,L119:L121)/(C119+C120+C121)</f>
        <v>5.2164469582510253E-2</v>
      </c>
      <c r="J121" s="3276"/>
      <c r="K121" s="3276">
        <v>29000</v>
      </c>
      <c r="L121" s="3279">
        <f>D121*E121/10000/K121</f>
        <v>7.2000000000000007E-3</v>
      </c>
    </row>
    <row r="122" spans="1:14" ht="27">
      <c r="A122" s="3926"/>
      <c r="B122" s="3928">
        <v>2020</v>
      </c>
      <c r="C122" s="3141">
        <f>132584*J122</f>
        <v>121314.36</v>
      </c>
      <c r="D122" s="3144">
        <f>59500000/30/C122</f>
        <v>16.348710353278321</v>
      </c>
      <c r="E122" s="3147"/>
      <c r="F122" s="3144" t="s">
        <v>3437</v>
      </c>
      <c r="G122" s="3141" t="s">
        <v>3445</v>
      </c>
      <c r="H122" s="3160">
        <f t="shared" si="14"/>
        <v>-0.19226001161428763</v>
      </c>
      <c r="I122" s="3157"/>
      <c r="J122" s="3140">
        <v>0.91500000000000004</v>
      </c>
      <c r="K122" s="3141">
        <v>1322000</v>
      </c>
      <c r="L122" s="3140">
        <f>D122*365*C122/10000/K122</f>
        <v>5.4759203227433183E-2</v>
      </c>
    </row>
    <row r="123" spans="1:14" ht="27">
      <c r="A123" s="3926"/>
      <c r="B123" s="3928"/>
      <c r="C123" s="3141">
        <f>309768*J123</f>
        <v>269498.15999999997</v>
      </c>
      <c r="D123" s="3144">
        <f>72840000/30/C123</f>
        <v>9.0093379487266265</v>
      </c>
      <c r="E123" s="3147"/>
      <c r="F123" s="3144" t="s">
        <v>3418</v>
      </c>
      <c r="G123" s="3141" t="s">
        <v>3446</v>
      </c>
      <c r="H123" s="3160">
        <f t="shared" si="14"/>
        <v>-8.8123689400139094E-2</v>
      </c>
      <c r="I123" s="3157"/>
      <c r="J123" s="3153">
        <v>0.87</v>
      </c>
      <c r="K123" s="3141">
        <v>1399500</v>
      </c>
      <c r="L123" s="3140">
        <f t="shared" ref="L123" si="17">D123*365*C123/10000/K123</f>
        <v>6.332404430153625E-2</v>
      </c>
    </row>
    <row r="124" spans="1:14">
      <c r="A124" s="3927"/>
      <c r="B124" s="3928"/>
      <c r="C124" s="3141">
        <v>118431</v>
      </c>
      <c r="D124" s="3144">
        <f>ROUND(1830000/J124,0)</f>
        <v>1017</v>
      </c>
      <c r="E124" s="3270" t="s">
        <v>3952</v>
      </c>
      <c r="F124" s="3144" t="s">
        <v>3313</v>
      </c>
      <c r="H124" s="3160">
        <f t="shared" si="14"/>
        <v>-0.12327586206896551</v>
      </c>
      <c r="I124" s="3160">
        <f>SUMPRODUCT(C122:C124,L122:L124)/(C122+C123+C124)</f>
        <v>4.8099380031587397E-2</v>
      </c>
      <c r="J124" s="3141">
        <v>1800</v>
      </c>
      <c r="K124" s="3141">
        <v>27600</v>
      </c>
      <c r="L124" s="3140">
        <f>D124*E124/10000/K124</f>
        <v>6.6326086956521738E-3</v>
      </c>
    </row>
    <row r="125" spans="1:14" ht="27">
      <c r="A125" s="3924" t="s">
        <v>3447</v>
      </c>
      <c r="B125" s="3141" t="s">
        <v>3448</v>
      </c>
      <c r="C125" s="3141">
        <v>291.27999999999997</v>
      </c>
      <c r="D125" s="3144">
        <v>10</v>
      </c>
      <c r="E125" s="3147" t="s">
        <v>3449</v>
      </c>
      <c r="F125" s="3144" t="s">
        <v>3418</v>
      </c>
      <c r="G125" s="3141" t="s">
        <v>3450</v>
      </c>
      <c r="K125" s="3141">
        <f>29625307/92475</f>
        <v>320.36017301973504</v>
      </c>
    </row>
    <row r="126" spans="1:14" ht="27">
      <c r="A126" s="3924"/>
      <c r="B126" s="3141" t="s">
        <v>3451</v>
      </c>
      <c r="C126" s="3141">
        <v>1154.26</v>
      </c>
      <c r="D126" s="3144">
        <v>9</v>
      </c>
      <c r="E126" s="3147" t="s">
        <v>3452</v>
      </c>
      <c r="F126" s="3144" t="s">
        <v>3418</v>
      </c>
      <c r="G126" s="3141" t="s">
        <v>3453</v>
      </c>
    </row>
    <row r="127" spans="1:14" ht="27">
      <c r="A127" s="3924"/>
      <c r="B127" s="3141" t="s">
        <v>3454</v>
      </c>
      <c r="C127" s="3141">
        <v>1047.92</v>
      </c>
      <c r="D127" s="3144">
        <v>9</v>
      </c>
      <c r="E127" s="3147" t="s">
        <v>3455</v>
      </c>
      <c r="F127" s="3144" t="s">
        <v>3418</v>
      </c>
      <c r="G127" s="3141" t="s">
        <v>3456</v>
      </c>
    </row>
    <row r="128" spans="1:14" ht="27">
      <c r="A128" s="3924"/>
      <c r="B128" s="3141" t="s">
        <v>3448</v>
      </c>
      <c r="C128" s="3141">
        <v>1513.52</v>
      </c>
      <c r="D128" s="3144">
        <f>285/30</f>
        <v>9.5</v>
      </c>
      <c r="E128" s="3147" t="s">
        <v>3425</v>
      </c>
      <c r="F128" s="3144" t="s">
        <v>3418</v>
      </c>
      <c r="G128" s="3141" t="s">
        <v>3450</v>
      </c>
    </row>
    <row r="129" spans="1:15" ht="27">
      <c r="A129" s="3924"/>
      <c r="B129" s="3141" t="s">
        <v>3457</v>
      </c>
      <c r="C129" s="3141">
        <v>83.71</v>
      </c>
      <c r="D129" s="3144">
        <f>456.25/30</f>
        <v>15.208333333333334</v>
      </c>
      <c r="E129" s="3147" t="s">
        <v>3458</v>
      </c>
      <c r="F129" s="3144" t="s">
        <v>3437</v>
      </c>
      <c r="G129" s="3141" t="s">
        <v>3459</v>
      </c>
    </row>
    <row r="130" spans="1:15" ht="27">
      <c r="A130" s="3924"/>
      <c r="B130" s="3138" t="s">
        <v>3448</v>
      </c>
      <c r="C130" s="3138">
        <v>170</v>
      </c>
      <c r="D130" s="3139">
        <f>D129</f>
        <v>15.208333333333334</v>
      </c>
      <c r="E130" s="3146" t="s">
        <v>3458</v>
      </c>
      <c r="F130" s="3139" t="s">
        <v>3437</v>
      </c>
      <c r="G130" s="3138" t="s">
        <v>3460</v>
      </c>
    </row>
    <row r="131" spans="1:15" ht="27">
      <c r="A131" s="3923" t="s">
        <v>3464</v>
      </c>
      <c r="B131" s="3141" t="s">
        <v>3465</v>
      </c>
      <c r="C131" s="3141">
        <v>122.88</v>
      </c>
      <c r="D131" s="3144">
        <v>5.39</v>
      </c>
      <c r="E131" s="3147" t="s">
        <v>3466</v>
      </c>
      <c r="F131" s="3144" t="s">
        <v>3244</v>
      </c>
      <c r="G131" s="3141" t="s">
        <v>3467</v>
      </c>
      <c r="O131" s="3141"/>
    </row>
    <row r="132" spans="1:15" ht="27">
      <c r="A132" s="3923"/>
      <c r="B132" s="3141" t="s">
        <v>3468</v>
      </c>
      <c r="C132" s="3141">
        <v>637.26</v>
      </c>
      <c r="D132" s="3144">
        <v>5.39</v>
      </c>
      <c r="E132" s="3147" t="s">
        <v>3466</v>
      </c>
      <c r="F132" s="3144" t="s">
        <v>3244</v>
      </c>
      <c r="G132" s="3141" t="s">
        <v>3469</v>
      </c>
      <c r="O132" s="3141"/>
    </row>
    <row r="133" spans="1:15" ht="27">
      <c r="A133" s="3923"/>
      <c r="B133" s="3141" t="s">
        <v>3470</v>
      </c>
      <c r="C133" s="3141">
        <v>305.88</v>
      </c>
      <c r="D133" s="3144">
        <v>5.08</v>
      </c>
      <c r="E133" s="3147" t="s">
        <v>3471</v>
      </c>
      <c r="F133" s="3144" t="s">
        <v>3244</v>
      </c>
      <c r="G133" s="3141" t="s">
        <v>3472</v>
      </c>
      <c r="O133" s="3141"/>
    </row>
    <row r="134" spans="1:15" ht="40.5">
      <c r="A134" s="3935" t="s">
        <v>3960</v>
      </c>
      <c r="B134" s="3166" t="s">
        <v>3924</v>
      </c>
      <c r="C134" s="3141">
        <v>3589.42</v>
      </c>
      <c r="D134" s="3144">
        <f>(118450.86+381549.14)/30/C134</f>
        <v>4.6432757009953329</v>
      </c>
      <c r="E134" s="3270" t="s">
        <v>3921</v>
      </c>
      <c r="F134" s="3144" t="s">
        <v>3882</v>
      </c>
      <c r="G134" s="3166" t="s">
        <v>3929</v>
      </c>
      <c r="J134" s="3166" t="s">
        <v>3925</v>
      </c>
      <c r="K134" s="3166" t="s">
        <v>3933</v>
      </c>
      <c r="O134" s="3141"/>
    </row>
    <row r="135" spans="1:15" s="3243" customFormat="1" ht="67.5">
      <c r="A135" s="3899"/>
      <c r="B135" s="3243" t="s">
        <v>3515</v>
      </c>
      <c r="C135" s="3243">
        <v>1410.95</v>
      </c>
      <c r="D135" s="3181">
        <v>9</v>
      </c>
      <c r="E135" s="3243" t="s">
        <v>3516</v>
      </c>
      <c r="F135" s="3181" t="s">
        <v>3240</v>
      </c>
      <c r="G135" s="3243" t="s">
        <v>3517</v>
      </c>
      <c r="H135" s="3182" t="s">
        <v>3518</v>
      </c>
      <c r="I135" s="3243" t="s">
        <v>3519</v>
      </c>
      <c r="J135" s="3274" t="s">
        <v>3927</v>
      </c>
    </row>
    <row r="136" spans="1:15" s="3243" customFormat="1" ht="27">
      <c r="A136" s="3899"/>
      <c r="B136" s="3243" t="s">
        <v>3424</v>
      </c>
      <c r="C136" s="3243">
        <v>231.34</v>
      </c>
      <c r="D136" s="3181">
        <v>33.46</v>
      </c>
      <c r="E136" s="3243">
        <v>1</v>
      </c>
      <c r="F136" s="3181" t="s">
        <v>3240</v>
      </c>
      <c r="G136" s="3243" t="s">
        <v>3509</v>
      </c>
      <c r="H136" s="3182" t="s">
        <v>3507</v>
      </c>
      <c r="I136" s="3243" t="s">
        <v>3510</v>
      </c>
    </row>
    <row r="137" spans="1:15" s="3243" customFormat="1" ht="27">
      <c r="A137" s="3899"/>
      <c r="B137" s="3243" t="s">
        <v>3424</v>
      </c>
      <c r="C137" s="3243">
        <v>2402.0500000000002</v>
      </c>
      <c r="D137" s="3181">
        <v>5.9</v>
      </c>
      <c r="E137" s="3243" t="s">
        <v>3516</v>
      </c>
      <c r="F137" s="3181" t="s">
        <v>3240</v>
      </c>
      <c r="G137" s="3243" t="s">
        <v>3520</v>
      </c>
      <c r="H137" s="3182" t="s">
        <v>3507</v>
      </c>
      <c r="I137" s="3243" t="s">
        <v>3521</v>
      </c>
      <c r="J137" s="3274" t="s">
        <v>3928</v>
      </c>
      <c r="K137" s="3274" t="s">
        <v>3931</v>
      </c>
    </row>
    <row r="138" spans="1:15" s="3243" customFormat="1" ht="27">
      <c r="A138" s="3899"/>
      <c r="B138" s="3243" t="s">
        <v>3534</v>
      </c>
      <c r="C138" s="3243">
        <v>197.05</v>
      </c>
      <c r="D138" s="3181">
        <v>25.07</v>
      </c>
      <c r="E138" s="3243">
        <v>1</v>
      </c>
      <c r="F138" s="3181" t="s">
        <v>3240</v>
      </c>
      <c r="G138" s="3243" t="s">
        <v>3535</v>
      </c>
      <c r="H138" s="3182" t="s">
        <v>3507</v>
      </c>
      <c r="I138" s="3243" t="s">
        <v>3536</v>
      </c>
      <c r="J138" s="3899" t="s">
        <v>3943</v>
      </c>
      <c r="K138" s="3899" t="s">
        <v>3944</v>
      </c>
    </row>
    <row r="139" spans="1:15" s="3243" customFormat="1" ht="27">
      <c r="A139" s="3899"/>
      <c r="B139" s="3243" t="s">
        <v>3534</v>
      </c>
      <c r="C139" s="3243">
        <v>191.84</v>
      </c>
      <c r="D139" s="3181">
        <v>20</v>
      </c>
      <c r="E139" s="3243">
        <v>2</v>
      </c>
      <c r="F139" s="3181" t="s">
        <v>3240</v>
      </c>
      <c r="G139" s="3243" t="s">
        <v>3535</v>
      </c>
      <c r="H139" s="3182" t="s">
        <v>3507</v>
      </c>
      <c r="I139" s="3243" t="s">
        <v>3536</v>
      </c>
      <c r="J139" s="3899"/>
      <c r="K139" s="3928"/>
    </row>
    <row r="140" spans="1:15" s="3243" customFormat="1" ht="27">
      <c r="A140" s="3899"/>
      <c r="B140" s="3243" t="s">
        <v>3303</v>
      </c>
      <c r="C140" s="3243">
        <v>213.76</v>
      </c>
      <c r="D140" s="3181">
        <v>30</v>
      </c>
      <c r="E140" s="3243">
        <v>1</v>
      </c>
      <c r="F140" s="3181" t="s">
        <v>3240</v>
      </c>
      <c r="G140" s="3243" t="s">
        <v>3506</v>
      </c>
      <c r="H140" s="3182" t="s">
        <v>3507</v>
      </c>
      <c r="I140" s="3243" t="s">
        <v>3508</v>
      </c>
      <c r="J140" s="3274" t="s">
        <v>3926</v>
      </c>
      <c r="K140" s="3274" t="s">
        <v>3922</v>
      </c>
    </row>
    <row r="141" spans="1:15" s="3243" customFormat="1" ht="27">
      <c r="A141" s="3899"/>
      <c r="B141" s="3243" t="s">
        <v>3291</v>
      </c>
      <c r="C141" s="3243">
        <v>1796.03</v>
      </c>
      <c r="D141" s="3181">
        <v>11.81</v>
      </c>
      <c r="E141" s="3243" t="s">
        <v>3512</v>
      </c>
      <c r="F141" s="3181" t="s">
        <v>3240</v>
      </c>
      <c r="G141" s="3243" t="s">
        <v>3513</v>
      </c>
      <c r="H141" s="3182" t="s">
        <v>3507</v>
      </c>
      <c r="I141" s="3243" t="s">
        <v>3514</v>
      </c>
    </row>
    <row r="142" spans="1:15" s="3243" customFormat="1" ht="27">
      <c r="A142" s="3899"/>
      <c r="B142" s="3180" t="s">
        <v>3291</v>
      </c>
      <c r="C142" s="3180">
        <v>3252.22</v>
      </c>
      <c r="D142" s="3181">
        <v>7.18</v>
      </c>
      <c r="E142" s="3180">
        <v>-1</v>
      </c>
      <c r="F142" s="3181" t="s">
        <v>3240</v>
      </c>
      <c r="G142" s="3180" t="s">
        <v>3513</v>
      </c>
      <c r="H142" s="3182" t="s">
        <v>3507</v>
      </c>
      <c r="I142" s="3180" t="s">
        <v>3526</v>
      </c>
      <c r="J142" s="3274" t="s">
        <v>3930</v>
      </c>
      <c r="K142" s="3274" t="s">
        <v>3936</v>
      </c>
    </row>
    <row r="143" spans="1:15" s="3243" customFormat="1" ht="27">
      <c r="A143" s="3899"/>
      <c r="B143" s="3180" t="s">
        <v>3527</v>
      </c>
      <c r="C143" s="3180">
        <v>189.52</v>
      </c>
      <c r="D143" s="3181">
        <v>21.04</v>
      </c>
      <c r="E143" s="3180">
        <v>1</v>
      </c>
      <c r="F143" s="3181" t="s">
        <v>3240</v>
      </c>
      <c r="G143" s="3180" t="s">
        <v>3528</v>
      </c>
      <c r="H143" s="3182" t="s">
        <v>3507</v>
      </c>
      <c r="I143" s="3180"/>
      <c r="J143" s="3274" t="s">
        <v>3937</v>
      </c>
      <c r="K143" s="3274" t="s">
        <v>3938</v>
      </c>
    </row>
    <row r="144" spans="1:15" s="3243" customFormat="1" ht="27">
      <c r="A144" s="3899"/>
      <c r="B144" s="3180" t="s">
        <v>3527</v>
      </c>
      <c r="C144" s="3180">
        <v>302.81</v>
      </c>
      <c r="D144" s="3181">
        <v>22.5</v>
      </c>
      <c r="E144" s="3180" t="s">
        <v>3421</v>
      </c>
      <c r="F144" s="3181" t="s">
        <v>3240</v>
      </c>
      <c r="G144" s="3180" t="s">
        <v>3533</v>
      </c>
      <c r="H144" s="3182" t="s">
        <v>3507</v>
      </c>
      <c r="I144" s="3180"/>
      <c r="J144" s="3274" t="s">
        <v>3942</v>
      </c>
      <c r="K144" s="3274" t="s">
        <v>3941</v>
      </c>
    </row>
    <row r="145" spans="1:11" s="3243" customFormat="1" ht="27">
      <c r="A145" s="3899"/>
      <c r="B145" s="3281" t="s">
        <v>3427</v>
      </c>
      <c r="C145" s="3281">
        <v>381.99</v>
      </c>
      <c r="D145" s="3282">
        <v>20.58</v>
      </c>
      <c r="E145" s="3281">
        <v>1</v>
      </c>
      <c r="F145" s="3282" t="s">
        <v>3240</v>
      </c>
      <c r="G145" s="3281" t="s">
        <v>3511</v>
      </c>
      <c r="H145" s="3283" t="s">
        <v>3507</v>
      </c>
      <c r="I145" s="3281"/>
      <c r="J145" s="3284" t="s">
        <v>3923</v>
      </c>
      <c r="K145" s="3284" t="s">
        <v>3932</v>
      </c>
    </row>
    <row r="146" spans="1:11" s="3243" customFormat="1" ht="27">
      <c r="A146" s="3899"/>
      <c r="B146" s="3180" t="s">
        <v>3529</v>
      </c>
      <c r="C146" s="3180">
        <v>500.98</v>
      </c>
      <c r="D146" s="3181">
        <f>16.39-0.82</f>
        <v>15.57</v>
      </c>
      <c r="E146" s="3180" t="s">
        <v>3512</v>
      </c>
      <c r="F146" s="3181" t="s">
        <v>3240</v>
      </c>
      <c r="G146" s="3180" t="s">
        <v>3530</v>
      </c>
      <c r="H146" s="3182" t="s">
        <v>3507</v>
      </c>
      <c r="I146" s="3180"/>
      <c r="J146" s="3274" t="s">
        <v>3930</v>
      </c>
      <c r="K146" s="3274" t="s">
        <v>3939</v>
      </c>
    </row>
    <row r="147" spans="1:11" s="3243" customFormat="1" ht="27">
      <c r="A147" s="3899"/>
      <c r="B147" s="3180" t="s">
        <v>3531</v>
      </c>
      <c r="C147" s="3180">
        <v>207.99</v>
      </c>
      <c r="D147" s="3181">
        <f>26.02-1.3</f>
        <v>24.72</v>
      </c>
      <c r="E147" s="3180" t="s">
        <v>3421</v>
      </c>
      <c r="F147" s="3181" t="s">
        <v>3240</v>
      </c>
      <c r="G147" s="3180" t="s">
        <v>3532</v>
      </c>
      <c r="H147" s="3182" t="s">
        <v>3507</v>
      </c>
      <c r="I147" s="3180"/>
      <c r="J147" s="3274" t="s">
        <v>3940</v>
      </c>
      <c r="K147" s="3274" t="s">
        <v>3941</v>
      </c>
    </row>
    <row r="148" spans="1:11" s="3180" customFormat="1" ht="27">
      <c r="A148" s="3899"/>
      <c r="B148" s="3180" t="s">
        <v>3523</v>
      </c>
      <c r="C148" s="3180">
        <v>1096.76</v>
      </c>
      <c r="D148" s="3181">
        <v>7</v>
      </c>
      <c r="E148" s="3180" t="s">
        <v>3516</v>
      </c>
      <c r="F148" s="3181" t="s">
        <v>3240</v>
      </c>
      <c r="G148" s="3180" t="s">
        <v>3524</v>
      </c>
      <c r="H148" s="3182" t="s">
        <v>3507</v>
      </c>
      <c r="I148" s="3180" t="s">
        <v>3525</v>
      </c>
      <c r="J148" s="3274" t="s">
        <v>3934</v>
      </c>
      <c r="K148" s="3274" t="s">
        <v>3935</v>
      </c>
    </row>
    <row r="149" spans="1:11" s="3180" customFormat="1" ht="27">
      <c r="A149" s="3899"/>
      <c r="B149" s="3180" t="s">
        <v>3370</v>
      </c>
      <c r="C149" s="3180">
        <v>151.72</v>
      </c>
      <c r="D149" s="3181">
        <f>27.14-1.36</f>
        <v>25.78</v>
      </c>
      <c r="E149" s="3180">
        <v>1</v>
      </c>
      <c r="F149" s="3181" t="s">
        <v>3240</v>
      </c>
      <c r="G149" s="3180" t="s">
        <v>3522</v>
      </c>
      <c r="H149" s="3182"/>
    </row>
    <row r="150" spans="1:11" s="3180" customFormat="1" ht="27">
      <c r="A150" s="3928" t="s">
        <v>3537</v>
      </c>
      <c r="B150" s="3180" t="s">
        <v>3311</v>
      </c>
      <c r="D150" s="3181">
        <v>1200</v>
      </c>
      <c r="F150" s="3181" t="s">
        <v>3313</v>
      </c>
      <c r="G150" s="3180" t="s">
        <v>3538</v>
      </c>
      <c r="H150" s="3182" t="s">
        <v>3539</v>
      </c>
    </row>
    <row r="151" spans="1:11" s="3180" customFormat="1" ht="27">
      <c r="A151" s="3928"/>
      <c r="B151" s="3180" t="s">
        <v>3540</v>
      </c>
      <c r="D151" s="3181">
        <v>1080</v>
      </c>
      <c r="F151" s="3181" t="s">
        <v>3313</v>
      </c>
      <c r="G151" s="3180" t="s">
        <v>3541</v>
      </c>
      <c r="H151" s="3182" t="s">
        <v>3539</v>
      </c>
    </row>
    <row r="152" spans="1:11" s="3180" customFormat="1" ht="27">
      <c r="A152" s="3928"/>
      <c r="B152" s="3180" t="s">
        <v>3542</v>
      </c>
      <c r="D152" s="3181">
        <v>1200</v>
      </c>
      <c r="F152" s="3181" t="s">
        <v>3313</v>
      </c>
      <c r="G152" s="3180" t="s">
        <v>3543</v>
      </c>
      <c r="H152" s="3182" t="s">
        <v>3539</v>
      </c>
    </row>
    <row r="153" spans="1:11" s="3180" customFormat="1" ht="27">
      <c r="A153" s="3928"/>
      <c r="B153" s="3180" t="s">
        <v>3258</v>
      </c>
      <c r="D153" s="3181">
        <v>1200</v>
      </c>
      <c r="F153" s="3181" t="s">
        <v>3313</v>
      </c>
      <c r="G153" s="3180" t="s">
        <v>3544</v>
      </c>
      <c r="H153" s="3182" t="s">
        <v>3539</v>
      </c>
    </row>
    <row r="154" spans="1:11" s="3180" customFormat="1" ht="27">
      <c r="A154" s="3928"/>
      <c r="B154" s="3180" t="s">
        <v>3545</v>
      </c>
      <c r="D154" s="3181">
        <v>1200</v>
      </c>
      <c r="F154" s="3181" t="s">
        <v>3313</v>
      </c>
      <c r="G154" s="3180" t="s">
        <v>3546</v>
      </c>
      <c r="H154" s="3182" t="s">
        <v>3539</v>
      </c>
    </row>
    <row r="155" spans="1:11" s="3180" customFormat="1" ht="27">
      <c r="A155" s="3928"/>
      <c r="B155" s="3180" t="s">
        <v>3547</v>
      </c>
      <c r="D155" s="3181">
        <v>1200</v>
      </c>
      <c r="F155" s="3181" t="s">
        <v>3313</v>
      </c>
      <c r="G155" s="3180" t="s">
        <v>3548</v>
      </c>
      <c r="H155" s="3182" t="s">
        <v>3539</v>
      </c>
    </row>
    <row r="156" spans="1:11" s="3180" customFormat="1" ht="27">
      <c r="A156" s="3928"/>
      <c r="B156" s="3180" t="s">
        <v>3549</v>
      </c>
      <c r="D156" s="3181">
        <v>1200</v>
      </c>
      <c r="F156" s="3181" t="s">
        <v>3313</v>
      </c>
      <c r="G156" s="3180" t="s">
        <v>3550</v>
      </c>
      <c r="H156" s="3182" t="s">
        <v>3539</v>
      </c>
    </row>
    <row r="157" spans="1:11" s="3180" customFormat="1" ht="27">
      <c r="A157" s="3928"/>
      <c r="B157" s="3180" t="s">
        <v>3551</v>
      </c>
      <c r="C157" s="3180">
        <v>1000.86</v>
      </c>
      <c r="D157" s="3181">
        <v>7</v>
      </c>
      <c r="E157" s="3180">
        <v>13</v>
      </c>
      <c r="F157" s="3181" t="s">
        <v>3244</v>
      </c>
      <c r="G157" s="3180" t="s">
        <v>3552</v>
      </c>
      <c r="H157" s="3182" t="s">
        <v>3553</v>
      </c>
    </row>
    <row r="158" spans="1:11" s="3180" customFormat="1" ht="27">
      <c r="A158" s="3928"/>
      <c r="B158" s="3180" t="s">
        <v>3554</v>
      </c>
      <c r="C158" s="3180">
        <v>2026.24</v>
      </c>
      <c r="D158" s="3181">
        <v>10</v>
      </c>
      <c r="E158" s="3180">
        <v>21</v>
      </c>
      <c r="F158" s="3181" t="s">
        <v>3244</v>
      </c>
      <c r="G158" s="3180" t="s">
        <v>3555</v>
      </c>
      <c r="H158" s="3182" t="s">
        <v>3553</v>
      </c>
    </row>
  </sheetData>
  <autoFilter ref="A1:R130" xr:uid="{00000000-0009-0000-0000-00002B000000}"/>
  <mergeCells count="29">
    <mergeCell ref="B47:B49"/>
    <mergeCell ref="G47:G49"/>
    <mergeCell ref="A134:A149"/>
    <mergeCell ref="J138:J139"/>
    <mergeCell ref="K138:K139"/>
    <mergeCell ref="A104:A124"/>
    <mergeCell ref="B104:B106"/>
    <mergeCell ref="B110:B112"/>
    <mergeCell ref="A150:A158"/>
    <mergeCell ref="A131:A133"/>
    <mergeCell ref="C64:C70"/>
    <mergeCell ref="C71:C74"/>
    <mergeCell ref="E71:E74"/>
    <mergeCell ref="A125:A130"/>
    <mergeCell ref="A94:A103"/>
    <mergeCell ref="B107:B109"/>
    <mergeCell ref="B113:B115"/>
    <mergeCell ref="B116:B118"/>
    <mergeCell ref="B119:B121"/>
    <mergeCell ref="B122:B124"/>
    <mergeCell ref="A76:A93"/>
    <mergeCell ref="A42:A43"/>
    <mergeCell ref="A64:A75"/>
    <mergeCell ref="A2:A9"/>
    <mergeCell ref="A10:A21"/>
    <mergeCell ref="A22:A29"/>
    <mergeCell ref="A30:A38"/>
    <mergeCell ref="A40:A41"/>
    <mergeCell ref="A44:A63"/>
  </mergeCells>
  <phoneticPr fontId="14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F119"/>
  <sheetViews>
    <sheetView topLeftCell="B1" workbookViewId="0">
      <pane xSplit="1" ySplit="1" topLeftCell="C2" activePane="bottomRight" state="frozen"/>
      <selection activeCell="B1" sqref="B1"/>
      <selection pane="topRight" activeCell="C1" sqref="C1"/>
      <selection pane="bottomLeft" activeCell="B2" sqref="B2"/>
      <selection pane="bottomRight" activeCell="AA39" sqref="AA39"/>
    </sheetView>
  </sheetViews>
  <sheetFormatPr defaultColWidth="8.875" defaultRowHeight="13.5"/>
  <cols>
    <col min="1" max="1" width="0" hidden="1" customWidth="1"/>
    <col min="2" max="2" width="10.625" customWidth="1"/>
    <col min="3" max="3" width="7" customWidth="1"/>
    <col min="4" max="4" width="9.125" customWidth="1"/>
    <col min="5" max="5" width="6.75" customWidth="1"/>
    <col min="6" max="6" width="5.375" customWidth="1"/>
    <col min="7" max="7" width="9.5" customWidth="1"/>
    <col min="8" max="8" width="9" customWidth="1"/>
    <col min="9" max="9" width="11.625" style="3339" customWidth="1"/>
    <col min="10" max="10" width="12" customWidth="1"/>
    <col min="11" max="11" width="14.125" customWidth="1"/>
    <col min="12" max="12" width="11.75" customWidth="1"/>
    <col min="13" max="13" width="13" style="3215" customWidth="1"/>
    <col min="14" max="14" width="8.875" style="3402"/>
    <col min="15" max="15" width="11.125" customWidth="1"/>
    <col min="16" max="16" width="15.25" customWidth="1"/>
    <col min="17" max="17" width="27.5" customWidth="1"/>
    <col min="19" max="19" width="8.75" customWidth="1"/>
    <col min="20" max="22" width="6.125" customWidth="1"/>
    <col min="24" max="24" width="8.875" style="3247"/>
  </cols>
  <sheetData>
    <row r="1" spans="1:84" s="3377" customFormat="1" ht="28.15" customHeight="1">
      <c r="A1" s="3374" t="s">
        <v>608</v>
      </c>
      <c r="B1" s="3374" t="s">
        <v>3129</v>
      </c>
      <c r="C1" s="3374" t="s">
        <v>4077</v>
      </c>
      <c r="D1" s="3374" t="s">
        <v>4078</v>
      </c>
      <c r="E1" s="3374" t="s">
        <v>4079</v>
      </c>
      <c r="F1" s="3374" t="s">
        <v>4080</v>
      </c>
      <c r="G1" s="3374" t="s">
        <v>557</v>
      </c>
      <c r="H1" s="3374" t="s">
        <v>4081</v>
      </c>
      <c r="I1" s="3374" t="s">
        <v>4082</v>
      </c>
      <c r="J1" s="3375" t="s">
        <v>4083</v>
      </c>
      <c r="K1" s="3374" t="s">
        <v>4084</v>
      </c>
      <c r="L1" s="3374" t="s">
        <v>4085</v>
      </c>
      <c r="M1" s="3403" t="s">
        <v>4086</v>
      </c>
      <c r="N1" s="3374" t="s">
        <v>4087</v>
      </c>
      <c r="O1" s="3374" t="s">
        <v>4088</v>
      </c>
      <c r="P1" s="3376" t="s">
        <v>4089</v>
      </c>
      <c r="Q1" s="3374" t="s">
        <v>4090</v>
      </c>
      <c r="R1" s="3374" t="s">
        <v>4091</v>
      </c>
      <c r="S1" s="3374" t="s">
        <v>4092</v>
      </c>
      <c r="T1" s="3374" t="s">
        <v>4093</v>
      </c>
      <c r="U1" s="3374" t="s">
        <v>4094</v>
      </c>
      <c r="V1" s="3374" t="s">
        <v>4095</v>
      </c>
      <c r="W1" s="3374" t="s">
        <v>1069</v>
      </c>
      <c r="X1" s="3380"/>
    </row>
    <row r="2" spans="1:84" s="3387" customFormat="1" ht="18.75" customHeight="1">
      <c r="A2" s="3381">
        <v>106</v>
      </c>
      <c r="B2" s="3381" t="s">
        <v>4096</v>
      </c>
      <c r="C2" s="3381" t="s">
        <v>4097</v>
      </c>
      <c r="D2" s="3381" t="s">
        <v>678</v>
      </c>
      <c r="E2" s="3411" t="s">
        <v>4098</v>
      </c>
      <c r="F2" s="3411" t="s">
        <v>4099</v>
      </c>
      <c r="G2" s="3381" t="s">
        <v>183</v>
      </c>
      <c r="H2" s="3411"/>
      <c r="I2" s="3411">
        <v>36026.080000000002</v>
      </c>
      <c r="J2" s="3382">
        <v>25431.29</v>
      </c>
      <c r="K2" s="3382">
        <f>I2-J2</f>
        <v>10594.79</v>
      </c>
      <c r="L2" s="3411">
        <v>121212</v>
      </c>
      <c r="M2" s="3405">
        <f>ROUND(L2/I2*10000,0)</f>
        <v>33646</v>
      </c>
      <c r="N2" s="3411">
        <f t="shared" ref="N2" si="0">ROUND(L2/J2*10000,0)</f>
        <v>47663</v>
      </c>
      <c r="O2" s="3381" t="s">
        <v>4100</v>
      </c>
      <c r="P2" s="3383" t="s">
        <v>4101</v>
      </c>
      <c r="Q2" s="3384" t="s">
        <v>4102</v>
      </c>
      <c r="R2" s="3385" t="s">
        <v>4103</v>
      </c>
      <c r="S2" s="3411"/>
      <c r="T2" s="3411"/>
      <c r="U2" s="3411"/>
      <c r="V2" s="3411"/>
      <c r="W2" s="3411"/>
      <c r="X2" s="3444"/>
    </row>
    <row r="3" spans="1:84" s="3387" customFormat="1" ht="26.25" customHeight="1">
      <c r="A3" s="3381">
        <v>107</v>
      </c>
      <c r="B3" s="3381" t="s">
        <v>4104</v>
      </c>
      <c r="C3" s="3381" t="s">
        <v>4105</v>
      </c>
      <c r="D3" s="3381" t="s">
        <v>678</v>
      </c>
      <c r="E3" s="3411" t="s">
        <v>4106</v>
      </c>
      <c r="F3" s="3411" t="s">
        <v>4107</v>
      </c>
      <c r="G3" s="3381" t="s">
        <v>4108</v>
      </c>
      <c r="H3" s="3411"/>
      <c r="I3" s="3382">
        <f>J3+K3</f>
        <v>18636.57</v>
      </c>
      <c r="J3" s="3382">
        <v>17544.990000000002</v>
      </c>
      <c r="K3" s="3382">
        <v>1091.58</v>
      </c>
      <c r="L3" s="3388">
        <v>98000</v>
      </c>
      <c r="M3" s="3381">
        <f>ROUND(L3/I3*10000,0)</f>
        <v>52585</v>
      </c>
      <c r="N3" s="3411">
        <f>ROUND(L3/J3*10000,0)</f>
        <v>55856</v>
      </c>
      <c r="O3" s="3381" t="s">
        <v>4109</v>
      </c>
      <c r="P3" s="3383" t="s">
        <v>4101</v>
      </c>
      <c r="Q3" s="3384" t="s">
        <v>4167</v>
      </c>
      <c r="R3" s="3385" t="s">
        <v>4110</v>
      </c>
      <c r="S3" s="3411"/>
      <c r="T3" s="3411"/>
      <c r="U3" s="3411"/>
      <c r="V3" s="3411"/>
      <c r="W3" s="3411"/>
      <c r="X3" s="3444">
        <v>5.5E-2</v>
      </c>
    </row>
    <row r="4" spans="1:84" s="3387" customFormat="1" ht="27" customHeight="1">
      <c r="A4" s="3381">
        <v>123</v>
      </c>
      <c r="B4" s="3381" t="s">
        <v>4111</v>
      </c>
      <c r="C4" s="3381" t="s">
        <v>4112</v>
      </c>
      <c r="D4" s="3381" t="s">
        <v>678</v>
      </c>
      <c r="E4" s="3411" t="s">
        <v>4113</v>
      </c>
      <c r="F4" s="3381" t="s">
        <v>4114</v>
      </c>
      <c r="G4" s="3381" t="s">
        <v>4115</v>
      </c>
      <c r="H4" s="3411"/>
      <c r="I4" s="3382">
        <v>48720.73</v>
      </c>
      <c r="J4" s="3382">
        <v>42600</v>
      </c>
      <c r="K4" s="3382"/>
      <c r="L4" s="3411">
        <v>183000</v>
      </c>
      <c r="M4" s="3405">
        <f t="shared" ref="M4" si="1">ROUND(L4/I4*10000,0)</f>
        <v>37561</v>
      </c>
      <c r="N4" s="3411">
        <f t="shared" ref="N4" si="2">ROUND(L4/J4*10000,0)</f>
        <v>42958</v>
      </c>
      <c r="O4" s="3381" t="s">
        <v>4116</v>
      </c>
      <c r="P4" s="3383" t="s">
        <v>4117</v>
      </c>
      <c r="Q4" s="3384" t="s">
        <v>4154</v>
      </c>
      <c r="R4" s="3385" t="s">
        <v>4118</v>
      </c>
      <c r="S4" s="3411"/>
      <c r="T4" s="3411"/>
      <c r="U4" s="3411"/>
      <c r="V4" s="3411"/>
      <c r="W4" s="3411"/>
      <c r="X4" s="3444"/>
    </row>
    <row r="5" spans="1:84" s="3352" customFormat="1" ht="27" customHeight="1">
      <c r="A5" s="3381">
        <v>160</v>
      </c>
      <c r="B5" s="3381" t="s">
        <v>4119</v>
      </c>
      <c r="C5" s="3381" t="s">
        <v>4120</v>
      </c>
      <c r="D5" s="3381" t="s">
        <v>645</v>
      </c>
      <c r="E5" s="3352" t="s">
        <v>4121</v>
      </c>
      <c r="F5" s="3381" t="s">
        <v>4122</v>
      </c>
      <c r="G5" s="3381" t="s">
        <v>183</v>
      </c>
      <c r="H5" s="3352">
        <v>9280</v>
      </c>
      <c r="I5" s="3382">
        <v>26891.39</v>
      </c>
      <c r="J5" s="3382">
        <v>17646.37</v>
      </c>
      <c r="K5" s="3382">
        <v>9245.02</v>
      </c>
      <c r="L5" s="3352">
        <v>70000</v>
      </c>
      <c r="M5" s="3381">
        <f>ROUND(L5/I5*10000,0)</f>
        <v>26031</v>
      </c>
      <c r="N5" s="3358">
        <f>ROUND(L5/J5*10000,0)</f>
        <v>39668</v>
      </c>
      <c r="O5" s="3381" t="s">
        <v>4123</v>
      </c>
      <c r="P5" s="3383">
        <v>42773</v>
      </c>
      <c r="Q5" s="3384" t="s">
        <v>4196</v>
      </c>
      <c r="R5" s="3385"/>
      <c r="W5" s="3352" t="s">
        <v>4124</v>
      </c>
      <c r="X5" s="3445"/>
    </row>
    <row r="6" spans="1:84" s="3414" customFormat="1" ht="30.6" customHeight="1">
      <c r="A6" s="3413">
        <v>129</v>
      </c>
      <c r="B6" s="3413" t="s">
        <v>4125</v>
      </c>
      <c r="C6" s="3413"/>
      <c r="D6" s="3413" t="s">
        <v>614</v>
      </c>
      <c r="E6" s="3414" t="s">
        <v>4126</v>
      </c>
      <c r="F6" s="3413" t="s">
        <v>4127</v>
      </c>
      <c r="G6" s="3413" t="s">
        <v>4108</v>
      </c>
      <c r="I6" s="3415">
        <v>85690.34</v>
      </c>
      <c r="J6" s="3415">
        <v>48841</v>
      </c>
      <c r="K6" s="3415">
        <f>I6-J6</f>
        <v>36849.339999999997</v>
      </c>
      <c r="L6" s="3414">
        <v>300000</v>
      </c>
      <c r="M6" s="3416">
        <f>ROUND(L6/I6*10000,0)</f>
        <v>35010</v>
      </c>
      <c r="N6" s="3414">
        <f>ROUND(L6/J6*10000,0)</f>
        <v>61424</v>
      </c>
      <c r="O6" s="3413" t="s">
        <v>4128</v>
      </c>
      <c r="P6" s="3417">
        <v>42705</v>
      </c>
      <c r="Q6" s="3418"/>
      <c r="R6" s="3419"/>
      <c r="X6" s="3446"/>
      <c r="Y6" s="3420"/>
      <c r="Z6" s="3420"/>
      <c r="AA6" s="3420"/>
      <c r="AB6" s="3420"/>
      <c r="AC6" s="3420"/>
      <c r="AD6" s="3420"/>
      <c r="AE6" s="3420"/>
      <c r="AF6" s="3420"/>
      <c r="AG6" s="3420"/>
      <c r="AH6" s="3420"/>
      <c r="AI6" s="3420"/>
      <c r="AJ6" s="3420"/>
      <c r="AK6" s="3420"/>
      <c r="AL6" s="3420"/>
      <c r="AM6" s="3420"/>
      <c r="AN6" s="3420"/>
      <c r="AO6" s="3420"/>
      <c r="AP6" s="3420"/>
      <c r="AQ6" s="3420"/>
      <c r="AR6" s="3420"/>
      <c r="AS6" s="3420"/>
      <c r="AT6" s="3420"/>
      <c r="AU6" s="3420"/>
      <c r="AV6" s="3420"/>
      <c r="AW6" s="3420"/>
      <c r="AX6" s="3420"/>
      <c r="AY6" s="3420"/>
      <c r="AZ6" s="3420"/>
      <c r="BA6" s="3420"/>
      <c r="BB6" s="3420"/>
      <c r="BC6" s="3420"/>
      <c r="BD6" s="3420"/>
      <c r="BE6" s="3420"/>
      <c r="BF6" s="3420"/>
      <c r="BG6" s="3420"/>
      <c r="BH6" s="3420"/>
      <c r="BI6" s="3420"/>
      <c r="BJ6" s="3420"/>
      <c r="BK6" s="3420"/>
      <c r="BL6" s="3420"/>
      <c r="BM6" s="3420"/>
      <c r="BN6" s="3420"/>
      <c r="BO6" s="3420"/>
      <c r="BP6" s="3420"/>
      <c r="BQ6" s="3420"/>
      <c r="BR6" s="3420"/>
      <c r="BS6" s="3420"/>
      <c r="BT6" s="3420"/>
      <c r="BU6" s="3420"/>
      <c r="BV6" s="3420"/>
      <c r="BW6" s="3420"/>
      <c r="BX6" s="3420"/>
      <c r="BY6" s="3420"/>
      <c r="BZ6" s="3420"/>
      <c r="CA6" s="3420"/>
      <c r="CB6" s="3420"/>
      <c r="CC6" s="3420"/>
      <c r="CD6" s="3420"/>
      <c r="CE6" s="3420"/>
      <c r="CF6" s="3421"/>
    </row>
    <row r="7" spans="1:84" s="3352" customFormat="1" ht="48.75" customHeight="1">
      <c r="A7" s="3381">
        <v>153</v>
      </c>
      <c r="B7" s="3381" t="s">
        <v>4129</v>
      </c>
      <c r="C7" s="3381" t="s">
        <v>4130</v>
      </c>
      <c r="D7" s="3381" t="s">
        <v>614</v>
      </c>
      <c r="E7" s="3352" t="s">
        <v>4131</v>
      </c>
      <c r="F7" s="3381" t="s">
        <v>4132</v>
      </c>
      <c r="G7" s="3381" t="s">
        <v>183</v>
      </c>
      <c r="H7" s="3352">
        <v>1187.74</v>
      </c>
      <c r="I7" s="3382">
        <v>7255.7</v>
      </c>
      <c r="J7" s="3382">
        <f>I7-K7</f>
        <v>5141.2199999999993</v>
      </c>
      <c r="K7" s="3382">
        <v>2114.48</v>
      </c>
      <c r="L7" s="3352">
        <v>30804.563200000001</v>
      </c>
      <c r="M7" s="3381">
        <f>ROUND(L7/I7*10000,0)</f>
        <v>42456</v>
      </c>
      <c r="N7" s="3358">
        <f>ROUND(L7/J7*10000,0)</f>
        <v>59917</v>
      </c>
      <c r="O7" s="3381" t="s">
        <v>4133</v>
      </c>
      <c r="P7" s="3383">
        <v>42871</v>
      </c>
      <c r="Q7" s="3384" t="s">
        <v>4197</v>
      </c>
      <c r="R7" s="3385" t="s">
        <v>4134</v>
      </c>
      <c r="W7" s="3352" t="s">
        <v>4124</v>
      </c>
      <c r="X7" s="3445"/>
    </row>
    <row r="8" spans="1:84" s="3322" customFormat="1" ht="74.25" customHeight="1">
      <c r="B8" s="3389" t="s">
        <v>4139</v>
      </c>
      <c r="C8" s="3389" t="s">
        <v>4140</v>
      </c>
      <c r="D8" s="3389" t="s">
        <v>645</v>
      </c>
      <c r="E8" s="3390" t="s">
        <v>4141</v>
      </c>
      <c r="F8" s="3389"/>
      <c r="G8" s="3389" t="s">
        <v>4108</v>
      </c>
      <c r="H8" s="3390"/>
      <c r="I8" s="3391">
        <v>17558</v>
      </c>
      <c r="J8" s="3391">
        <v>11438</v>
      </c>
      <c r="K8" s="3391"/>
      <c r="L8" s="3390">
        <v>77000</v>
      </c>
      <c r="M8" s="3404">
        <f>ROUND(L8/I8*10000,0)</f>
        <v>43855</v>
      </c>
      <c r="N8" s="3390">
        <f>ROUND(L8/J8*10000,0)</f>
        <v>67319</v>
      </c>
      <c r="O8" s="3389" t="s">
        <v>4152</v>
      </c>
      <c r="P8" s="3392" t="s">
        <v>4135</v>
      </c>
      <c r="Q8" s="3393" t="s">
        <v>4143</v>
      </c>
      <c r="R8" s="3385"/>
      <c r="S8" s="3352"/>
      <c r="T8" s="3352"/>
      <c r="U8" s="3352"/>
      <c r="V8" s="3352"/>
      <c r="W8" s="3352" t="s">
        <v>4142</v>
      </c>
      <c r="X8" s="3447">
        <v>3.5999999999999997E-2</v>
      </c>
    </row>
    <row r="9" spans="1:84" s="3322" customFormat="1" ht="19.149999999999999" customHeight="1">
      <c r="B9" s="3381" t="s">
        <v>4144</v>
      </c>
      <c r="C9" s="3381"/>
      <c r="D9" s="3381" t="s">
        <v>678</v>
      </c>
      <c r="E9" s="3352" t="s">
        <v>4145</v>
      </c>
      <c r="F9" s="3381"/>
      <c r="G9" s="3381"/>
      <c r="H9" s="3352"/>
      <c r="I9" s="3382">
        <v>181402</v>
      </c>
      <c r="J9" s="3382">
        <f>L9/N9*10000</f>
        <v>117618.96852420895</v>
      </c>
      <c r="K9" s="3382"/>
      <c r="L9" s="3352">
        <v>566500</v>
      </c>
      <c r="M9" s="3405"/>
      <c r="N9" s="3358">
        <v>48164</v>
      </c>
      <c r="O9" s="3381" t="s">
        <v>4151</v>
      </c>
      <c r="P9" s="3383" t="s">
        <v>4146</v>
      </c>
      <c r="Q9" s="3384"/>
      <c r="R9" s="3385"/>
      <c r="S9" s="3352"/>
      <c r="T9" s="3352"/>
      <c r="U9" s="3352"/>
      <c r="V9" s="3352"/>
      <c r="W9" s="3352" t="s">
        <v>4142</v>
      </c>
      <c r="X9" s="3447">
        <v>3.4000000000000002E-2</v>
      </c>
    </row>
    <row r="10" spans="1:84" s="3322" customFormat="1" ht="19.149999999999999" customHeight="1">
      <c r="B10" s="3381" t="s">
        <v>4147</v>
      </c>
      <c r="C10" s="3381"/>
      <c r="D10" s="3381" t="s">
        <v>678</v>
      </c>
      <c r="E10" s="3352" t="s">
        <v>4145</v>
      </c>
      <c r="F10" s="3381"/>
      <c r="G10" s="3381"/>
      <c r="H10" s="3352"/>
      <c r="I10" s="3382"/>
      <c r="J10" s="3382">
        <v>23224</v>
      </c>
      <c r="K10" s="3382"/>
      <c r="L10" s="3352">
        <v>115800</v>
      </c>
      <c r="M10" s="3405"/>
      <c r="N10" s="3358">
        <f>ROUND(L10/J10*10000,0)</f>
        <v>49862</v>
      </c>
      <c r="O10" s="3381" t="s">
        <v>4150</v>
      </c>
      <c r="P10" s="3383" t="s">
        <v>4148</v>
      </c>
      <c r="Q10" s="3384"/>
      <c r="R10" s="3385"/>
      <c r="S10" s="3352"/>
      <c r="T10" s="3352"/>
      <c r="U10" s="3352"/>
      <c r="V10" s="3352"/>
      <c r="W10" s="3352" t="s">
        <v>4149</v>
      </c>
      <c r="X10" s="3447">
        <v>4.4999999999999998E-2</v>
      </c>
    </row>
    <row r="11" spans="1:84" s="3427" customFormat="1" ht="168">
      <c r="A11" s="3374">
        <v>131</v>
      </c>
      <c r="B11" s="3413" t="s">
        <v>4216</v>
      </c>
      <c r="C11" s="3413" t="s">
        <v>4217</v>
      </c>
      <c r="D11" s="3413" t="s">
        <v>678</v>
      </c>
      <c r="E11" s="3414" t="s">
        <v>4131</v>
      </c>
      <c r="F11" s="3413" t="s">
        <v>4218</v>
      </c>
      <c r="G11" s="3413" t="s">
        <v>4115</v>
      </c>
      <c r="H11" s="3414">
        <v>6746.29</v>
      </c>
      <c r="I11" s="3415">
        <v>62805</v>
      </c>
      <c r="J11" s="3415"/>
      <c r="K11" s="3415"/>
      <c r="L11" s="3414">
        <f>ROUND(136000+89.56+62300,-2)</f>
        <v>198400</v>
      </c>
      <c r="M11" s="3442">
        <f>ROUND(L11/I11*10000,0)</f>
        <v>31590</v>
      </c>
      <c r="N11" s="3443" t="e">
        <f>ROUND(L11/J11*10000,0)</f>
        <v>#DIV/0!</v>
      </c>
      <c r="O11" s="3413" t="s">
        <v>4219</v>
      </c>
      <c r="P11" s="3417">
        <v>42826</v>
      </c>
      <c r="Q11" s="3418" t="s">
        <v>4220</v>
      </c>
      <c r="R11" s="3419" t="s">
        <v>4221</v>
      </c>
      <c r="S11" s="3414">
        <v>24.244700000000002</v>
      </c>
      <c r="T11" s="3441"/>
      <c r="U11" s="3441"/>
      <c r="V11" s="3441"/>
      <c r="W11" s="3441" t="s">
        <v>4222</v>
      </c>
      <c r="X11" s="3448"/>
    </row>
    <row r="13" spans="1:84" ht="33">
      <c r="B13" s="3187" t="s">
        <v>3569</v>
      </c>
      <c r="C13" s="3187" t="s">
        <v>3570</v>
      </c>
      <c r="D13" s="3187" t="s">
        <v>3571</v>
      </c>
      <c r="E13" s="3187" t="s">
        <v>3333</v>
      </c>
      <c r="F13" s="3187" t="s">
        <v>3572</v>
      </c>
      <c r="G13" s="3187" t="s">
        <v>3573</v>
      </c>
      <c r="H13" s="3187" t="s">
        <v>3574</v>
      </c>
      <c r="I13" s="3335" t="s">
        <v>3575</v>
      </c>
      <c r="J13" s="3188" t="s">
        <v>3576</v>
      </c>
      <c r="K13" s="3188" t="s">
        <v>1320</v>
      </c>
      <c r="L13" s="3188" t="s">
        <v>3577</v>
      </c>
      <c r="M13" s="3406" t="s">
        <v>3578</v>
      </c>
      <c r="N13" s="3402" t="s">
        <v>3579</v>
      </c>
      <c r="O13" s="3428"/>
    </row>
    <row r="14" spans="1:84" ht="33">
      <c r="B14" s="3937" t="s">
        <v>3580</v>
      </c>
      <c r="C14" s="3190">
        <v>1</v>
      </c>
      <c r="D14" s="3191" t="s">
        <v>3581</v>
      </c>
      <c r="E14" s="3191" t="s">
        <v>3582</v>
      </c>
      <c r="F14" s="3191" t="s">
        <v>27</v>
      </c>
      <c r="G14" s="3192">
        <v>54000</v>
      </c>
      <c r="H14" s="3193">
        <v>49.29</v>
      </c>
      <c r="I14" s="3336">
        <f>H14*10000/G14</f>
        <v>9.1277777777777782</v>
      </c>
      <c r="J14" s="3194">
        <v>43070</v>
      </c>
      <c r="K14" s="3195">
        <v>12.9</v>
      </c>
      <c r="L14" s="3196">
        <f>K14*G14*365/100000000/H14</f>
        <v>5.1584297017650646E-2</v>
      </c>
      <c r="M14" s="3203" t="s">
        <v>3583</v>
      </c>
      <c r="N14" s="3402" t="s">
        <v>27</v>
      </c>
      <c r="O14">
        <f>SUMIF(F14:F47,N14,G14:G119)</f>
        <v>508438.27</v>
      </c>
      <c r="P14" s="3197">
        <f>O14/$O$18</f>
        <v>0.44164657459196627</v>
      </c>
      <c r="X14" s="3449" t="s">
        <v>4223</v>
      </c>
      <c r="Y14" s="3189" t="s">
        <v>4224</v>
      </c>
      <c r="Z14" s="3189" t="s">
        <v>4225</v>
      </c>
      <c r="AA14" s="3189" t="s">
        <v>4226</v>
      </c>
    </row>
    <row r="15" spans="1:84" ht="40.5">
      <c r="B15" s="3937"/>
      <c r="C15" s="3190">
        <v>2</v>
      </c>
      <c r="D15" s="3191" t="s">
        <v>3584</v>
      </c>
      <c r="E15" s="3191" t="s">
        <v>3585</v>
      </c>
      <c r="F15" s="3191" t="s">
        <v>27</v>
      </c>
      <c r="G15" s="3192">
        <v>50123</v>
      </c>
      <c r="H15" s="3193">
        <v>26.22</v>
      </c>
      <c r="I15" s="3336">
        <f t="shared" ref="I15:I21" si="3">H15*10000/G15</f>
        <v>5.2311314167148817</v>
      </c>
      <c r="J15" s="3194">
        <v>43070</v>
      </c>
      <c r="K15" s="3195">
        <v>3.5</v>
      </c>
      <c r="L15" s="3196">
        <f>K15*G15*365/100000000/H15</f>
        <v>2.4421103165522505E-2</v>
      </c>
      <c r="M15" s="3203" t="s">
        <v>3583</v>
      </c>
      <c r="N15" s="3402" t="s">
        <v>1343</v>
      </c>
      <c r="O15">
        <f>SUMIF(F14:F47,N15,G14:G119)</f>
        <v>363101.75000000006</v>
      </c>
      <c r="P15" s="3197">
        <f>O15/$O$18</f>
        <v>0.3154023872275557</v>
      </c>
      <c r="W15" s="3189" t="s">
        <v>4231</v>
      </c>
      <c r="X15" s="3247" t="str">
        <f>B3</f>
        <v>招商局大厦20-28层</v>
      </c>
      <c r="Y15">
        <f>M3</f>
        <v>52585</v>
      </c>
      <c r="AA15" s="3212">
        <f>X3</f>
        <v>5.5E-2</v>
      </c>
    </row>
    <row r="16" spans="1:84" ht="33">
      <c r="B16" s="3937"/>
      <c r="C16" s="3190">
        <v>3</v>
      </c>
      <c r="D16" s="3191" t="s">
        <v>3586</v>
      </c>
      <c r="E16" s="3191" t="s">
        <v>3587</v>
      </c>
      <c r="F16" s="3191" t="s">
        <v>27</v>
      </c>
      <c r="G16" s="3192">
        <v>62557</v>
      </c>
      <c r="H16" s="3193">
        <v>23.15</v>
      </c>
      <c r="I16" s="3336">
        <f t="shared" si="3"/>
        <v>3.7006250299726648</v>
      </c>
      <c r="J16" s="3194">
        <v>42795</v>
      </c>
      <c r="K16" s="3195">
        <v>7.2</v>
      </c>
      <c r="L16" s="3196">
        <f>K16*G16*365/100000000/H16</f>
        <v>7.1015030669546439E-2</v>
      </c>
      <c r="M16" s="3203" t="s">
        <v>3583</v>
      </c>
      <c r="N16" s="3402" t="s">
        <v>3588</v>
      </c>
      <c r="O16">
        <f>SUMIF(F14:F47,N16,G14:G119)</f>
        <v>279693.34000000003</v>
      </c>
      <c r="P16" s="3197">
        <f>O16/$O$18</f>
        <v>0.24295103818047803</v>
      </c>
      <c r="W16" s="3452" t="s">
        <v>4228</v>
      </c>
      <c r="X16" s="3453" t="str">
        <f>B8</f>
        <v>九和大厦</v>
      </c>
      <c r="Y16" s="3454"/>
      <c r="Z16" s="3454"/>
      <c r="AA16" s="3474" t="s">
        <v>4309</v>
      </c>
    </row>
    <row r="17" spans="2:33" ht="33">
      <c r="B17" s="3937"/>
      <c r="C17" s="3190">
        <v>4</v>
      </c>
      <c r="D17" s="3191" t="s">
        <v>3589</v>
      </c>
      <c r="E17" s="3191" t="s">
        <v>3590</v>
      </c>
      <c r="F17" s="3191" t="s">
        <v>27</v>
      </c>
      <c r="G17" s="3192">
        <v>43962</v>
      </c>
      <c r="H17" s="3193">
        <v>19.440000000000001</v>
      </c>
      <c r="I17" s="3336">
        <v>4.42</v>
      </c>
      <c r="J17" s="3194">
        <v>42826</v>
      </c>
      <c r="K17" s="3195">
        <v>3.5</v>
      </c>
      <c r="L17" s="3196">
        <f>K17*G17*365/100000000/H17</f>
        <v>2.8889637345679012E-2</v>
      </c>
      <c r="M17" s="3203" t="s">
        <v>3583</v>
      </c>
      <c r="N17" s="3402" t="s">
        <v>3591</v>
      </c>
      <c r="O17">
        <f>SUMIF(F14:F47,N17,G14:G119)</f>
        <v>0</v>
      </c>
      <c r="P17" s="3197">
        <f>O17/$O$18</f>
        <v>0</v>
      </c>
      <c r="W17" s="3189" t="s">
        <v>4229</v>
      </c>
      <c r="X17" s="3247" t="str">
        <f>B9</f>
        <v>融新科技中心</v>
      </c>
      <c r="AA17" s="3267" t="s">
        <v>4312</v>
      </c>
    </row>
    <row r="18" spans="2:33" ht="49.5">
      <c r="B18" s="3937"/>
      <c r="C18" s="3190">
        <v>5</v>
      </c>
      <c r="D18" s="3191" t="s">
        <v>3592</v>
      </c>
      <c r="E18" s="3191" t="s">
        <v>3593</v>
      </c>
      <c r="F18" s="3191" t="s">
        <v>27</v>
      </c>
      <c r="G18" s="3192">
        <v>34993.54</v>
      </c>
      <c r="H18" s="3193">
        <v>18</v>
      </c>
      <c r="I18" s="3336">
        <f t="shared" si="3"/>
        <v>5.1438065425790018</v>
      </c>
      <c r="J18" s="3194"/>
      <c r="K18" s="3195"/>
      <c r="L18" s="3196"/>
      <c r="M18" s="3203"/>
      <c r="O18">
        <f>SUM(O14:O17)</f>
        <v>1151233.3600000001</v>
      </c>
      <c r="W18" s="3189" t="s">
        <v>4229</v>
      </c>
      <c r="X18" s="3247" t="str">
        <f>B10</f>
        <v>方恒时代中心</v>
      </c>
      <c r="AA18" s="3212">
        <f>X10</f>
        <v>4.4999999999999998E-2</v>
      </c>
    </row>
    <row r="19" spans="2:33" ht="33">
      <c r="B19" s="3937"/>
      <c r="C19" s="3190">
        <v>6</v>
      </c>
      <c r="D19" s="3191" t="s">
        <v>3594</v>
      </c>
      <c r="E19" s="3191" t="s">
        <v>3585</v>
      </c>
      <c r="F19" s="3191" t="s">
        <v>27</v>
      </c>
      <c r="G19" s="3192">
        <v>28870</v>
      </c>
      <c r="H19" s="3193">
        <v>16.22</v>
      </c>
      <c r="I19" s="3336">
        <f t="shared" si="3"/>
        <v>5.6182888811915479</v>
      </c>
      <c r="J19" s="3194"/>
      <c r="K19" s="3195"/>
      <c r="L19" s="3196"/>
      <c r="M19" s="3203"/>
      <c r="Q19" s="3322"/>
      <c r="R19" s="3322"/>
      <c r="S19" s="3322"/>
      <c r="T19" s="3322"/>
      <c r="U19" s="3322"/>
      <c r="V19" s="3322"/>
      <c r="W19" s="3432" t="s">
        <v>4230</v>
      </c>
      <c r="X19" s="3447" t="str">
        <f>D14</f>
        <v>骏豪中央公园广场</v>
      </c>
      <c r="AA19" s="3212">
        <f>L14</f>
        <v>5.1584297017650646E-2</v>
      </c>
    </row>
    <row r="20" spans="2:33" ht="33">
      <c r="B20" s="3937"/>
      <c r="C20" s="3190">
        <v>7</v>
      </c>
      <c r="D20" s="3191" t="s">
        <v>3595</v>
      </c>
      <c r="E20" s="3191" t="s">
        <v>3585</v>
      </c>
      <c r="F20" s="3191" t="s">
        <v>27</v>
      </c>
      <c r="G20" s="3192">
        <v>34420</v>
      </c>
      <c r="H20" s="3193">
        <v>15.59</v>
      </c>
      <c r="I20" s="3336">
        <f t="shared" si="3"/>
        <v>4.5293434049970944</v>
      </c>
      <c r="J20" s="3194">
        <v>42795</v>
      </c>
      <c r="K20" s="3195">
        <v>3.5</v>
      </c>
      <c r="L20" s="3196">
        <f>K20*G20*365/100000000/H20</f>
        <v>2.8204971135343166E-2</v>
      </c>
      <c r="M20" s="3203" t="s">
        <v>3583</v>
      </c>
      <c r="Q20" s="3322"/>
      <c r="R20" s="3322"/>
      <c r="S20" s="3322"/>
      <c r="T20" s="3322"/>
      <c r="U20" s="3322"/>
      <c r="V20" s="3322"/>
      <c r="W20" s="3432" t="s">
        <v>4227</v>
      </c>
      <c r="X20" s="3447" t="str">
        <f>D15</f>
        <v>复地金融中心A座</v>
      </c>
      <c r="AA20" s="3267" t="s">
        <v>4309</v>
      </c>
      <c r="AC20" s="3432" t="s">
        <v>3590</v>
      </c>
      <c r="AD20" s="3447" t="s">
        <v>3584</v>
      </c>
      <c r="AG20" s="3212">
        <v>2.4421103165522505E-2</v>
      </c>
    </row>
    <row r="21" spans="2:33" ht="33">
      <c r="B21" s="3937"/>
      <c r="C21" s="3190">
        <v>8</v>
      </c>
      <c r="D21" s="3191" t="s">
        <v>3596</v>
      </c>
      <c r="E21" s="3191" t="s">
        <v>3597</v>
      </c>
      <c r="F21" s="3191" t="s">
        <v>27</v>
      </c>
      <c r="G21" s="3192">
        <v>14949</v>
      </c>
      <c r="H21" s="3193">
        <v>11.3</v>
      </c>
      <c r="I21" s="3336">
        <f t="shared" si="3"/>
        <v>7.5590340491002745</v>
      </c>
      <c r="J21" s="3194"/>
      <c r="K21" s="3195">
        <v>6.5</v>
      </c>
      <c r="L21" s="3196">
        <f>K21*G21*365/100000000/H21</f>
        <v>3.1386285398230088E-2</v>
      </c>
      <c r="M21" s="3203" t="s">
        <v>3598</v>
      </c>
      <c r="O21" s="3189" t="s">
        <v>3780</v>
      </c>
      <c r="Q21" s="3322"/>
      <c r="R21" s="3322"/>
      <c r="S21" s="3432"/>
      <c r="T21" s="3322"/>
      <c r="U21" s="3432"/>
      <c r="V21" s="3322"/>
      <c r="W21" s="3432" t="s">
        <v>4232</v>
      </c>
      <c r="X21" s="3447" t="str">
        <f t="shared" ref="X21:X22" si="4">D16</f>
        <v>北京文化创意大厦</v>
      </c>
      <c r="AA21" s="3212">
        <f t="shared" ref="AA21" si="5">L16</f>
        <v>7.1015030669546439E-2</v>
      </c>
    </row>
    <row r="22" spans="2:33" ht="33">
      <c r="B22" s="3937"/>
      <c r="C22" s="3190">
        <v>9</v>
      </c>
      <c r="D22" s="3191" t="s">
        <v>3599</v>
      </c>
      <c r="E22" s="3191" t="s">
        <v>3600</v>
      </c>
      <c r="F22" s="3191" t="s">
        <v>27</v>
      </c>
      <c r="G22" s="3192">
        <v>22667</v>
      </c>
      <c r="H22" s="3193">
        <v>8.0299999999999994</v>
      </c>
      <c r="I22" s="3336">
        <v>3.54</v>
      </c>
      <c r="J22" s="3194"/>
      <c r="K22" s="3213">
        <v>5.6</v>
      </c>
      <c r="L22" s="3214">
        <f>K22*G22*365/100000000/H22</f>
        <v>5.7697818181818183E-2</v>
      </c>
      <c r="M22" s="3203"/>
      <c r="P22" s="3189" t="s">
        <v>3244</v>
      </c>
      <c r="Q22" s="3386"/>
      <c r="R22" s="3322"/>
      <c r="S22" s="3323"/>
      <c r="T22" s="3322"/>
      <c r="U22" s="3323"/>
      <c r="V22" s="3322"/>
      <c r="W22" s="3432" t="s">
        <v>4227</v>
      </c>
      <c r="X22" s="3447" t="str">
        <f t="shared" si="4"/>
        <v>世界侨商中心</v>
      </c>
      <c r="AA22" s="3267" t="s">
        <v>4309</v>
      </c>
      <c r="AC22" t="s">
        <v>3590</v>
      </c>
      <c r="AD22" t="s">
        <v>3589</v>
      </c>
      <c r="AG22">
        <v>2.8889637345679012E-2</v>
      </c>
    </row>
    <row r="23" spans="2:33" ht="33">
      <c r="B23" s="3937"/>
      <c r="C23" s="3190">
        <v>10</v>
      </c>
      <c r="D23" s="3191" t="s">
        <v>3601</v>
      </c>
      <c r="E23" s="3191" t="s">
        <v>3600</v>
      </c>
      <c r="F23" s="3191" t="s">
        <v>27</v>
      </c>
      <c r="G23" s="3192">
        <v>19500</v>
      </c>
      <c r="H23" s="3193">
        <v>7.31</v>
      </c>
      <c r="I23" s="3336">
        <f>H23*10000/G23</f>
        <v>3.7487179487179487</v>
      </c>
      <c r="J23" s="3194">
        <v>42887</v>
      </c>
      <c r="K23" s="3195">
        <v>5.8</v>
      </c>
      <c r="L23" s="3196">
        <f>K23*G23*365/100000000/H23</f>
        <v>5.6472640218878253E-2</v>
      </c>
      <c r="M23" s="3203" t="s">
        <v>3598</v>
      </c>
      <c r="P23" s="3189" t="s">
        <v>3240</v>
      </c>
      <c r="Q23" s="3386"/>
      <c r="R23" s="3322"/>
      <c r="S23" s="3323"/>
      <c r="T23" s="3322"/>
      <c r="U23" s="3323"/>
      <c r="V23" s="3322"/>
      <c r="W23" s="3432" t="s">
        <v>4227</v>
      </c>
      <c r="X23" s="3447" t="str">
        <f>D20</f>
        <v>通州富力中心</v>
      </c>
      <c r="AA23" s="3267" t="s">
        <v>4309</v>
      </c>
      <c r="AC23" t="s">
        <v>3590</v>
      </c>
      <c r="AD23" t="s">
        <v>3595</v>
      </c>
      <c r="AG23">
        <v>2.8204971135343166E-2</v>
      </c>
    </row>
    <row r="24" spans="2:33" ht="49.5">
      <c r="B24" s="3937"/>
      <c r="C24" s="3190">
        <v>11</v>
      </c>
      <c r="D24" s="3191" t="s">
        <v>3602</v>
      </c>
      <c r="E24" s="3191" t="s">
        <v>3603</v>
      </c>
      <c r="F24" s="3191" t="s">
        <v>27</v>
      </c>
      <c r="G24" s="3192">
        <v>17337</v>
      </c>
      <c r="H24" s="3193">
        <v>7.15</v>
      </c>
      <c r="I24" s="3336">
        <v>4.12</v>
      </c>
      <c r="J24" s="3194"/>
      <c r="K24" s="3195"/>
      <c r="L24" s="3196"/>
      <c r="M24" s="3203"/>
      <c r="P24" s="3189" t="s">
        <v>3313</v>
      </c>
      <c r="Q24" s="3322"/>
      <c r="R24" s="3322"/>
      <c r="S24" s="3322"/>
      <c r="T24" s="3322"/>
      <c r="U24" s="3322"/>
      <c r="V24" s="3322"/>
      <c r="W24" s="3432" t="s">
        <v>4233</v>
      </c>
      <c r="X24" s="3447" t="str">
        <f t="shared" ref="X24:X26" si="6">D21</f>
        <v>新华联大厦</v>
      </c>
      <c r="AA24" s="3212">
        <f t="shared" ref="AA24:AA26" si="7">L21</f>
        <v>3.1386285398230088E-2</v>
      </c>
    </row>
    <row r="25" spans="2:33" ht="16.5">
      <c r="B25" s="3937"/>
      <c r="C25" s="3190">
        <v>12</v>
      </c>
      <c r="D25" s="3191" t="s">
        <v>3604</v>
      </c>
      <c r="E25" s="3191" t="s">
        <v>3605</v>
      </c>
      <c r="F25" s="3191" t="s">
        <v>27</v>
      </c>
      <c r="G25" s="3192">
        <v>11438</v>
      </c>
      <c r="H25" s="3193">
        <v>7.1</v>
      </c>
      <c r="I25" s="3336">
        <v>6.4</v>
      </c>
      <c r="J25" s="3194">
        <v>42917</v>
      </c>
      <c r="K25" s="3195">
        <v>12</v>
      </c>
      <c r="L25" s="3196">
        <f>K25*G25*365/100000000/H25</f>
        <v>7.0561183098591551E-2</v>
      </c>
      <c r="M25" s="3203" t="s">
        <v>3598</v>
      </c>
      <c r="Q25" s="3322"/>
      <c r="R25" s="3322"/>
      <c r="S25" s="3322"/>
      <c r="T25" s="3322"/>
      <c r="U25" s="3322"/>
      <c r="V25" s="3322"/>
      <c r="W25" s="3432" t="s">
        <v>4234</v>
      </c>
      <c r="X25" s="3447" t="str">
        <f t="shared" si="6"/>
        <v>钻石大厦</v>
      </c>
      <c r="AA25" s="3212">
        <f t="shared" si="7"/>
        <v>5.7697818181818183E-2</v>
      </c>
    </row>
    <row r="26" spans="2:33" ht="33">
      <c r="B26" s="3937"/>
      <c r="C26" s="3190">
        <v>13</v>
      </c>
      <c r="D26" s="3191" t="s">
        <v>3606</v>
      </c>
      <c r="E26" s="3191" t="s">
        <v>3607</v>
      </c>
      <c r="F26" s="3191" t="s">
        <v>27</v>
      </c>
      <c r="G26" s="3192">
        <v>28167</v>
      </c>
      <c r="H26" s="3193">
        <f>28170*22932/100000000</f>
        <v>6.4599444000000004</v>
      </c>
      <c r="I26" s="3336">
        <f>H26*10000/G26</f>
        <v>2.2934442432633935</v>
      </c>
      <c r="J26" s="3194"/>
      <c r="K26" s="3195"/>
      <c r="L26" s="3196"/>
      <c r="M26" s="3203"/>
      <c r="W26" s="3432" t="s">
        <v>4234</v>
      </c>
      <c r="X26" s="3447" t="str">
        <f t="shared" si="6"/>
        <v>首创空间大厦</v>
      </c>
      <c r="AA26" s="3212">
        <f t="shared" si="7"/>
        <v>5.6472640218878253E-2</v>
      </c>
    </row>
    <row r="27" spans="2:33" ht="49.5">
      <c r="B27" s="3937"/>
      <c r="C27" s="3190">
        <v>14</v>
      </c>
      <c r="D27" s="3191" t="s">
        <v>3608</v>
      </c>
      <c r="E27" s="3191" t="s">
        <v>3607</v>
      </c>
      <c r="F27" s="3191" t="s">
        <v>27</v>
      </c>
      <c r="G27" s="3192">
        <v>16906</v>
      </c>
      <c r="H27" s="3193">
        <v>3.68</v>
      </c>
      <c r="I27" s="3336">
        <f>H27*10000/G27</f>
        <v>2.1767419850940493</v>
      </c>
      <c r="J27" s="3194">
        <v>42826</v>
      </c>
      <c r="K27" s="3195">
        <v>4</v>
      </c>
      <c r="L27" s="3196">
        <f>K27*G27*365/100000000/H27</f>
        <v>6.7072717391304354E-2</v>
      </c>
      <c r="M27" s="3203" t="s">
        <v>3583</v>
      </c>
      <c r="O27" s="3189" t="s">
        <v>3781</v>
      </c>
      <c r="P27" s="3189" t="s">
        <v>3808</v>
      </c>
      <c r="W27" s="3189" t="s">
        <v>4228</v>
      </c>
      <c r="X27" s="3247" t="str">
        <f>D25</f>
        <v>九和大厦</v>
      </c>
      <c r="AA27" s="3212">
        <f>L25</f>
        <v>7.0561183098591551E-2</v>
      </c>
    </row>
    <row r="28" spans="2:33" ht="40.5">
      <c r="B28" s="3937"/>
      <c r="C28" s="3190">
        <v>15</v>
      </c>
      <c r="D28" s="3191" t="s">
        <v>3609</v>
      </c>
      <c r="E28" s="3191" t="s">
        <v>3610</v>
      </c>
      <c r="F28" s="3191" t="s">
        <v>27</v>
      </c>
      <c r="G28" s="3192">
        <v>9176</v>
      </c>
      <c r="H28" s="3193">
        <v>3.4</v>
      </c>
      <c r="I28" s="3336">
        <v>3.7</v>
      </c>
      <c r="J28" s="3194">
        <v>42917</v>
      </c>
      <c r="K28" s="3195">
        <v>5.9</v>
      </c>
      <c r="L28" s="3196">
        <f>K28*G28*365/100000000/H28</f>
        <v>5.8119164705882354E-2</v>
      </c>
      <c r="M28" s="3203" t="s">
        <v>3598</v>
      </c>
      <c r="P28" s="3189" t="s">
        <v>3809</v>
      </c>
      <c r="W28" s="3189" t="s">
        <v>4235</v>
      </c>
      <c r="X28" s="3247" t="str">
        <f>D27</f>
        <v>电子城IT产业园C2A</v>
      </c>
      <c r="AA28" s="3212">
        <f>L27</f>
        <v>6.7072717391304354E-2</v>
      </c>
    </row>
    <row r="29" spans="2:33" ht="49.5">
      <c r="B29" s="3937"/>
      <c r="C29" s="3190">
        <v>16</v>
      </c>
      <c r="D29" s="3191" t="s">
        <v>3611</v>
      </c>
      <c r="E29" s="3191" t="s">
        <v>3607</v>
      </c>
      <c r="F29" s="3191" t="s">
        <v>27</v>
      </c>
      <c r="G29" s="3192">
        <v>12797</v>
      </c>
      <c r="H29" s="3193">
        <v>3.37</v>
      </c>
      <c r="I29" s="3336">
        <v>2.63</v>
      </c>
      <c r="J29" s="3194">
        <v>42795</v>
      </c>
      <c r="K29" s="3195">
        <v>4.0999999999999996</v>
      </c>
      <c r="L29" s="3196">
        <f>K29*G29*365/100000000/H29</f>
        <v>5.6827034124629083E-2</v>
      </c>
      <c r="M29" s="3203" t="s">
        <v>3583</v>
      </c>
      <c r="P29" s="3189" t="s">
        <v>3810</v>
      </c>
      <c r="Q29" s="3212"/>
      <c r="W29" s="3189" t="s">
        <v>4236</v>
      </c>
      <c r="X29" s="3247" t="str">
        <f t="shared" ref="X29:X31" si="8">D28</f>
        <v>硅谷亮城4号楼</v>
      </c>
      <c r="AA29" s="3212">
        <f t="shared" ref="AA29:AA31" si="9">L28</f>
        <v>5.8119164705882354E-2</v>
      </c>
    </row>
    <row r="30" spans="2:33" ht="40.5">
      <c r="B30" s="3937"/>
      <c r="C30" s="3190">
        <v>17</v>
      </c>
      <c r="D30" s="3191" t="s">
        <v>3612</v>
      </c>
      <c r="E30" s="3191" t="s">
        <v>3613</v>
      </c>
      <c r="F30" s="3191" t="s">
        <v>27</v>
      </c>
      <c r="G30" s="3192">
        <v>9698.73</v>
      </c>
      <c r="H30" s="3193">
        <v>2.69</v>
      </c>
      <c r="I30" s="3336">
        <f t="shared" ref="I30:I37" si="10">H30*10000/G30</f>
        <v>2.7735590123655367</v>
      </c>
      <c r="J30" s="3194">
        <v>42736</v>
      </c>
      <c r="K30" s="3195">
        <v>3.1</v>
      </c>
      <c r="L30" s="3196">
        <f>K30*G30*365/100000000/H30</f>
        <v>4.0795959089219326E-2</v>
      </c>
      <c r="M30" s="3203" t="s">
        <v>3598</v>
      </c>
      <c r="W30" s="3189" t="s">
        <v>4235</v>
      </c>
      <c r="X30" s="3247" t="str">
        <f t="shared" si="8"/>
        <v>电子城IT产业园C3B</v>
      </c>
      <c r="AA30" s="3212">
        <f t="shared" si="9"/>
        <v>5.6827034124629083E-2</v>
      </c>
    </row>
    <row r="31" spans="2:33" ht="33">
      <c r="B31" s="3937"/>
      <c r="C31" s="3190">
        <v>18</v>
      </c>
      <c r="D31" s="3191" t="s">
        <v>3614</v>
      </c>
      <c r="E31" s="3191" t="s">
        <v>3582</v>
      </c>
      <c r="F31" s="3191" t="s">
        <v>27</v>
      </c>
      <c r="G31" s="3192">
        <v>36877</v>
      </c>
      <c r="H31" s="3193">
        <v>0</v>
      </c>
      <c r="I31" s="3336">
        <v>0</v>
      </c>
      <c r="J31" s="3194"/>
      <c r="K31" s="3195"/>
      <c r="L31" s="3196"/>
      <c r="M31" s="3203" t="s">
        <v>3615</v>
      </c>
      <c r="W31" s="3189" t="s">
        <v>4237</v>
      </c>
      <c r="X31" s="3247" t="str">
        <f t="shared" si="8"/>
        <v>程远大厦</v>
      </c>
      <c r="AA31" s="3212">
        <f t="shared" si="9"/>
        <v>4.0795959089219326E-2</v>
      </c>
    </row>
    <row r="32" spans="2:33" ht="49.5">
      <c r="B32" s="3937"/>
      <c r="C32" s="3190">
        <v>19</v>
      </c>
      <c r="D32" s="3198" t="s">
        <v>4056</v>
      </c>
      <c r="E32" s="3198" t="s">
        <v>3616</v>
      </c>
      <c r="F32" s="3198" t="s">
        <v>3588</v>
      </c>
      <c r="G32" s="3199">
        <v>48000</v>
      </c>
      <c r="H32" s="3200">
        <v>16.91</v>
      </c>
      <c r="I32" s="3337">
        <v>3.5</v>
      </c>
      <c r="J32" s="3201">
        <v>42856</v>
      </c>
      <c r="K32" s="3202"/>
      <c r="L32" s="3203"/>
      <c r="M32" s="3204" t="s">
        <v>3617</v>
      </c>
      <c r="N32" s="3402" t="s">
        <v>3618</v>
      </c>
      <c r="W32" s="3189" t="s">
        <v>4238</v>
      </c>
      <c r="X32" s="3247" t="str">
        <f>D38</f>
        <v>迦南大厦</v>
      </c>
      <c r="AA32" s="3212">
        <f>L38</f>
        <v>4.4363031914893616E-2</v>
      </c>
    </row>
    <row r="33" spans="2:27" ht="33">
      <c r="B33" s="3937"/>
      <c r="C33" s="3190">
        <v>20</v>
      </c>
      <c r="D33" s="3191" t="s">
        <v>3619</v>
      </c>
      <c r="E33" s="3191" t="s">
        <v>3613</v>
      </c>
      <c r="F33" s="3191" t="s">
        <v>3588</v>
      </c>
      <c r="G33" s="3192">
        <v>48701.64</v>
      </c>
      <c r="H33" s="3193">
        <v>25.56</v>
      </c>
      <c r="I33" s="3336">
        <f t="shared" si="10"/>
        <v>5.248283220031194</v>
      </c>
      <c r="J33" s="3194">
        <v>43070</v>
      </c>
      <c r="K33" s="3195"/>
      <c r="L33" s="3196"/>
      <c r="M33" s="3203" t="s">
        <v>3620</v>
      </c>
      <c r="N33" s="3402" t="s">
        <v>3621</v>
      </c>
      <c r="W33" s="3189" t="s">
        <v>4229</v>
      </c>
      <c r="X33" s="3247" t="str">
        <f t="shared" ref="X33:X35" si="11">D39</f>
        <v>望京国际商城</v>
      </c>
      <c r="AA33" s="3267" t="s">
        <v>4312</v>
      </c>
    </row>
    <row r="34" spans="2:27" ht="33">
      <c r="B34" s="3937"/>
      <c r="C34" s="3190">
        <v>21</v>
      </c>
      <c r="D34" s="3198" t="s">
        <v>3622</v>
      </c>
      <c r="E34" s="3198" t="s">
        <v>3623</v>
      </c>
      <c r="F34" s="3198" t="s">
        <v>3588</v>
      </c>
      <c r="G34" s="3199">
        <v>62805</v>
      </c>
      <c r="H34" s="3200">
        <v>19.84</v>
      </c>
      <c r="I34" s="3337">
        <f>H34*10000/G34</f>
        <v>3.1589841573123159</v>
      </c>
      <c r="J34" s="3201">
        <v>42826</v>
      </c>
      <c r="K34" s="3202"/>
      <c r="L34" s="3203"/>
      <c r="M34" s="3203" t="s">
        <v>3620</v>
      </c>
      <c r="N34" s="3402" t="s">
        <v>3621</v>
      </c>
      <c r="W34" s="3189" t="s">
        <v>4231</v>
      </c>
      <c r="X34" s="3247" t="str">
        <f t="shared" si="11"/>
        <v>恒基中心</v>
      </c>
      <c r="AA34" s="3212">
        <f t="shared" ref="AA34:AA35" si="12">L40</f>
        <v>7.9819206896551725E-2</v>
      </c>
    </row>
    <row r="35" spans="2:27" ht="33">
      <c r="B35" s="3937"/>
      <c r="C35" s="3327">
        <v>22</v>
      </c>
      <c r="D35" s="3328" t="s">
        <v>3624</v>
      </c>
      <c r="E35" s="3328" t="s">
        <v>3625</v>
      </c>
      <c r="F35" s="3328" t="s">
        <v>3588</v>
      </c>
      <c r="G35" s="3329">
        <v>43369</v>
      </c>
      <c r="H35" s="3330">
        <v>18.3</v>
      </c>
      <c r="I35" s="3336">
        <f t="shared" si="10"/>
        <v>4.2196038645115177</v>
      </c>
      <c r="J35" s="3331">
        <v>42826</v>
      </c>
      <c r="K35" s="3332"/>
      <c r="L35" s="3333"/>
      <c r="M35" s="3407" t="s">
        <v>3620</v>
      </c>
      <c r="N35" s="3334" t="s">
        <v>4057</v>
      </c>
      <c r="O35" s="3189" t="s">
        <v>4058</v>
      </c>
      <c r="W35" s="3189" t="s">
        <v>4239</v>
      </c>
      <c r="X35" s="3247" t="str">
        <f t="shared" si="11"/>
        <v>淘汇新天</v>
      </c>
      <c r="AA35" s="3212">
        <f t="shared" si="12"/>
        <v>3.4373597228532483E-2</v>
      </c>
    </row>
    <row r="36" spans="2:27" ht="33">
      <c r="B36" s="3937"/>
      <c r="C36" s="3190">
        <v>23</v>
      </c>
      <c r="D36" s="3191" t="s">
        <v>3626</v>
      </c>
      <c r="E36" s="3191" t="s">
        <v>3627</v>
      </c>
      <c r="F36" s="3191" t="s">
        <v>3588</v>
      </c>
      <c r="G36" s="3192">
        <v>36692</v>
      </c>
      <c r="H36" s="3193">
        <v>14.61</v>
      </c>
      <c r="I36" s="3336">
        <f t="shared" si="10"/>
        <v>3.9817943965987137</v>
      </c>
      <c r="J36" s="3194">
        <v>42767</v>
      </c>
      <c r="K36" s="3195"/>
      <c r="L36" s="3196"/>
      <c r="M36" s="3203" t="s">
        <v>3598</v>
      </c>
      <c r="N36" s="3402" t="s">
        <v>3621</v>
      </c>
      <c r="W36" s="3189" t="s">
        <v>4240</v>
      </c>
      <c r="X36" s="3247" t="str">
        <f>D44</f>
        <v>广安门购物中心</v>
      </c>
      <c r="AA36" s="3212">
        <f>L44</f>
        <v>4.9493013883677293E-2</v>
      </c>
    </row>
    <row r="37" spans="2:27" ht="33">
      <c r="B37" s="3937"/>
      <c r="C37" s="3190">
        <v>24</v>
      </c>
      <c r="D37" s="3191" t="s">
        <v>3628</v>
      </c>
      <c r="E37" s="3191" t="s">
        <v>3629</v>
      </c>
      <c r="F37" s="3191" t="s">
        <v>3588</v>
      </c>
      <c r="G37" s="3192">
        <v>17470</v>
      </c>
      <c r="H37" s="3193">
        <v>6.8</v>
      </c>
      <c r="I37" s="3336">
        <f t="shared" si="10"/>
        <v>3.8923869490555236</v>
      </c>
      <c r="J37" s="3194"/>
      <c r="K37" s="3195"/>
      <c r="L37" s="3196"/>
      <c r="M37" s="3408" t="s">
        <v>4161</v>
      </c>
      <c r="N37" s="3402" t="s">
        <v>3621</v>
      </c>
      <c r="W37" s="3189" t="s">
        <v>4241</v>
      </c>
      <c r="X37" s="3247" t="s">
        <v>3350</v>
      </c>
      <c r="AA37" s="3451">
        <f>'案例-租金'!L114</f>
        <v>6.8704385725795611E-2</v>
      </c>
    </row>
    <row r="38" spans="2:27" ht="16.5">
      <c r="B38" s="3937"/>
      <c r="C38" s="3190">
        <v>25</v>
      </c>
      <c r="D38" s="3191" t="s">
        <v>3630</v>
      </c>
      <c r="E38" s="3191" t="s">
        <v>3631</v>
      </c>
      <c r="F38" s="3191" t="s">
        <v>3588</v>
      </c>
      <c r="G38" s="3192">
        <v>15995</v>
      </c>
      <c r="H38" s="3193">
        <v>6.58</v>
      </c>
      <c r="I38" s="3336">
        <f>H38/G38*10000</f>
        <v>4.113785557986871</v>
      </c>
      <c r="J38" s="3194">
        <v>42795</v>
      </c>
      <c r="K38" s="3195">
        <v>5</v>
      </c>
      <c r="L38" s="3196">
        <f>K38*G38*365/100000000/H38</f>
        <v>4.4363031914893616E-2</v>
      </c>
      <c r="M38" s="3203" t="s">
        <v>3598</v>
      </c>
      <c r="N38" s="3402" t="s">
        <v>3244</v>
      </c>
    </row>
    <row r="39" spans="2:27" ht="33">
      <c r="B39" s="3937"/>
      <c r="C39" s="3190">
        <v>26</v>
      </c>
      <c r="D39" s="3191" t="s">
        <v>3632</v>
      </c>
      <c r="E39" s="3191" t="s">
        <v>3633</v>
      </c>
      <c r="F39" s="3191" t="s">
        <v>1343</v>
      </c>
      <c r="G39" s="3192">
        <v>63000</v>
      </c>
      <c r="H39" s="3193">
        <v>32</v>
      </c>
      <c r="I39" s="3336">
        <f>H39/G39*10000</f>
        <v>5.0793650793650791</v>
      </c>
      <c r="J39" s="3194">
        <v>42917</v>
      </c>
      <c r="K39" s="3195">
        <v>4.9000000000000004</v>
      </c>
      <c r="L39" s="3196">
        <f>K39*G39*365/100000000/H39</f>
        <v>3.5211093749999998E-2</v>
      </c>
      <c r="M39" s="3203" t="s">
        <v>3598</v>
      </c>
      <c r="AA39" s="3450">
        <f>AVERAGE(AA15:AA38)</f>
        <v>5.519325679677653E-2</v>
      </c>
    </row>
    <row r="40" spans="2:27" ht="33">
      <c r="B40" s="3937"/>
      <c r="C40" s="3190">
        <v>27</v>
      </c>
      <c r="D40" s="3198" t="s">
        <v>3634</v>
      </c>
      <c r="E40" s="3198" t="s">
        <v>3623</v>
      </c>
      <c r="F40" s="3198" t="s">
        <v>1343</v>
      </c>
      <c r="G40" s="3199">
        <v>85700</v>
      </c>
      <c r="H40" s="3200">
        <v>29</v>
      </c>
      <c r="I40" s="3337">
        <v>3.4</v>
      </c>
      <c r="J40" s="3201">
        <v>42767</v>
      </c>
      <c r="K40" s="3202">
        <v>7.4</v>
      </c>
      <c r="L40" s="3196">
        <f>K40*G40*365/100000000/H40</f>
        <v>7.9819206896551725E-2</v>
      </c>
      <c r="M40" s="3203" t="s">
        <v>3635</v>
      </c>
      <c r="N40" s="3402" t="s">
        <v>3244</v>
      </c>
    </row>
    <row r="41" spans="2:27" ht="16.5">
      <c r="B41" s="3937"/>
      <c r="C41" s="3190">
        <v>28</v>
      </c>
      <c r="D41" s="3191" t="s">
        <v>3636</v>
      </c>
      <c r="E41" s="3191" t="s">
        <v>3637</v>
      </c>
      <c r="F41" s="3191" t="s">
        <v>1343</v>
      </c>
      <c r="G41" s="3192">
        <v>27637</v>
      </c>
      <c r="H41" s="3193">
        <v>22.01</v>
      </c>
      <c r="I41" s="3336">
        <f>H41*10000/G41</f>
        <v>7.9639613561529847</v>
      </c>
      <c r="J41" s="3194">
        <v>42917</v>
      </c>
      <c r="K41" s="3195">
        <v>7.5</v>
      </c>
      <c r="L41" s="3196">
        <f>K41*G41*365/100000000/H41</f>
        <v>3.4373597228532483E-2</v>
      </c>
      <c r="M41" s="3203" t="s">
        <v>3598</v>
      </c>
    </row>
    <row r="42" spans="2:27" ht="33">
      <c r="B42" s="3937"/>
      <c r="C42" s="3190">
        <v>29</v>
      </c>
      <c r="D42" s="3191" t="s">
        <v>3638</v>
      </c>
      <c r="E42" s="3191" t="s">
        <v>3633</v>
      </c>
      <c r="F42" s="3191" t="s">
        <v>1343</v>
      </c>
      <c r="G42" s="3192">
        <v>50084</v>
      </c>
      <c r="H42" s="3193">
        <v>12.5</v>
      </c>
      <c r="I42" s="3336">
        <f>H42*10000/G42</f>
        <v>2.4958070441658013</v>
      </c>
      <c r="J42" s="3194">
        <v>42826</v>
      </c>
      <c r="K42" s="3195"/>
      <c r="L42" s="3196"/>
      <c r="M42" s="3203" t="s">
        <v>3620</v>
      </c>
    </row>
    <row r="43" spans="2:27" ht="49.5">
      <c r="B43" s="3937"/>
      <c r="C43" s="3190">
        <v>30</v>
      </c>
      <c r="D43" s="3191" t="s">
        <v>3639</v>
      </c>
      <c r="E43" s="3191" t="s">
        <v>3640</v>
      </c>
      <c r="F43" s="3191" t="s">
        <v>1343</v>
      </c>
      <c r="G43" s="3192">
        <v>43443</v>
      </c>
      <c r="H43" s="3193">
        <v>11.3</v>
      </c>
      <c r="I43" s="3336">
        <v>2.6</v>
      </c>
      <c r="J43" s="3194">
        <v>42917</v>
      </c>
      <c r="K43" s="3195"/>
      <c r="L43" s="3196"/>
      <c r="M43" s="3204" t="s">
        <v>3641</v>
      </c>
    </row>
    <row r="44" spans="2:27" ht="33">
      <c r="B44" s="3937"/>
      <c r="C44" s="3190">
        <v>31</v>
      </c>
      <c r="D44" s="3191" t="s">
        <v>3642</v>
      </c>
      <c r="E44" s="3191" t="s">
        <v>3643</v>
      </c>
      <c r="F44" s="3191" t="s">
        <v>1343</v>
      </c>
      <c r="G44" s="3192">
        <v>10474.4</v>
      </c>
      <c r="H44" s="3193">
        <v>5.33</v>
      </c>
      <c r="I44" s="3336">
        <f>H44*10000/G44</f>
        <v>5.0885969602077452</v>
      </c>
      <c r="J44" s="3194">
        <v>43070</v>
      </c>
      <c r="K44" s="3213">
        <v>6.9</v>
      </c>
      <c r="L44" s="3214">
        <f>K44*G44*365/100000000/H44</f>
        <v>4.9493013883677293E-2</v>
      </c>
      <c r="M44" s="3203" t="s">
        <v>3620</v>
      </c>
    </row>
    <row r="45" spans="2:27" ht="16.5">
      <c r="B45" s="3937"/>
      <c r="C45" s="3190">
        <v>32</v>
      </c>
      <c r="D45" s="3191" t="s">
        <v>3644</v>
      </c>
      <c r="E45" s="3191" t="s">
        <v>3645</v>
      </c>
      <c r="F45" s="3191" t="s">
        <v>1343</v>
      </c>
      <c r="G45" s="3192">
        <v>30075.95</v>
      </c>
      <c r="H45" s="3193">
        <v>4.5191520000000001</v>
      </c>
      <c r="I45" s="3336">
        <f>H45*10000/G45</f>
        <v>1.5025799683800514</v>
      </c>
      <c r="J45" s="3194"/>
      <c r="K45" s="3195"/>
      <c r="L45" s="3196"/>
      <c r="M45" s="3203"/>
    </row>
    <row r="46" spans="2:27" ht="33" hidden="1">
      <c r="B46" s="3937"/>
      <c r="C46" s="3190">
        <v>33</v>
      </c>
      <c r="D46" s="3191" t="s">
        <v>3646</v>
      </c>
      <c r="E46" s="3191" t="s">
        <v>3633</v>
      </c>
      <c r="F46" s="3191" t="s">
        <v>1343</v>
      </c>
      <c r="G46" s="3192">
        <v>52687.4</v>
      </c>
      <c r="H46" s="3193">
        <v>0</v>
      </c>
      <c r="I46" s="3336">
        <v>0</v>
      </c>
      <c r="J46" s="3194"/>
      <c r="K46" s="3195"/>
      <c r="L46" s="3196"/>
      <c r="M46" s="3203"/>
    </row>
    <row r="47" spans="2:27" ht="16.5" hidden="1">
      <c r="B47" s="3937"/>
      <c r="C47" s="3190">
        <v>34</v>
      </c>
      <c r="D47" s="3191" t="s">
        <v>3647</v>
      </c>
      <c r="E47" s="3191" t="s">
        <v>3648</v>
      </c>
      <c r="F47" s="3191" t="s">
        <v>3588</v>
      </c>
      <c r="G47" s="3192">
        <v>6660.7</v>
      </c>
      <c r="H47" s="3193">
        <v>6.43</v>
      </c>
      <c r="I47" s="3336">
        <v>9.65</v>
      </c>
      <c r="J47" s="3205"/>
      <c r="K47" s="3205"/>
      <c r="L47" s="3205"/>
      <c r="M47" s="3409"/>
      <c r="N47" s="3402" t="s">
        <v>27</v>
      </c>
      <c r="O47">
        <f>SUMIF($F$48:$F$119,N47,$G$48:$G$119)</f>
        <v>1037219.9086233039</v>
      </c>
      <c r="P47" s="3197">
        <f>O47/$O$51</f>
        <v>0.32129754491402485</v>
      </c>
    </row>
    <row r="48" spans="2:27" ht="66" hidden="1">
      <c r="B48" s="3937" t="s">
        <v>3649</v>
      </c>
      <c r="C48" s="3206">
        <v>1</v>
      </c>
      <c r="D48" s="3206" t="s">
        <v>3650</v>
      </c>
      <c r="E48" s="3206" t="s">
        <v>3651</v>
      </c>
      <c r="F48" s="3206" t="s">
        <v>27</v>
      </c>
      <c r="G48" s="3207">
        <v>75177</v>
      </c>
      <c r="H48" s="3208">
        <v>17.190000000000001</v>
      </c>
      <c r="I48" s="3338">
        <v>2.2866036154675</v>
      </c>
      <c r="J48" s="3209"/>
      <c r="K48" s="3209"/>
      <c r="L48" s="3209"/>
      <c r="M48" s="3410"/>
      <c r="N48" s="3402" t="s">
        <v>1343</v>
      </c>
      <c r="O48">
        <f>SUMIF($F$48:$F$119,N48,$G$48:$G$119)</f>
        <v>57054.86</v>
      </c>
      <c r="P48" s="3197">
        <f>O48/$O$51</f>
        <v>1.7673770326819903E-2</v>
      </c>
    </row>
    <row r="49" spans="2:16" ht="33" hidden="1">
      <c r="B49" s="3937"/>
      <c r="C49" s="3206">
        <v>2</v>
      </c>
      <c r="D49" s="3206" t="s">
        <v>3652</v>
      </c>
      <c r="E49" s="3206" t="s">
        <v>3653</v>
      </c>
      <c r="F49" s="3206" t="s">
        <v>27</v>
      </c>
      <c r="G49" s="3210">
        <v>19566.62</v>
      </c>
      <c r="H49" s="3208">
        <v>9.3202999999999996</v>
      </c>
      <c r="I49" s="3338">
        <v>4.7633674083720097</v>
      </c>
      <c r="J49" s="3209"/>
      <c r="K49" s="3209"/>
      <c r="L49" s="3209"/>
      <c r="M49" s="3410"/>
      <c r="N49" s="3402" t="s">
        <v>3588</v>
      </c>
      <c r="O49">
        <f>SUMIF($F$48:$F$119,N49,$G$48:$G$119)</f>
        <v>867157.79</v>
      </c>
      <c r="P49" s="3197">
        <f>O49/$O$51</f>
        <v>0.26861774119808068</v>
      </c>
    </row>
    <row r="50" spans="2:16" ht="33" hidden="1">
      <c r="B50" s="3937"/>
      <c r="C50" s="3206">
        <v>3</v>
      </c>
      <c r="D50" s="3206" t="s">
        <v>3654</v>
      </c>
      <c r="E50" s="3206" t="s">
        <v>3653</v>
      </c>
      <c r="F50" s="3206" t="s">
        <v>27</v>
      </c>
      <c r="G50" s="3211">
        <v>11912.44</v>
      </c>
      <c r="H50" s="3208">
        <v>4.3955000000000002</v>
      </c>
      <c r="I50" s="3338">
        <v>3.6898402006641802</v>
      </c>
      <c r="J50" s="3209"/>
      <c r="K50" s="3209"/>
      <c r="L50" s="3209"/>
      <c r="M50" s="3410"/>
      <c r="N50" s="3402" t="s">
        <v>3591</v>
      </c>
      <c r="O50">
        <f>SUMIF($F$48:$F$119,N50,$G$48:$G$119)</f>
        <v>1266789.77</v>
      </c>
      <c r="P50" s="3197">
        <f>O50/$O$51</f>
        <v>0.39241094356107453</v>
      </c>
    </row>
    <row r="51" spans="2:16" ht="33" hidden="1">
      <c r="B51" s="3937"/>
      <c r="C51" s="3206">
        <v>4</v>
      </c>
      <c r="D51" s="3206" t="s">
        <v>3655</v>
      </c>
      <c r="E51" s="3206" t="s">
        <v>3656</v>
      </c>
      <c r="F51" s="3206" t="s">
        <v>27</v>
      </c>
      <c r="G51" s="3211">
        <v>10962.43</v>
      </c>
      <c r="H51" s="3208">
        <v>6.6</v>
      </c>
      <c r="I51" s="3338">
        <v>6.0205629591249403</v>
      </c>
      <c r="J51" s="3209"/>
      <c r="K51" s="3209"/>
      <c r="L51" s="3209"/>
      <c r="M51" s="3410"/>
      <c r="O51">
        <f>SUM(O47:O50)</f>
        <v>3228222.3286233041</v>
      </c>
    </row>
    <row r="52" spans="2:16" ht="33" hidden="1">
      <c r="B52" s="3937"/>
      <c r="C52" s="3206">
        <v>5</v>
      </c>
      <c r="D52" s="3206" t="s">
        <v>3657</v>
      </c>
      <c r="E52" s="3206" t="s">
        <v>3658</v>
      </c>
      <c r="F52" s="3206" t="s">
        <v>27</v>
      </c>
      <c r="G52" s="3211">
        <v>20899</v>
      </c>
      <c r="H52" s="3208">
        <v>14.9</v>
      </c>
      <c r="I52" s="3338">
        <v>7.1295277285994496</v>
      </c>
      <c r="J52" s="3209"/>
      <c r="K52" s="3209"/>
      <c r="L52" s="3209"/>
      <c r="M52" s="3410"/>
    </row>
    <row r="53" spans="2:16" ht="33" hidden="1">
      <c r="B53" s="3937"/>
      <c r="C53" s="3206">
        <v>6</v>
      </c>
      <c r="D53" s="3206" t="s">
        <v>3659</v>
      </c>
      <c r="E53" s="3206" t="s">
        <v>3660</v>
      </c>
      <c r="F53" s="3206" t="s">
        <v>27</v>
      </c>
      <c r="G53" s="3211">
        <v>17413.7</v>
      </c>
      <c r="H53" s="3208">
        <v>12.863980379999999</v>
      </c>
      <c r="I53" s="3338">
        <v>7.3872757541476002</v>
      </c>
      <c r="J53" s="3209"/>
      <c r="K53" s="3209"/>
      <c r="L53" s="3209"/>
      <c r="M53" s="3410"/>
    </row>
    <row r="54" spans="2:16" ht="33" hidden="1">
      <c r="B54" s="3937"/>
      <c r="C54" s="3206">
        <v>7</v>
      </c>
      <c r="D54" s="3206" t="s">
        <v>3661</v>
      </c>
      <c r="E54" s="3206" t="s">
        <v>3662</v>
      </c>
      <c r="F54" s="3206" t="s">
        <v>27</v>
      </c>
      <c r="G54" s="3211">
        <v>20257.25</v>
      </c>
      <c r="H54" s="3208">
        <v>8.2406000000000006</v>
      </c>
      <c r="I54" s="3338">
        <v>4.0679756630342201</v>
      </c>
      <c r="J54" s="3209"/>
      <c r="K54" s="3209"/>
      <c r="L54" s="3209"/>
      <c r="M54" s="3410"/>
    </row>
    <row r="55" spans="2:16" ht="33" hidden="1">
      <c r="B55" s="3937"/>
      <c r="C55" s="3206">
        <v>8</v>
      </c>
      <c r="D55" s="3206" t="s">
        <v>3661</v>
      </c>
      <c r="E55" s="3206" t="s">
        <v>3662</v>
      </c>
      <c r="F55" s="3206" t="s">
        <v>27</v>
      </c>
      <c r="G55" s="3211">
        <v>7515.36</v>
      </c>
      <c r="H55" s="3208">
        <v>3.9542818199999998</v>
      </c>
      <c r="I55" s="3338">
        <v>5.2616000031934602</v>
      </c>
      <c r="J55" s="3209"/>
      <c r="K55" s="3209"/>
      <c r="L55" s="3209"/>
      <c r="M55" s="3410"/>
    </row>
    <row r="56" spans="2:16" ht="33" hidden="1">
      <c r="B56" s="3937"/>
      <c r="C56" s="3206">
        <v>9</v>
      </c>
      <c r="D56" s="3211" t="s">
        <v>3663</v>
      </c>
      <c r="E56" s="3206" t="s">
        <v>3664</v>
      </c>
      <c r="F56" s="3206" t="s">
        <v>27</v>
      </c>
      <c r="G56" s="3211">
        <v>24883</v>
      </c>
      <c r="H56" s="3208">
        <v>13.187989999999999</v>
      </c>
      <c r="I56" s="3338">
        <v>5.3</v>
      </c>
      <c r="J56" s="3209"/>
      <c r="K56" s="3209"/>
      <c r="L56" s="3209"/>
      <c r="M56" s="3410"/>
    </row>
    <row r="57" spans="2:16" ht="33" hidden="1">
      <c r="B57" s="3937"/>
      <c r="C57" s="3206">
        <v>10</v>
      </c>
      <c r="D57" s="3206" t="s">
        <v>3665</v>
      </c>
      <c r="E57" s="3206" t="s">
        <v>3664</v>
      </c>
      <c r="F57" s="3206" t="s">
        <v>27</v>
      </c>
      <c r="G57" s="3207">
        <v>41662</v>
      </c>
      <c r="H57" s="3208">
        <v>26.580355999999998</v>
      </c>
      <c r="I57" s="3338">
        <v>6.38</v>
      </c>
      <c r="J57" s="3209"/>
      <c r="K57" s="3209"/>
      <c r="L57" s="3209"/>
      <c r="M57" s="3410"/>
    </row>
    <row r="58" spans="2:16" ht="66" hidden="1">
      <c r="B58" s="3937"/>
      <c r="C58" s="3206">
        <v>11</v>
      </c>
      <c r="D58" s="3206" t="s">
        <v>3666</v>
      </c>
      <c r="E58" s="3206" t="s">
        <v>3664</v>
      </c>
      <c r="F58" s="3206" t="s">
        <v>27</v>
      </c>
      <c r="G58" s="3207">
        <v>49243.42</v>
      </c>
      <c r="H58" s="3208">
        <v>17.00045361686</v>
      </c>
      <c r="I58" s="3338">
        <v>3.4523299999999999</v>
      </c>
      <c r="J58" s="3209"/>
      <c r="K58" s="3209"/>
      <c r="L58" s="3209"/>
      <c r="M58" s="3410"/>
    </row>
    <row r="59" spans="2:16" ht="33" hidden="1">
      <c r="B59" s="3937"/>
      <c r="C59" s="3206">
        <v>12</v>
      </c>
      <c r="D59" s="3206" t="s">
        <v>3667</v>
      </c>
      <c r="E59" s="3206" t="s">
        <v>3668</v>
      </c>
      <c r="F59" s="3206" t="s">
        <v>27</v>
      </c>
      <c r="G59" s="3211">
        <v>70548</v>
      </c>
      <c r="H59" s="3208">
        <v>36.684959999999997</v>
      </c>
      <c r="I59" s="3338">
        <v>5.2</v>
      </c>
      <c r="J59" s="3209"/>
      <c r="K59" s="3209"/>
      <c r="L59" s="3209"/>
      <c r="M59" s="3410"/>
    </row>
    <row r="60" spans="2:16" ht="33" hidden="1">
      <c r="B60" s="3937"/>
      <c r="C60" s="3206">
        <v>13</v>
      </c>
      <c r="D60" s="3206" t="s">
        <v>3669</v>
      </c>
      <c r="E60" s="3206" t="s">
        <v>3670</v>
      </c>
      <c r="F60" s="3206" t="s">
        <v>27</v>
      </c>
      <c r="G60" s="3211">
        <v>115130</v>
      </c>
      <c r="H60" s="3208">
        <v>25.96341</v>
      </c>
      <c r="I60" s="3338">
        <v>2.2551385390428198</v>
      </c>
      <c r="J60" s="3209"/>
      <c r="K60" s="3209"/>
      <c r="L60" s="3209"/>
      <c r="M60" s="3410"/>
    </row>
    <row r="61" spans="2:16" ht="33" hidden="1">
      <c r="B61" s="3937"/>
      <c r="C61" s="3206">
        <v>14</v>
      </c>
      <c r="D61" s="3206" t="s">
        <v>3671</v>
      </c>
      <c r="E61" s="3206" t="s">
        <v>3672</v>
      </c>
      <c r="F61" s="3206" t="s">
        <v>27</v>
      </c>
      <c r="G61" s="3211">
        <v>30259.18</v>
      </c>
      <c r="H61" s="3208">
        <v>19.971058800000002</v>
      </c>
      <c r="I61" s="3338">
        <v>6.6</v>
      </c>
      <c r="J61" s="3209"/>
      <c r="K61" s="3209"/>
      <c r="L61" s="3209"/>
      <c r="M61" s="3410"/>
    </row>
    <row r="62" spans="2:16" ht="33" hidden="1">
      <c r="B62" s="3937"/>
      <c r="C62" s="3206">
        <v>15</v>
      </c>
      <c r="D62" s="3206" t="s">
        <v>3673</v>
      </c>
      <c r="E62" s="3206" t="s">
        <v>3674</v>
      </c>
      <c r="F62" s="3206" t="s">
        <v>27</v>
      </c>
      <c r="G62" s="3211">
        <v>31697</v>
      </c>
      <c r="H62" s="3208">
        <v>13.71951924</v>
      </c>
      <c r="I62" s="3338">
        <v>4.3283336719563401</v>
      </c>
      <c r="J62" s="3209"/>
      <c r="K62" s="3209"/>
      <c r="L62" s="3209"/>
      <c r="M62" s="3410"/>
    </row>
    <row r="63" spans="2:16" ht="49.5" hidden="1">
      <c r="B63" s="3937"/>
      <c r="C63" s="3206">
        <v>16</v>
      </c>
      <c r="D63" s="3206" t="s">
        <v>3675</v>
      </c>
      <c r="E63" s="3206" t="s">
        <v>3676</v>
      </c>
      <c r="F63" s="3206" t="s">
        <v>27</v>
      </c>
      <c r="G63" s="3207">
        <v>36054</v>
      </c>
      <c r="H63" s="3208">
        <v>9.0386224800000008</v>
      </c>
      <c r="I63" s="3338">
        <v>2.5069680146447002</v>
      </c>
      <c r="J63" s="3209"/>
      <c r="K63" s="3209"/>
      <c r="L63" s="3209"/>
      <c r="M63" s="3410"/>
    </row>
    <row r="64" spans="2:16" ht="16.5" hidden="1">
      <c r="B64" s="3937"/>
      <c r="C64" s="3206">
        <v>17</v>
      </c>
      <c r="D64" s="3206" t="s">
        <v>3677</v>
      </c>
      <c r="E64" s="3206" t="s">
        <v>3676</v>
      </c>
      <c r="F64" s="3206" t="s">
        <v>27</v>
      </c>
      <c r="G64" s="3207">
        <v>10000</v>
      </c>
      <c r="H64" s="3208">
        <v>2.7</v>
      </c>
      <c r="I64" s="3338">
        <v>2.7</v>
      </c>
      <c r="J64" s="3209"/>
      <c r="K64" s="3209"/>
      <c r="L64" s="3209"/>
      <c r="M64" s="3410"/>
    </row>
    <row r="65" spans="2:13" ht="33" hidden="1">
      <c r="B65" s="3937"/>
      <c r="C65" s="3206">
        <v>18</v>
      </c>
      <c r="D65" s="3206" t="s">
        <v>3678</v>
      </c>
      <c r="E65" s="3206" t="s">
        <v>3676</v>
      </c>
      <c r="F65" s="3206" t="s">
        <v>27</v>
      </c>
      <c r="G65" s="3207">
        <v>37500</v>
      </c>
      <c r="H65" s="3208">
        <v>9.375</v>
      </c>
      <c r="I65" s="3338">
        <v>2.5</v>
      </c>
      <c r="J65" s="3209"/>
      <c r="K65" s="3209"/>
      <c r="L65" s="3209"/>
      <c r="M65" s="3410"/>
    </row>
    <row r="66" spans="2:13" ht="33" hidden="1">
      <c r="B66" s="3937"/>
      <c r="C66" s="3206">
        <v>19</v>
      </c>
      <c r="D66" s="3206" t="s">
        <v>3679</v>
      </c>
      <c r="E66" s="3206" t="s">
        <v>3680</v>
      </c>
      <c r="F66" s="3206" t="s">
        <v>27</v>
      </c>
      <c r="G66" s="3207">
        <v>32816.128623303797</v>
      </c>
      <c r="H66" s="3208">
        <v>25.75573855</v>
      </c>
      <c r="I66" s="3338">
        <v>7.8484999999999996</v>
      </c>
      <c r="J66" s="3209"/>
      <c r="K66" s="3209"/>
      <c r="L66" s="3209"/>
      <c r="M66" s="3410"/>
    </row>
    <row r="67" spans="2:13" ht="16.5" hidden="1">
      <c r="B67" s="3937"/>
      <c r="C67" s="3206">
        <v>20</v>
      </c>
      <c r="D67" s="3206" t="s">
        <v>3681</v>
      </c>
      <c r="E67" s="3206" t="s">
        <v>3662</v>
      </c>
      <c r="F67" s="3206" t="s">
        <v>27</v>
      </c>
      <c r="G67" s="3207">
        <v>11427.24</v>
      </c>
      <c r="H67" s="3208">
        <v>2.5</v>
      </c>
      <c r="I67" s="3338">
        <v>2.1877548734427599</v>
      </c>
      <c r="J67" s="3209"/>
      <c r="K67" s="3209"/>
      <c r="L67" s="3209"/>
      <c r="M67" s="3410"/>
    </row>
    <row r="68" spans="2:13" ht="33" hidden="1">
      <c r="B68" s="3937"/>
      <c r="C68" s="3206">
        <v>21</v>
      </c>
      <c r="D68" s="3206" t="s">
        <v>3682</v>
      </c>
      <c r="E68" s="3206" t="s">
        <v>3683</v>
      </c>
      <c r="F68" s="3206" t="s">
        <v>27</v>
      </c>
      <c r="G68" s="3211">
        <v>19154.61</v>
      </c>
      <c r="H68" s="3208">
        <v>12.5</v>
      </c>
      <c r="I68" s="3338">
        <v>6.5258441701501599</v>
      </c>
      <c r="J68" s="3209"/>
      <c r="K68" s="3209"/>
      <c r="L68" s="3209"/>
      <c r="M68" s="3410"/>
    </row>
    <row r="69" spans="2:13" ht="66" hidden="1">
      <c r="B69" s="3937"/>
      <c r="C69" s="3206">
        <v>22</v>
      </c>
      <c r="D69" s="3206" t="s">
        <v>3684</v>
      </c>
      <c r="E69" s="3206" t="s">
        <v>3683</v>
      </c>
      <c r="F69" s="3206" t="s">
        <v>27</v>
      </c>
      <c r="G69" s="3211">
        <v>29324.240000000002</v>
      </c>
      <c r="H69" s="3208">
        <v>21.5533164</v>
      </c>
      <c r="I69" s="3338">
        <v>7.35</v>
      </c>
      <c r="J69" s="3209"/>
      <c r="K69" s="3209"/>
      <c r="L69" s="3209"/>
      <c r="M69" s="3410"/>
    </row>
    <row r="70" spans="2:13" ht="33" hidden="1">
      <c r="B70" s="3937"/>
      <c r="C70" s="3206">
        <v>23</v>
      </c>
      <c r="D70" s="3206" t="s">
        <v>3685</v>
      </c>
      <c r="E70" s="3206" t="s">
        <v>3686</v>
      </c>
      <c r="F70" s="3206" t="s">
        <v>27</v>
      </c>
      <c r="G70" s="3211">
        <v>10061.219999999999</v>
      </c>
      <c r="H70" s="3208">
        <v>3</v>
      </c>
      <c r="I70" s="3338">
        <v>2.9817457525031799</v>
      </c>
      <c r="J70" s="3209"/>
      <c r="K70" s="3209"/>
      <c r="L70" s="3209"/>
      <c r="M70" s="3410"/>
    </row>
    <row r="71" spans="2:13" ht="66" hidden="1">
      <c r="B71" s="3937"/>
      <c r="C71" s="3206">
        <v>24</v>
      </c>
      <c r="D71" s="3206" t="s">
        <v>3687</v>
      </c>
      <c r="E71" s="3206" t="s">
        <v>3688</v>
      </c>
      <c r="F71" s="3206" t="s">
        <v>27</v>
      </c>
      <c r="G71" s="3211">
        <v>12974</v>
      </c>
      <c r="H71" s="3208">
        <v>6.2817396499999996</v>
      </c>
      <c r="I71" s="3338">
        <v>4.8417910050871003</v>
      </c>
      <c r="J71" s="3209"/>
      <c r="K71" s="3209"/>
      <c r="L71" s="3209"/>
      <c r="M71" s="3410"/>
    </row>
    <row r="72" spans="2:13" ht="66" hidden="1">
      <c r="B72" s="3937"/>
      <c r="C72" s="3206">
        <v>25</v>
      </c>
      <c r="D72" s="3206" t="s">
        <v>3689</v>
      </c>
      <c r="E72" s="3206" t="s">
        <v>3688</v>
      </c>
      <c r="F72" s="3206" t="s">
        <v>27</v>
      </c>
      <c r="G72" s="3211">
        <v>17570.16</v>
      </c>
      <c r="H72" s="3208">
        <v>6.2816999999999998</v>
      </c>
      <c r="I72" s="3338">
        <v>3.57520933218593</v>
      </c>
      <c r="J72" s="3209"/>
      <c r="K72" s="3209"/>
      <c r="L72" s="3209"/>
      <c r="M72" s="3410"/>
    </row>
    <row r="73" spans="2:13" ht="66" hidden="1">
      <c r="B73" s="3937"/>
      <c r="C73" s="3206">
        <v>26</v>
      </c>
      <c r="D73" s="3206" t="s">
        <v>3690</v>
      </c>
      <c r="E73" s="3206" t="s">
        <v>3688</v>
      </c>
      <c r="F73" s="3206" t="s">
        <v>27</v>
      </c>
      <c r="G73" s="3211">
        <v>4264.93</v>
      </c>
      <c r="H73" s="3208">
        <v>1.4998</v>
      </c>
      <c r="I73" s="3338">
        <v>3.5165876110510599</v>
      </c>
      <c r="J73" s="3209"/>
      <c r="K73" s="3209"/>
      <c r="L73" s="3209"/>
      <c r="M73" s="3410"/>
    </row>
    <row r="74" spans="2:13" ht="66" hidden="1">
      <c r="B74" s="3937"/>
      <c r="C74" s="3206">
        <v>27</v>
      </c>
      <c r="D74" s="3206" t="s">
        <v>3691</v>
      </c>
      <c r="E74" s="3206" t="s">
        <v>3688</v>
      </c>
      <c r="F74" s="3206" t="s">
        <v>27</v>
      </c>
      <c r="G74" s="3211">
        <v>40533.94</v>
      </c>
      <c r="H74" s="3208">
        <v>10.9940205462</v>
      </c>
      <c r="I74" s="3338">
        <v>2.7122999999999999</v>
      </c>
      <c r="J74" s="3209"/>
      <c r="K74" s="3209"/>
      <c r="L74" s="3209"/>
      <c r="M74" s="3410"/>
    </row>
    <row r="75" spans="2:13" ht="16.5" hidden="1">
      <c r="B75" s="3937"/>
      <c r="C75" s="3206">
        <v>28</v>
      </c>
      <c r="D75" s="3206" t="s">
        <v>3692</v>
      </c>
      <c r="E75" s="3206" t="s">
        <v>3693</v>
      </c>
      <c r="F75" s="3206" t="s">
        <v>27</v>
      </c>
      <c r="G75" s="3211">
        <v>80557.789999999994</v>
      </c>
      <c r="H75" s="3208">
        <v>26.3</v>
      </c>
      <c r="I75" s="3338">
        <v>3.2647370291563398</v>
      </c>
      <c r="J75" s="3209"/>
      <c r="K75" s="3209"/>
      <c r="L75" s="3209"/>
      <c r="M75" s="3410"/>
    </row>
    <row r="76" spans="2:13" ht="33" hidden="1">
      <c r="B76" s="3937"/>
      <c r="C76" s="3206">
        <v>29</v>
      </c>
      <c r="D76" s="3206" t="s">
        <v>3694</v>
      </c>
      <c r="E76" s="3206" t="s">
        <v>3693</v>
      </c>
      <c r="F76" s="3206" t="s">
        <v>27</v>
      </c>
      <c r="G76" s="3211">
        <v>25094.9</v>
      </c>
      <c r="H76" s="3208">
        <v>10.03796</v>
      </c>
      <c r="I76" s="3338">
        <v>4</v>
      </c>
      <c r="J76" s="3209"/>
      <c r="K76" s="3209"/>
      <c r="L76" s="3209"/>
      <c r="M76" s="3410"/>
    </row>
    <row r="77" spans="2:13" ht="33" hidden="1">
      <c r="B77" s="3937"/>
      <c r="C77" s="3206">
        <v>30</v>
      </c>
      <c r="D77" s="3206" t="s">
        <v>3695</v>
      </c>
      <c r="E77" s="3206" t="s">
        <v>3696</v>
      </c>
      <c r="F77" s="3206" t="s">
        <v>27</v>
      </c>
      <c r="G77" s="3207">
        <v>19266</v>
      </c>
      <c r="H77" s="3208">
        <v>7.2305910999999998</v>
      </c>
      <c r="I77" s="3338">
        <v>3.75303181770995</v>
      </c>
      <c r="J77" s="3209"/>
      <c r="K77" s="3209"/>
      <c r="L77" s="3209"/>
      <c r="M77" s="3410"/>
    </row>
    <row r="78" spans="2:13" ht="49.5" hidden="1">
      <c r="B78" s="3937"/>
      <c r="C78" s="3206">
        <v>31</v>
      </c>
      <c r="D78" s="3206" t="s">
        <v>3697</v>
      </c>
      <c r="E78" s="3206" t="s">
        <v>3696</v>
      </c>
      <c r="F78" s="3206" t="s">
        <v>27</v>
      </c>
      <c r="G78" s="3211">
        <v>23534.31</v>
      </c>
      <c r="H78" s="3208">
        <v>13.417899999999999</v>
      </c>
      <c r="I78" s="3338">
        <v>5.7014206067651898</v>
      </c>
      <c r="J78" s="3209"/>
      <c r="K78" s="3209"/>
      <c r="L78" s="3209"/>
      <c r="M78" s="3410"/>
    </row>
    <row r="79" spans="2:13" ht="49.5" hidden="1">
      <c r="B79" s="3937"/>
      <c r="C79" s="3206">
        <v>32</v>
      </c>
      <c r="D79" s="3206" t="s">
        <v>3698</v>
      </c>
      <c r="E79" s="3206" t="s">
        <v>3696</v>
      </c>
      <c r="F79" s="3206" t="s">
        <v>27</v>
      </c>
      <c r="G79" s="3211">
        <v>11111.76</v>
      </c>
      <c r="H79" s="3208">
        <v>4.5950461128000004</v>
      </c>
      <c r="I79" s="3338">
        <v>4.1353</v>
      </c>
      <c r="J79" s="3209"/>
      <c r="K79" s="3209"/>
      <c r="L79" s="3209"/>
      <c r="M79" s="3410"/>
    </row>
    <row r="80" spans="2:13" ht="49.5" hidden="1">
      <c r="B80" s="3937"/>
      <c r="C80" s="3206">
        <v>33</v>
      </c>
      <c r="D80" s="3206" t="s">
        <v>3699</v>
      </c>
      <c r="E80" s="3206" t="s">
        <v>3696</v>
      </c>
      <c r="F80" s="3206" t="s">
        <v>27</v>
      </c>
      <c r="G80" s="3211">
        <v>3305.15</v>
      </c>
      <c r="H80" s="3208">
        <v>1.9963436514999999</v>
      </c>
      <c r="I80" s="3338">
        <v>6.0400999999999998</v>
      </c>
      <c r="J80" s="3209"/>
      <c r="K80" s="3209"/>
      <c r="L80" s="3209"/>
      <c r="M80" s="3410"/>
    </row>
    <row r="81" spans="2:13" ht="33" hidden="1">
      <c r="B81" s="3937"/>
      <c r="C81" s="3206">
        <v>34</v>
      </c>
      <c r="D81" s="3206" t="s">
        <v>3700</v>
      </c>
      <c r="E81" s="3206" t="s">
        <v>3701</v>
      </c>
      <c r="F81" s="3206" t="s">
        <v>27</v>
      </c>
      <c r="G81" s="3211">
        <v>11818</v>
      </c>
      <c r="H81" s="3208">
        <v>3.2774121300000001</v>
      </c>
      <c r="I81" s="3338">
        <v>2.7732375444237598</v>
      </c>
      <c r="J81" s="3209"/>
      <c r="K81" s="3209"/>
      <c r="L81" s="3209"/>
      <c r="M81" s="3410"/>
    </row>
    <row r="82" spans="2:13" ht="33" hidden="1">
      <c r="B82" s="3937"/>
      <c r="C82" s="3206">
        <v>35</v>
      </c>
      <c r="D82" s="3206" t="s">
        <v>3702</v>
      </c>
      <c r="E82" s="3206" t="s">
        <v>3701</v>
      </c>
      <c r="F82" s="3206" t="s">
        <v>27</v>
      </c>
      <c r="G82" s="3211">
        <v>6425.13</v>
      </c>
      <c r="H82" s="3208">
        <v>2.2611317496000001</v>
      </c>
      <c r="I82" s="3338">
        <v>3.5192000000000001</v>
      </c>
      <c r="J82" s="3209"/>
      <c r="K82" s="3209"/>
      <c r="L82" s="3209"/>
      <c r="M82" s="3410"/>
    </row>
    <row r="83" spans="2:13" ht="33" hidden="1">
      <c r="B83" s="3937"/>
      <c r="C83" s="3206">
        <v>36</v>
      </c>
      <c r="D83" s="3206" t="s">
        <v>3703</v>
      </c>
      <c r="E83" s="3206" t="s">
        <v>3704</v>
      </c>
      <c r="F83" s="3206" t="s">
        <v>27</v>
      </c>
      <c r="G83" s="3211">
        <v>15000</v>
      </c>
      <c r="H83" s="3208">
        <v>5.55</v>
      </c>
      <c r="I83" s="3338">
        <v>3.7</v>
      </c>
      <c r="J83" s="3209"/>
      <c r="K83" s="3209"/>
      <c r="L83" s="3209"/>
      <c r="M83" s="3410"/>
    </row>
    <row r="84" spans="2:13" ht="33" hidden="1">
      <c r="B84" s="3937"/>
      <c r="C84" s="3206">
        <v>37</v>
      </c>
      <c r="D84" s="3206" t="s">
        <v>3705</v>
      </c>
      <c r="E84" s="3206" t="s">
        <v>3706</v>
      </c>
      <c r="F84" s="3206" t="s">
        <v>27</v>
      </c>
      <c r="G84" s="3211">
        <v>32300</v>
      </c>
      <c r="H84" s="3208">
        <v>9</v>
      </c>
      <c r="I84" s="3338">
        <v>2.7863777089783301</v>
      </c>
      <c r="J84" s="3209"/>
      <c r="K84" s="3209"/>
      <c r="L84" s="3209"/>
      <c r="M84" s="3410"/>
    </row>
    <row r="85" spans="2:13" ht="16.5" hidden="1">
      <c r="B85" s="3937"/>
      <c r="C85" s="3206">
        <v>38</v>
      </c>
      <c r="D85" s="3206" t="s">
        <v>3707</v>
      </c>
      <c r="E85" s="3206" t="s">
        <v>3708</v>
      </c>
      <c r="F85" s="3206" t="s">
        <v>3588</v>
      </c>
      <c r="G85" s="3211">
        <v>62527.9</v>
      </c>
      <c r="H85" s="3208">
        <v>19.190000000000001</v>
      </c>
      <c r="I85" s="3338">
        <v>3.0690299850146898</v>
      </c>
      <c r="J85" s="3209"/>
      <c r="K85" s="3209"/>
      <c r="L85" s="3209"/>
      <c r="M85" s="3410"/>
    </row>
    <row r="86" spans="2:13" ht="33" hidden="1">
      <c r="B86" s="3937"/>
      <c r="C86" s="3206">
        <v>39</v>
      </c>
      <c r="D86" s="3206" t="s">
        <v>3709</v>
      </c>
      <c r="E86" s="3206" t="s">
        <v>3686</v>
      </c>
      <c r="F86" s="3206" t="s">
        <v>3588</v>
      </c>
      <c r="G86" s="3207">
        <v>36024</v>
      </c>
      <c r="H86" s="3208">
        <v>10.8072</v>
      </c>
      <c r="I86" s="3338">
        <v>3</v>
      </c>
      <c r="J86" s="3209"/>
      <c r="K86" s="3209"/>
      <c r="L86" s="3209"/>
      <c r="M86" s="3410"/>
    </row>
    <row r="87" spans="2:13" ht="33" hidden="1">
      <c r="B87" s="3937"/>
      <c r="C87" s="3206">
        <v>40</v>
      </c>
      <c r="D87" s="3206" t="s">
        <v>3710</v>
      </c>
      <c r="E87" s="3206" t="s">
        <v>3686</v>
      </c>
      <c r="F87" s="3206" t="s">
        <v>3588</v>
      </c>
      <c r="G87" s="3211">
        <v>24238.85</v>
      </c>
      <c r="H87" s="3208">
        <v>7.271655</v>
      </c>
      <c r="I87" s="3338">
        <v>3</v>
      </c>
      <c r="J87" s="3209"/>
      <c r="K87" s="3209"/>
      <c r="L87" s="3209"/>
      <c r="M87" s="3410"/>
    </row>
    <row r="88" spans="2:13" ht="16.5" hidden="1">
      <c r="B88" s="3937"/>
      <c r="C88" s="3206">
        <v>41</v>
      </c>
      <c r="D88" s="3206" t="s">
        <v>3711</v>
      </c>
      <c r="E88" s="3206" t="s">
        <v>3708</v>
      </c>
      <c r="F88" s="3206" t="s">
        <v>3588</v>
      </c>
      <c r="G88" s="3207">
        <v>40445</v>
      </c>
      <c r="H88" s="3208">
        <v>15.3691</v>
      </c>
      <c r="I88" s="3338">
        <v>3.8</v>
      </c>
      <c r="J88" s="3209"/>
      <c r="K88" s="3209"/>
      <c r="L88" s="3209"/>
      <c r="M88" s="3410"/>
    </row>
    <row r="89" spans="2:13" ht="33" hidden="1">
      <c r="B89" s="3937"/>
      <c r="C89" s="3206">
        <v>42</v>
      </c>
      <c r="D89" s="3206" t="s">
        <v>3712</v>
      </c>
      <c r="E89" s="3206" t="s">
        <v>3713</v>
      </c>
      <c r="F89" s="3206" t="s">
        <v>3588</v>
      </c>
      <c r="G89" s="3211">
        <v>286462</v>
      </c>
      <c r="H89" s="3208">
        <v>37</v>
      </c>
      <c r="I89" s="3338">
        <v>1.29161983090253</v>
      </c>
      <c r="J89" s="3209"/>
      <c r="K89" s="3209"/>
      <c r="L89" s="3209"/>
      <c r="M89" s="3410"/>
    </row>
    <row r="90" spans="2:13" ht="49.5" hidden="1">
      <c r="B90" s="3937"/>
      <c r="C90" s="3206">
        <v>43</v>
      </c>
      <c r="D90" s="3206" t="s">
        <v>3714</v>
      </c>
      <c r="E90" s="3206" t="s">
        <v>3713</v>
      </c>
      <c r="F90" s="3206" t="s">
        <v>3588</v>
      </c>
      <c r="G90" s="3211">
        <v>28609.82</v>
      </c>
      <c r="H90" s="3208">
        <v>6.59</v>
      </c>
      <c r="I90" s="3338">
        <v>2.3034049148159599</v>
      </c>
      <c r="J90" s="3209"/>
      <c r="K90" s="3209"/>
      <c r="L90" s="3209"/>
      <c r="M90" s="3410"/>
    </row>
    <row r="91" spans="2:13" ht="66" hidden="1">
      <c r="B91" s="3937"/>
      <c r="C91" s="3206">
        <v>44</v>
      </c>
      <c r="D91" s="3206" t="s">
        <v>3715</v>
      </c>
      <c r="E91" s="3206" t="s">
        <v>3716</v>
      </c>
      <c r="F91" s="3206" t="s">
        <v>3588</v>
      </c>
      <c r="G91" s="3211">
        <v>97854</v>
      </c>
      <c r="H91" s="3208">
        <v>23.855860790000001</v>
      </c>
      <c r="I91" s="3338">
        <v>2.43790348784924</v>
      </c>
      <c r="J91" s="3209"/>
      <c r="K91" s="3209"/>
      <c r="L91" s="3209"/>
      <c r="M91" s="3410"/>
    </row>
    <row r="92" spans="2:13" ht="49.5" hidden="1">
      <c r="B92" s="3937"/>
      <c r="C92" s="3206">
        <v>45</v>
      </c>
      <c r="D92" s="3206" t="s">
        <v>3717</v>
      </c>
      <c r="E92" s="3206" t="s">
        <v>3716</v>
      </c>
      <c r="F92" s="3206" t="s">
        <v>3588</v>
      </c>
      <c r="G92" s="3211">
        <v>7657.46</v>
      </c>
      <c r="H92" s="3208">
        <v>1.8258447624</v>
      </c>
      <c r="I92" s="3338">
        <v>2.3843999999999999</v>
      </c>
      <c r="J92" s="3209"/>
      <c r="K92" s="3209"/>
      <c r="L92" s="3209"/>
      <c r="M92" s="3410"/>
    </row>
    <row r="93" spans="2:13" ht="33" hidden="1">
      <c r="B93" s="3937"/>
      <c r="C93" s="3206">
        <v>46</v>
      </c>
      <c r="D93" s="3206" t="s">
        <v>3718</v>
      </c>
      <c r="E93" s="3206" t="s">
        <v>3686</v>
      </c>
      <c r="F93" s="3206" t="s">
        <v>3588</v>
      </c>
      <c r="G93" s="3211">
        <v>40709</v>
      </c>
      <c r="H93" s="3208">
        <v>11.80561</v>
      </c>
      <c r="I93" s="3338">
        <v>2.9</v>
      </c>
      <c r="J93" s="3209"/>
      <c r="K93" s="3209"/>
      <c r="L93" s="3209"/>
      <c r="M93" s="3410"/>
    </row>
    <row r="94" spans="2:13" ht="16.5" hidden="1">
      <c r="B94" s="3937"/>
      <c r="C94" s="3206">
        <v>47</v>
      </c>
      <c r="D94" s="3206" t="s">
        <v>3719</v>
      </c>
      <c r="E94" s="3206" t="s">
        <v>3686</v>
      </c>
      <c r="F94" s="3206" t="s">
        <v>3588</v>
      </c>
      <c r="G94" s="3211">
        <v>86000</v>
      </c>
      <c r="H94" s="3208">
        <v>20</v>
      </c>
      <c r="I94" s="3338">
        <v>2.32558139534884</v>
      </c>
      <c r="J94" s="3209"/>
      <c r="K94" s="3209"/>
      <c r="L94" s="3209"/>
      <c r="M94" s="3410"/>
    </row>
    <row r="95" spans="2:13" ht="49.5" hidden="1">
      <c r="B95" s="3937"/>
      <c r="C95" s="3206">
        <v>48</v>
      </c>
      <c r="D95" s="3206" t="s">
        <v>3720</v>
      </c>
      <c r="E95" s="3206" t="s">
        <v>3721</v>
      </c>
      <c r="F95" s="3206" t="s">
        <v>3588</v>
      </c>
      <c r="G95" s="3207">
        <v>11897</v>
      </c>
      <c r="H95" s="3208">
        <v>5.3543148499999997</v>
      </c>
      <c r="I95" s="3338">
        <v>4.5005588383626103</v>
      </c>
      <c r="J95" s="3209"/>
      <c r="K95" s="3209"/>
      <c r="L95" s="3209"/>
      <c r="M95" s="3410"/>
    </row>
    <row r="96" spans="2:13" ht="16.5" hidden="1">
      <c r="B96" s="3937"/>
      <c r="C96" s="3206">
        <v>49</v>
      </c>
      <c r="D96" s="3206" t="s">
        <v>3722</v>
      </c>
      <c r="E96" s="3206" t="s">
        <v>3723</v>
      </c>
      <c r="F96" s="3206" t="s">
        <v>3588</v>
      </c>
      <c r="G96" s="3211">
        <v>3690</v>
      </c>
      <c r="H96" s="3208">
        <v>3.06</v>
      </c>
      <c r="I96" s="3338">
        <v>8.2926829268292703</v>
      </c>
      <c r="J96" s="3209"/>
      <c r="K96" s="3209"/>
      <c r="L96" s="3209"/>
      <c r="M96" s="3410"/>
    </row>
    <row r="97" spans="2:13" ht="33" hidden="1">
      <c r="B97" s="3937"/>
      <c r="C97" s="3206">
        <v>50</v>
      </c>
      <c r="D97" s="3206" t="s">
        <v>3724</v>
      </c>
      <c r="E97" s="3206" t="s">
        <v>3725</v>
      </c>
      <c r="F97" s="3206" t="s">
        <v>3588</v>
      </c>
      <c r="G97" s="3211">
        <v>24039.9</v>
      </c>
      <c r="H97" s="3208">
        <v>6.8</v>
      </c>
      <c r="I97" s="3338">
        <v>2.82863073473683</v>
      </c>
      <c r="J97" s="3209"/>
      <c r="K97" s="3209"/>
      <c r="L97" s="3209"/>
      <c r="M97" s="3410"/>
    </row>
    <row r="98" spans="2:13" ht="16.5" hidden="1">
      <c r="B98" s="3937"/>
      <c r="C98" s="3206">
        <v>51</v>
      </c>
      <c r="D98" s="3206" t="s">
        <v>3726</v>
      </c>
      <c r="E98" s="3206" t="s">
        <v>3727</v>
      </c>
      <c r="F98" s="3206" t="s">
        <v>3588</v>
      </c>
      <c r="G98" s="3211">
        <v>12000</v>
      </c>
      <c r="H98" s="3208">
        <v>7</v>
      </c>
      <c r="I98" s="3338">
        <v>5.8333333333333304</v>
      </c>
      <c r="J98" s="3209"/>
      <c r="K98" s="3209"/>
      <c r="L98" s="3209"/>
      <c r="M98" s="3410"/>
    </row>
    <row r="99" spans="2:13" ht="49.5" hidden="1">
      <c r="B99" s="3937"/>
      <c r="C99" s="3206">
        <v>52</v>
      </c>
      <c r="D99" s="3206" t="s">
        <v>3728</v>
      </c>
      <c r="E99" s="3206" t="s">
        <v>3670</v>
      </c>
      <c r="F99" s="3206" t="s">
        <v>3588</v>
      </c>
      <c r="G99" s="3211">
        <v>18000</v>
      </c>
      <c r="H99" s="3208">
        <v>12.96</v>
      </c>
      <c r="I99" s="3338">
        <v>7.2</v>
      </c>
      <c r="J99" s="3209"/>
      <c r="K99" s="3209"/>
      <c r="L99" s="3209"/>
      <c r="M99" s="3410"/>
    </row>
    <row r="100" spans="2:13" ht="33" hidden="1">
      <c r="B100" s="3937"/>
      <c r="C100" s="3206">
        <v>53</v>
      </c>
      <c r="D100" s="3206" t="s">
        <v>3729</v>
      </c>
      <c r="E100" s="3206" t="s">
        <v>3730</v>
      </c>
      <c r="F100" s="3206" t="s">
        <v>3588</v>
      </c>
      <c r="G100" s="3210">
        <v>9916</v>
      </c>
      <c r="H100" s="3208">
        <v>4.4622000000000002</v>
      </c>
      <c r="I100" s="3338">
        <v>4.5</v>
      </c>
      <c r="J100" s="3209"/>
      <c r="K100" s="3209"/>
      <c r="L100" s="3209"/>
      <c r="M100" s="3410"/>
    </row>
    <row r="101" spans="2:13" ht="49.5" hidden="1">
      <c r="B101" s="3937"/>
      <c r="C101" s="3206">
        <v>54</v>
      </c>
      <c r="D101" s="3206" t="s">
        <v>3731</v>
      </c>
      <c r="E101" s="3206" t="s">
        <v>3713</v>
      </c>
      <c r="F101" s="3206" t="s">
        <v>3588</v>
      </c>
      <c r="G101" s="3211">
        <v>15877.16</v>
      </c>
      <c r="H101" s="3208">
        <v>7.4</v>
      </c>
      <c r="I101" s="3338">
        <v>4.6607831627318701</v>
      </c>
      <c r="J101" s="3209"/>
      <c r="K101" s="3209"/>
      <c r="L101" s="3209"/>
      <c r="M101" s="3410"/>
    </row>
    <row r="102" spans="2:13" ht="16.5" hidden="1">
      <c r="B102" s="3937"/>
      <c r="C102" s="3206">
        <v>55</v>
      </c>
      <c r="D102" s="3206" t="s">
        <v>3732</v>
      </c>
      <c r="E102" s="3206" t="s">
        <v>3733</v>
      </c>
      <c r="F102" s="3206" t="s">
        <v>3588</v>
      </c>
      <c r="G102" s="3211">
        <v>40702</v>
      </c>
      <c r="H102" s="3208">
        <v>16.5</v>
      </c>
      <c r="I102" s="3338">
        <v>4.0538548474276404</v>
      </c>
      <c r="J102" s="3209"/>
      <c r="K102" s="3209"/>
      <c r="L102" s="3209"/>
      <c r="M102" s="3410"/>
    </row>
    <row r="103" spans="2:13" ht="33" hidden="1">
      <c r="B103" s="3937"/>
      <c r="C103" s="3206">
        <v>56</v>
      </c>
      <c r="D103" s="3206" t="s">
        <v>3734</v>
      </c>
      <c r="E103" s="3206" t="s">
        <v>3721</v>
      </c>
      <c r="F103" s="3206" t="s">
        <v>1343</v>
      </c>
      <c r="G103" s="3211">
        <v>11709</v>
      </c>
      <c r="H103" s="3208">
        <v>5.6203200000000004</v>
      </c>
      <c r="I103" s="3338">
        <v>4.8</v>
      </c>
      <c r="J103" s="3209"/>
      <c r="K103" s="3209"/>
      <c r="L103" s="3209"/>
      <c r="M103" s="3410"/>
    </row>
    <row r="104" spans="2:13" ht="33" hidden="1">
      <c r="B104" s="3937"/>
      <c r="C104" s="3206">
        <v>57</v>
      </c>
      <c r="D104" s="3206" t="s">
        <v>3661</v>
      </c>
      <c r="E104" s="3206" t="s">
        <v>3662</v>
      </c>
      <c r="F104" s="3206" t="s">
        <v>1343</v>
      </c>
      <c r="G104" s="3211">
        <v>5516.86</v>
      </c>
      <c r="H104" s="3208">
        <v>3.2195999999999998</v>
      </c>
      <c r="I104" s="3338">
        <v>5.83592840855124</v>
      </c>
      <c r="J104" s="3209"/>
      <c r="K104" s="3209"/>
      <c r="L104" s="3209"/>
      <c r="M104" s="3410"/>
    </row>
    <row r="105" spans="2:13" ht="33" hidden="1">
      <c r="B105" s="3937"/>
      <c r="C105" s="3206">
        <v>58</v>
      </c>
      <c r="D105" s="3206" t="s">
        <v>3735</v>
      </c>
      <c r="E105" s="3206" t="s">
        <v>3664</v>
      </c>
      <c r="F105" s="3206" t="s">
        <v>1343</v>
      </c>
      <c r="G105" s="3211">
        <v>9912</v>
      </c>
      <c r="H105" s="3208">
        <v>3.4691999999999998</v>
      </c>
      <c r="I105" s="3338">
        <v>3.5</v>
      </c>
      <c r="J105" s="3209"/>
      <c r="K105" s="3209"/>
      <c r="L105" s="3209"/>
      <c r="M105" s="3410"/>
    </row>
    <row r="106" spans="2:13" ht="33" hidden="1">
      <c r="B106" s="3937"/>
      <c r="C106" s="3206">
        <v>59</v>
      </c>
      <c r="D106" s="3206" t="s">
        <v>3736</v>
      </c>
      <c r="E106" s="3206" t="s">
        <v>3737</v>
      </c>
      <c r="F106" s="3206" t="s">
        <v>1343</v>
      </c>
      <c r="G106" s="3211">
        <v>9825</v>
      </c>
      <c r="H106" s="3208">
        <v>4.4872088100000003</v>
      </c>
      <c r="I106" s="3338">
        <v>4.5671336488549601</v>
      </c>
      <c r="J106" s="3209"/>
      <c r="K106" s="3209"/>
      <c r="L106" s="3209"/>
      <c r="M106" s="3410"/>
    </row>
    <row r="107" spans="2:13" ht="33" hidden="1">
      <c r="B107" s="3937"/>
      <c r="C107" s="3206">
        <v>60</v>
      </c>
      <c r="D107" s="3206" t="s">
        <v>3738</v>
      </c>
      <c r="E107" s="3206" t="s">
        <v>3739</v>
      </c>
      <c r="F107" s="3206" t="s">
        <v>1343</v>
      </c>
      <c r="G107" s="3211">
        <v>13665</v>
      </c>
      <c r="H107" s="3208">
        <v>5.1927000000000003</v>
      </c>
      <c r="I107" s="3338">
        <v>3.8</v>
      </c>
      <c r="J107" s="3209"/>
      <c r="K107" s="3209"/>
      <c r="L107" s="3209"/>
      <c r="M107" s="3410"/>
    </row>
    <row r="108" spans="2:13" ht="49.5" hidden="1">
      <c r="B108" s="3937"/>
      <c r="C108" s="3206">
        <v>61</v>
      </c>
      <c r="D108" s="3206" t="s">
        <v>3740</v>
      </c>
      <c r="E108" s="3206" t="s">
        <v>3696</v>
      </c>
      <c r="F108" s="3206" t="s">
        <v>1343</v>
      </c>
      <c r="G108" s="3211">
        <v>6427</v>
      </c>
      <c r="H108" s="3208">
        <v>3.5550797699999999</v>
      </c>
      <c r="I108" s="3338">
        <v>5.53147622529952</v>
      </c>
      <c r="J108" s="3209"/>
      <c r="K108" s="3209"/>
      <c r="L108" s="3209"/>
      <c r="M108" s="3410"/>
    </row>
    <row r="109" spans="2:13" ht="49.5" hidden="1">
      <c r="B109" s="3937"/>
      <c r="C109" s="3206">
        <v>62</v>
      </c>
      <c r="D109" s="3206" t="s">
        <v>3741</v>
      </c>
      <c r="E109" s="3206" t="s">
        <v>3742</v>
      </c>
      <c r="F109" s="3206" t="s">
        <v>3588</v>
      </c>
      <c r="G109" s="3211">
        <v>20507.7</v>
      </c>
      <c r="H109" s="3208">
        <v>11.5741</v>
      </c>
      <c r="I109" s="3338">
        <v>5.6437825792263396</v>
      </c>
      <c r="J109" s="3209"/>
      <c r="K109" s="3209"/>
      <c r="L109" s="3209"/>
      <c r="M109" s="3410"/>
    </row>
    <row r="110" spans="2:13" ht="33" hidden="1">
      <c r="B110" s="3937"/>
      <c r="C110" s="3206">
        <v>63</v>
      </c>
      <c r="D110" s="3206" t="s">
        <v>3743</v>
      </c>
      <c r="E110" s="3206" t="s">
        <v>3651</v>
      </c>
      <c r="F110" s="3206" t="s">
        <v>3591</v>
      </c>
      <c r="G110" s="3210">
        <v>42242.77</v>
      </c>
      <c r="H110" s="3208">
        <v>18.059999999999999</v>
      </c>
      <c r="I110" s="3338">
        <v>4.2752878184834904</v>
      </c>
      <c r="J110" s="3209"/>
      <c r="K110" s="3209"/>
      <c r="L110" s="3209"/>
      <c r="M110" s="3410"/>
    </row>
    <row r="111" spans="2:13" ht="66" hidden="1">
      <c r="B111" s="3937"/>
      <c r="C111" s="3206">
        <v>64</v>
      </c>
      <c r="D111" s="3206" t="s">
        <v>3744</v>
      </c>
      <c r="E111" s="3206" t="s">
        <v>3653</v>
      </c>
      <c r="F111" s="3206" t="s">
        <v>3591</v>
      </c>
      <c r="G111" s="3211">
        <v>27090</v>
      </c>
      <c r="H111" s="3208">
        <v>15.98664</v>
      </c>
      <c r="I111" s="3338">
        <v>5.9013067552602401</v>
      </c>
      <c r="J111" s="3209"/>
      <c r="K111" s="3209"/>
      <c r="L111" s="3209"/>
      <c r="M111" s="3410"/>
    </row>
    <row r="112" spans="2:13" ht="49.5" hidden="1">
      <c r="B112" s="3937"/>
      <c r="C112" s="3206">
        <v>65</v>
      </c>
      <c r="D112" s="3206" t="s">
        <v>3745</v>
      </c>
      <c r="E112" s="3206" t="s">
        <v>3746</v>
      </c>
      <c r="F112" s="3206" t="s">
        <v>3591</v>
      </c>
      <c r="G112" s="3211">
        <v>130500</v>
      </c>
      <c r="H112" s="3208">
        <v>24.89</v>
      </c>
      <c r="I112" s="3338">
        <v>1.9072796934865901</v>
      </c>
      <c r="J112" s="3209"/>
      <c r="K112" s="3209"/>
      <c r="L112" s="3209"/>
      <c r="M112" s="3410"/>
    </row>
    <row r="113" spans="2:13" ht="49.5" hidden="1">
      <c r="B113" s="3937"/>
      <c r="C113" s="3206">
        <v>66</v>
      </c>
      <c r="D113" s="3206" t="s">
        <v>3747</v>
      </c>
      <c r="E113" s="3206" t="s">
        <v>3656</v>
      </c>
      <c r="F113" s="3206" t="s">
        <v>3591</v>
      </c>
      <c r="G113" s="3211">
        <v>166572</v>
      </c>
      <c r="H113" s="3208">
        <v>39.179000000000002</v>
      </c>
      <c r="I113" s="3338">
        <v>2.3520759791561598</v>
      </c>
      <c r="J113" s="3209"/>
      <c r="K113" s="3209"/>
      <c r="L113" s="3209"/>
      <c r="M113" s="3410"/>
    </row>
    <row r="114" spans="2:13" ht="33" hidden="1">
      <c r="B114" s="3937"/>
      <c r="C114" s="3206">
        <v>67</v>
      </c>
      <c r="D114" s="3206" t="s">
        <v>3748</v>
      </c>
      <c r="E114" s="3206" t="s">
        <v>3658</v>
      </c>
      <c r="F114" s="3206" t="s">
        <v>3591</v>
      </c>
      <c r="G114" s="3207">
        <v>108678</v>
      </c>
      <c r="H114" s="3208">
        <v>65</v>
      </c>
      <c r="I114" s="3338">
        <v>5.9809713097407</v>
      </c>
      <c r="J114" s="3209"/>
      <c r="K114" s="3209"/>
      <c r="L114" s="3209"/>
      <c r="M114" s="3410"/>
    </row>
    <row r="115" spans="2:13" ht="66" hidden="1">
      <c r="B115" s="3937"/>
      <c r="C115" s="3206">
        <v>68</v>
      </c>
      <c r="D115" s="3206" t="s">
        <v>3749</v>
      </c>
      <c r="E115" s="3206" t="s">
        <v>3660</v>
      </c>
      <c r="F115" s="3206" t="s">
        <v>3591</v>
      </c>
      <c r="G115" s="3211">
        <v>426073</v>
      </c>
      <c r="H115" s="3208">
        <v>53.3</v>
      </c>
      <c r="I115" s="3338">
        <v>1.25095934264786</v>
      </c>
      <c r="J115" s="3209"/>
      <c r="K115" s="3209"/>
      <c r="L115" s="3209"/>
      <c r="M115" s="3410"/>
    </row>
    <row r="116" spans="2:13" ht="33" hidden="1">
      <c r="B116" s="3937"/>
      <c r="C116" s="3206">
        <v>69</v>
      </c>
      <c r="D116" s="3206" t="s">
        <v>3750</v>
      </c>
      <c r="E116" s="3206" t="s">
        <v>3670</v>
      </c>
      <c r="F116" s="3206" t="s">
        <v>3591</v>
      </c>
      <c r="G116" s="3207">
        <v>58278</v>
      </c>
      <c r="H116" s="3208">
        <v>32.5</v>
      </c>
      <c r="I116" s="3338">
        <v>5.5767184872507602</v>
      </c>
      <c r="J116" s="3209"/>
      <c r="K116" s="3209"/>
      <c r="L116" s="3209"/>
      <c r="M116" s="3410"/>
    </row>
    <row r="117" spans="2:13" ht="33" hidden="1">
      <c r="B117" s="3937"/>
      <c r="C117" s="3206">
        <v>70</v>
      </c>
      <c r="D117" s="3206" t="s">
        <v>3751</v>
      </c>
      <c r="E117" s="3206" t="s">
        <v>3670</v>
      </c>
      <c r="F117" s="3206" t="s">
        <v>3591</v>
      </c>
      <c r="G117" s="3211">
        <v>25781</v>
      </c>
      <c r="H117" s="3208">
        <v>13.3</v>
      </c>
      <c r="I117" s="3338">
        <v>5.1588379038827004</v>
      </c>
      <c r="J117" s="3209"/>
      <c r="K117" s="3209"/>
      <c r="L117" s="3209"/>
      <c r="M117" s="3410"/>
    </row>
    <row r="118" spans="2:13" ht="33" hidden="1">
      <c r="B118" s="3937"/>
      <c r="C118" s="3206">
        <v>71</v>
      </c>
      <c r="D118" s="3206" t="s">
        <v>3752</v>
      </c>
      <c r="E118" s="3206" t="s">
        <v>3688</v>
      </c>
      <c r="F118" s="3206" t="s">
        <v>3591</v>
      </c>
      <c r="G118" s="3211">
        <v>128175</v>
      </c>
      <c r="H118" s="3208">
        <v>50.08</v>
      </c>
      <c r="I118" s="3338">
        <v>3.9071581821728101</v>
      </c>
      <c r="J118" s="3209"/>
      <c r="K118" s="3209"/>
      <c r="L118" s="3209"/>
      <c r="M118" s="3410"/>
    </row>
    <row r="119" spans="2:13" ht="33" hidden="1">
      <c r="B119" s="3937"/>
      <c r="C119" s="3206">
        <v>72</v>
      </c>
      <c r="D119" s="3206" t="s">
        <v>3753</v>
      </c>
      <c r="E119" s="3206" t="s">
        <v>3754</v>
      </c>
      <c r="F119" s="3206" t="s">
        <v>3591</v>
      </c>
      <c r="G119" s="3207">
        <v>153400</v>
      </c>
      <c r="H119" s="3208">
        <v>24.3</v>
      </c>
      <c r="I119" s="3338">
        <v>1.58409387222947</v>
      </c>
      <c r="J119" s="3209"/>
      <c r="K119" s="3209"/>
      <c r="L119" s="3209"/>
      <c r="M119" s="3410"/>
    </row>
  </sheetData>
  <mergeCells count="2">
    <mergeCell ref="B14:B47"/>
    <mergeCell ref="B48:B119"/>
  </mergeCells>
  <phoneticPr fontId="4" type="noConversion"/>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H15"/>
  <sheetViews>
    <sheetView workbookViewId="0">
      <selection activeCell="E15" sqref="E15"/>
    </sheetView>
  </sheetViews>
  <sheetFormatPr defaultColWidth="9" defaultRowHeight="13.5"/>
  <cols>
    <col min="1" max="1" width="9" style="1407"/>
    <col min="2" max="2" width="10.875" style="1407" bestFit="1" customWidth="1"/>
    <col min="3" max="3" width="10.875" style="1407" customWidth="1"/>
    <col min="4" max="4" width="21.375" style="1407" customWidth="1"/>
    <col min="5" max="5" width="21.375" style="3340" customWidth="1"/>
    <col min="6" max="6" width="21.375" style="3341" customWidth="1"/>
    <col min="7" max="7" width="21.375" style="1407" customWidth="1"/>
    <col min="8" max="8" width="14.25" style="1407" customWidth="1"/>
    <col min="9" max="16384" width="9" style="1407"/>
  </cols>
  <sheetData>
    <row r="2" spans="2:8">
      <c r="B2" s="1407" t="s">
        <v>4059</v>
      </c>
      <c r="C2" s="1407" t="s">
        <v>4060</v>
      </c>
      <c r="D2" s="1407">
        <f>面积表及结果!G2+面积表及结果!G5+面积表及结果!G7+面积表及结果!G8+面积表及结果!G10+面积表及结果!G11+面积表及结果!G12</f>
        <v>31263.110000000004</v>
      </c>
    </row>
    <row r="3" spans="2:8">
      <c r="B3" s="1407" t="s">
        <v>4061</v>
      </c>
      <c r="C3" s="1407" t="s">
        <v>4060</v>
      </c>
      <c r="D3" s="1407">
        <f>面积表及结果!E21</f>
        <v>46189.050000000017</v>
      </c>
    </row>
    <row r="5" spans="2:8">
      <c r="B5" s="1407" t="s">
        <v>4062</v>
      </c>
      <c r="C5" s="1407" t="s">
        <v>4063</v>
      </c>
      <c r="D5" s="1407">
        <v>9</v>
      </c>
    </row>
    <row r="6" spans="2:8">
      <c r="C6" s="1407" t="s">
        <v>4064</v>
      </c>
      <c r="D6" s="1407">
        <f>D5*30</f>
        <v>270</v>
      </c>
    </row>
    <row r="7" spans="2:8">
      <c r="C7" s="1407" t="s">
        <v>4065</v>
      </c>
      <c r="D7" s="1407">
        <f>D6*12</f>
        <v>3240</v>
      </c>
    </row>
    <row r="9" spans="2:8">
      <c r="B9" s="1407" t="s">
        <v>4066</v>
      </c>
      <c r="D9" s="3342">
        <v>0.05</v>
      </c>
      <c r="E9" s="3343">
        <v>5.5E-2</v>
      </c>
      <c r="F9" s="3344">
        <v>0.06</v>
      </c>
      <c r="G9" s="3345">
        <v>6.5000000000000002E-2</v>
      </c>
    </row>
    <row r="11" spans="2:8">
      <c r="B11" s="1407" t="s">
        <v>4067</v>
      </c>
      <c r="D11" s="3346">
        <f>$D$7/D9</f>
        <v>64800</v>
      </c>
      <c r="E11" s="3347">
        <f t="shared" ref="E11:G11" si="0">$D$7/E9</f>
        <v>58909.090909090912</v>
      </c>
      <c r="F11" s="3348">
        <f>$D$7/F9</f>
        <v>54000</v>
      </c>
      <c r="G11" s="3346">
        <f t="shared" si="0"/>
        <v>49846.153846153844</v>
      </c>
      <c r="H11" s="3346"/>
    </row>
    <row r="13" spans="2:8">
      <c r="B13" s="1407" t="s">
        <v>4068</v>
      </c>
      <c r="D13" s="3349">
        <f>D11*$D$2</f>
        <v>2025849528.0000002</v>
      </c>
      <c r="E13" s="3350">
        <f t="shared" ref="E13:G13" si="1">E11*$D$2</f>
        <v>1841681389.0909095</v>
      </c>
      <c r="F13" s="3351">
        <f>F11*$D$2</f>
        <v>1688207940.0000002</v>
      </c>
      <c r="G13" s="3349">
        <f t="shared" si="1"/>
        <v>1558345790.7692308</v>
      </c>
    </row>
    <row r="15" spans="2:8">
      <c r="B15" s="1407" t="s">
        <v>4046</v>
      </c>
      <c r="C15" s="1407" t="s">
        <v>4069</v>
      </c>
      <c r="D15" s="3349">
        <f>D13/$D$3</f>
        <v>43859.952261412596</v>
      </c>
      <c r="E15" s="3350">
        <f t="shared" ref="E15:G15" si="2">E13/$D$3</f>
        <v>39872.683874011454</v>
      </c>
      <c r="F15" s="3351">
        <f>F13/$D$3</f>
        <v>36549.960217843829</v>
      </c>
      <c r="G15" s="3349">
        <f t="shared" si="2"/>
        <v>33738.424816471226</v>
      </c>
    </row>
  </sheetData>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H122"/>
  <sheetViews>
    <sheetView topLeftCell="B1" workbookViewId="0">
      <pane xSplit="1" ySplit="3" topLeftCell="M54" activePane="bottomRight" state="frozen"/>
      <selection activeCell="B1" sqref="B1"/>
      <selection pane="topRight" activeCell="C1" sqref="C1"/>
      <selection pane="bottomLeft" activeCell="B4" sqref="B4"/>
      <selection pane="bottomRight" activeCell="T64" sqref="T64"/>
    </sheetView>
  </sheetViews>
  <sheetFormatPr defaultRowHeight="13.5"/>
  <cols>
    <col min="3" max="4" width="9.875" customWidth="1"/>
    <col min="5" max="5" width="7" customWidth="1"/>
    <col min="6" max="6" width="6.75" customWidth="1"/>
    <col min="7" max="7" width="7.75" customWidth="1"/>
    <col min="8" max="8" width="9.25" style="3" customWidth="1"/>
    <col min="9" max="9" width="7.5" style="3" customWidth="1"/>
    <col min="10" max="10" width="21.5" bestFit="1" customWidth="1"/>
    <col min="12" max="12" width="16.75" customWidth="1"/>
    <col min="13" max="13" width="9.5" bestFit="1" customWidth="1"/>
    <col min="14" max="14" width="9" hidden="1" customWidth="1"/>
    <col min="15" max="15" width="11.625" hidden="1" customWidth="1"/>
    <col min="16" max="16" width="12.75" hidden="1" customWidth="1"/>
    <col min="17" max="20" width="9.75" customWidth="1"/>
    <col min="22" max="22" width="16.75" customWidth="1"/>
    <col min="23" max="23" width="10.5" bestFit="1" customWidth="1"/>
    <col min="24" max="24" width="9" customWidth="1"/>
    <col min="25" max="25" width="11.625" hidden="1" customWidth="1"/>
    <col min="26" max="26" width="12.75" hidden="1" customWidth="1"/>
    <col min="31" max="31" width="14" customWidth="1"/>
    <col min="32" max="33" width="13.25" customWidth="1"/>
  </cols>
  <sheetData>
    <row r="1" spans="2:34">
      <c r="B1" t="s">
        <v>3782</v>
      </c>
      <c r="K1" t="s">
        <v>3783</v>
      </c>
      <c r="U1" t="s">
        <v>3784</v>
      </c>
    </row>
    <row r="2" spans="2:34">
      <c r="B2" s="3898" t="s">
        <v>3785</v>
      </c>
      <c r="C2" s="3898"/>
      <c r="D2" s="3898"/>
      <c r="E2" s="3898"/>
      <c r="F2" s="3218"/>
      <c r="G2" s="3218"/>
      <c r="K2" s="3898" t="s">
        <v>3785</v>
      </c>
      <c r="L2" s="3898"/>
      <c r="M2" s="3898"/>
      <c r="N2" s="3898"/>
      <c r="O2" s="3218"/>
      <c r="P2" s="3218"/>
      <c r="U2" s="3940" t="s">
        <v>3814</v>
      </c>
      <c r="V2" s="3898"/>
      <c r="W2" s="3898"/>
      <c r="X2" s="3898"/>
      <c r="Y2" s="3218"/>
      <c r="Z2" s="3218"/>
    </row>
    <row r="3" spans="2:34">
      <c r="B3" s="3218"/>
      <c r="C3" s="3218" t="s">
        <v>3786</v>
      </c>
      <c r="D3" s="3218" t="s">
        <v>3787</v>
      </c>
      <c r="E3" t="s">
        <v>3788</v>
      </c>
      <c r="F3" s="3218" t="s">
        <v>3789</v>
      </c>
      <c r="G3" s="3246" t="s">
        <v>3818</v>
      </c>
      <c r="H3" s="3243" t="s">
        <v>3790</v>
      </c>
      <c r="I3" s="3243"/>
      <c r="K3" s="3218"/>
      <c r="L3" s="3218" t="s">
        <v>3786</v>
      </c>
      <c r="M3" s="3218" t="s">
        <v>3787</v>
      </c>
      <c r="N3" t="s">
        <v>3788</v>
      </c>
      <c r="O3" s="3218" t="s">
        <v>3789</v>
      </c>
      <c r="P3" s="3218" t="s">
        <v>3791</v>
      </c>
      <c r="Q3" s="3218" t="s">
        <v>3791</v>
      </c>
      <c r="R3" s="3242" t="s">
        <v>3815</v>
      </c>
      <c r="S3" s="3218"/>
      <c r="T3" s="3218"/>
      <c r="U3" s="3218"/>
      <c r="V3" s="3218" t="s">
        <v>3786</v>
      </c>
      <c r="W3" s="3218" t="s">
        <v>3787</v>
      </c>
      <c r="X3" t="s">
        <v>3788</v>
      </c>
      <c r="Y3" s="3218" t="s">
        <v>3789</v>
      </c>
      <c r="Z3" s="3218" t="s">
        <v>3792</v>
      </c>
      <c r="AA3" s="3218" t="s">
        <v>3791</v>
      </c>
    </row>
    <row r="4" spans="2:34">
      <c r="B4" s="3246" t="s">
        <v>3885</v>
      </c>
      <c r="C4" s="3218">
        <f>ROUND(C5*(1+0.4%),1)</f>
        <v>379.6</v>
      </c>
      <c r="D4" s="3235">
        <f>D5-1.7%</f>
        <v>5.5999999999999994E-2</v>
      </c>
      <c r="H4" s="3247">
        <v>1.2999999999999999E-2</v>
      </c>
      <c r="I4" s="3247"/>
      <c r="K4" s="3246" t="s">
        <v>3885</v>
      </c>
      <c r="L4" s="3218">
        <v>373</v>
      </c>
      <c r="M4" s="3235">
        <v>2.5999999999999999E-2</v>
      </c>
      <c r="N4" s="3212"/>
      <c r="P4">
        <v>6753000</v>
      </c>
      <c r="Q4">
        <f>P4/10000</f>
        <v>675.3</v>
      </c>
      <c r="R4" s="3212"/>
      <c r="U4" s="3246" t="s">
        <v>3885</v>
      </c>
      <c r="V4" s="3218">
        <v>339.8</v>
      </c>
      <c r="W4" s="3235">
        <v>3.9E-2</v>
      </c>
      <c r="X4" s="3212"/>
      <c r="Z4">
        <v>9240000</v>
      </c>
      <c r="AA4">
        <f>Z4/10000</f>
        <v>924</v>
      </c>
    </row>
    <row r="5" spans="2:34">
      <c r="B5" s="3246" t="s">
        <v>3886</v>
      </c>
      <c r="C5" s="3218">
        <v>378.1</v>
      </c>
      <c r="D5" s="3235">
        <v>7.2999999999999995E-2</v>
      </c>
      <c r="E5" s="3212">
        <f>(C5-C4)/C4</f>
        <v>-3.9515279241306633E-3</v>
      </c>
      <c r="G5" s="3189">
        <f>ROUND(8520836/10000,2)</f>
        <v>852.08</v>
      </c>
      <c r="H5" s="3247">
        <v>1.2E-2</v>
      </c>
      <c r="I5" s="3267">
        <f>AVERAGE(D4:D7)</f>
        <v>6.3250000000000001E-2</v>
      </c>
      <c r="K5" s="3246" t="s">
        <v>3886</v>
      </c>
      <c r="L5" s="3218">
        <v>374</v>
      </c>
      <c r="M5" s="3235">
        <v>4.5999999999999999E-2</v>
      </c>
      <c r="N5" s="3212">
        <f>(L5-L4)/L4</f>
        <v>2.6809651474530832E-3</v>
      </c>
      <c r="O5">
        <f>P5-P4</f>
        <v>355400</v>
      </c>
      <c r="P5">
        <v>7108400</v>
      </c>
      <c r="Q5">
        <f t="shared" ref="Q5:Q23" si="0">P5/10000</f>
        <v>710.84</v>
      </c>
      <c r="R5" s="3212">
        <f>(L5-L4)/L4</f>
        <v>2.6809651474530832E-3</v>
      </c>
      <c r="U5" s="3246" t="s">
        <v>3886</v>
      </c>
      <c r="V5" s="3218">
        <v>337.8</v>
      </c>
      <c r="W5" s="3235">
        <v>4.3999999999999997E-2</v>
      </c>
      <c r="X5" s="3212">
        <f>(V5-V4)/V4</f>
        <v>-5.885815185403178E-3</v>
      </c>
      <c r="Y5">
        <f>Z5-Z4</f>
        <v>300000</v>
      </c>
      <c r="Z5">
        <v>9540000</v>
      </c>
      <c r="AA5">
        <f t="shared" ref="AA5:AA23" si="1">Z5/10000</f>
        <v>954</v>
      </c>
      <c r="AB5" s="3212">
        <f>(V5-V4)/V4</f>
        <v>-5.885815185403178E-3</v>
      </c>
    </row>
    <row r="6" spans="2:34">
      <c r="B6" s="3246" t="s">
        <v>3887</v>
      </c>
      <c r="C6" s="3218">
        <v>383.7</v>
      </c>
      <c r="D6" s="3235">
        <v>5.8000000000000003E-2</v>
      </c>
      <c r="E6" s="3212">
        <f t="shared" ref="E6:E23" si="2">(C6-C5)/C5</f>
        <v>1.4810896588204088E-2</v>
      </c>
      <c r="F6">
        <f>G6-G5</f>
        <v>53.309999999999945</v>
      </c>
      <c r="G6">
        <f>ROUND(9053859/10000,2)</f>
        <v>905.39</v>
      </c>
      <c r="H6" s="3247">
        <v>1.2E-2</v>
      </c>
      <c r="I6" s="3189">
        <f>AVERAGE(C4:C7)</f>
        <v>382.15000000000003</v>
      </c>
      <c r="K6" s="3246" t="s">
        <v>3887</v>
      </c>
      <c r="L6" s="3218">
        <v>371</v>
      </c>
      <c r="M6" s="3235">
        <v>4.9000000000000002E-2</v>
      </c>
      <c r="N6" s="3212">
        <f t="shared" ref="N6:N23" si="3">(L6-L5)/L5</f>
        <v>-8.0213903743315516E-3</v>
      </c>
      <c r="O6">
        <f t="shared" ref="O6:O23" si="4">P6-P5</f>
        <v>134000</v>
      </c>
      <c r="P6">
        <v>7242400</v>
      </c>
      <c r="Q6">
        <f t="shared" si="0"/>
        <v>724.24</v>
      </c>
      <c r="R6" s="3212">
        <f t="shared" ref="R6:R23" si="5">(L6-L5)/L5</f>
        <v>-8.0213903743315516E-3</v>
      </c>
      <c r="U6" s="3246" t="s">
        <v>3887</v>
      </c>
      <c r="V6" s="3218">
        <v>337.8</v>
      </c>
      <c r="W6" s="3235">
        <v>4.9000000000000002E-2</v>
      </c>
      <c r="X6" s="3212">
        <f t="shared" ref="X6:X23" si="6">(V6-V5)/V5</f>
        <v>0</v>
      </c>
      <c r="Y6">
        <f t="shared" ref="Y6:Y23" si="7">Z6-Z5</f>
        <v>220000</v>
      </c>
      <c r="Z6">
        <v>9760000</v>
      </c>
      <c r="AA6">
        <f t="shared" si="1"/>
        <v>976</v>
      </c>
      <c r="AB6" s="3212">
        <f t="shared" ref="AB6:AB22" si="8">(V6-V5)/V5</f>
        <v>0</v>
      </c>
    </row>
    <row r="7" spans="2:34">
      <c r="B7" s="3246" t="s">
        <v>3888</v>
      </c>
      <c r="C7" s="3218">
        <v>387.2</v>
      </c>
      <c r="D7" s="3235">
        <v>6.6000000000000003E-2</v>
      </c>
      <c r="E7" s="3212">
        <f t="shared" si="2"/>
        <v>9.1217096690122488E-3</v>
      </c>
      <c r="F7">
        <f t="shared" ref="F7:F23" si="9">G7-G6</f>
        <v>24.82000000000005</v>
      </c>
      <c r="G7">
        <f>ROUND(9302079/10000,2)</f>
        <v>930.21</v>
      </c>
      <c r="H7" s="3247">
        <v>1.4E-2</v>
      </c>
      <c r="I7" s="3189">
        <f>G7</f>
        <v>930.21</v>
      </c>
      <c r="K7" s="3246" t="s">
        <v>3888</v>
      </c>
      <c r="L7" s="3218">
        <v>373</v>
      </c>
      <c r="M7" s="3235">
        <v>3.9E-2</v>
      </c>
      <c r="N7" s="3212">
        <f t="shared" si="3"/>
        <v>5.3908355795148251E-3</v>
      </c>
      <c r="O7">
        <f t="shared" si="4"/>
        <v>115500</v>
      </c>
      <c r="P7">
        <v>7357900</v>
      </c>
      <c r="Q7">
        <f t="shared" si="0"/>
        <v>735.79</v>
      </c>
      <c r="R7" s="3212">
        <f t="shared" si="5"/>
        <v>5.3908355795148251E-3</v>
      </c>
      <c r="U7" s="3246" t="s">
        <v>3888</v>
      </c>
      <c r="V7" s="3218">
        <v>336.9</v>
      </c>
      <c r="W7" s="3235">
        <v>5.6000000000000001E-2</v>
      </c>
      <c r="X7" s="3212">
        <f t="shared" si="6"/>
        <v>-2.6642984014210599E-3</v>
      </c>
      <c r="Y7">
        <f t="shared" si="7"/>
        <v>160000</v>
      </c>
      <c r="Z7">
        <v>9920000</v>
      </c>
      <c r="AA7">
        <f t="shared" si="1"/>
        <v>992</v>
      </c>
      <c r="AB7" s="3212">
        <f t="shared" si="8"/>
        <v>-2.6642984014210599E-3</v>
      </c>
    </row>
    <row r="8" spans="2:34">
      <c r="B8" s="3246" t="s">
        <v>3889</v>
      </c>
      <c r="C8" s="3218">
        <v>388.4</v>
      </c>
      <c r="D8" s="3235">
        <v>6.6000000000000003E-2</v>
      </c>
      <c r="E8" s="3212">
        <f t="shared" si="2"/>
        <v>3.0991735537189789E-3</v>
      </c>
      <c r="F8">
        <f t="shared" si="9"/>
        <v>15.789999999999964</v>
      </c>
      <c r="G8">
        <f>118+828</f>
        <v>946</v>
      </c>
      <c r="H8" s="3247">
        <v>1.6E-2</v>
      </c>
      <c r="I8" s="3189"/>
      <c r="K8" s="3246" t="s">
        <v>3889</v>
      </c>
      <c r="L8" s="3218">
        <v>371</v>
      </c>
      <c r="M8" s="3235">
        <v>4.5999999999999999E-2</v>
      </c>
      <c r="N8" s="3212">
        <f t="shared" si="3"/>
        <v>-5.3619302949061663E-3</v>
      </c>
      <c r="O8">
        <f t="shared" si="4"/>
        <v>122300</v>
      </c>
      <c r="P8">
        <v>7480200</v>
      </c>
      <c r="Q8">
        <f t="shared" si="0"/>
        <v>748.02</v>
      </c>
      <c r="R8" s="3212">
        <f t="shared" si="5"/>
        <v>-5.3619302949061663E-3</v>
      </c>
      <c r="U8" s="3246" t="s">
        <v>3889</v>
      </c>
      <c r="V8" s="3218">
        <v>335.1</v>
      </c>
      <c r="W8" s="3235">
        <v>6.0999999999999999E-2</v>
      </c>
      <c r="X8" s="3212">
        <f t="shared" si="6"/>
        <v>-5.3428317008012904E-3</v>
      </c>
      <c r="Y8">
        <f t="shared" si="7"/>
        <v>160000</v>
      </c>
      <c r="Z8">
        <v>10080000</v>
      </c>
      <c r="AA8">
        <f t="shared" si="1"/>
        <v>1008</v>
      </c>
      <c r="AB8" s="3212">
        <f t="shared" si="8"/>
        <v>-5.3428317008012904E-3</v>
      </c>
    </row>
    <row r="9" spans="2:34">
      <c r="B9" s="3246" t="s">
        <v>3890</v>
      </c>
      <c r="C9" s="3218">
        <v>392.1</v>
      </c>
      <c r="D9" s="3235">
        <v>7.1999999999999995E-2</v>
      </c>
      <c r="E9" s="3212">
        <f t="shared" si="2"/>
        <v>9.5262615859939385E-3</v>
      </c>
      <c r="F9">
        <f t="shared" si="9"/>
        <v>21.059999999999945</v>
      </c>
      <c r="G9" s="3189">
        <v>967.06</v>
      </c>
      <c r="H9" s="3247">
        <v>0.02</v>
      </c>
      <c r="I9" s="3267">
        <f>AVERAGE(D8:D11)</f>
        <v>6.9500000000000006E-2</v>
      </c>
      <c r="K9" s="3246" t="s">
        <v>3890</v>
      </c>
      <c r="L9" s="3218">
        <v>374</v>
      </c>
      <c r="M9" s="3235">
        <v>6.3E-2</v>
      </c>
      <c r="N9" s="3212">
        <f t="shared" si="3"/>
        <v>8.0862533692722376E-3</v>
      </c>
      <c r="O9">
        <f t="shared" si="4"/>
        <v>267800</v>
      </c>
      <c r="P9">
        <v>7748000</v>
      </c>
      <c r="Q9">
        <f t="shared" si="0"/>
        <v>774.8</v>
      </c>
      <c r="R9" s="3212">
        <f t="shared" si="5"/>
        <v>8.0862533692722376E-3</v>
      </c>
      <c r="U9" s="3246" t="s">
        <v>3890</v>
      </c>
      <c r="V9" s="3218">
        <v>338.1</v>
      </c>
      <c r="W9" s="3235">
        <v>6.5000000000000002E-2</v>
      </c>
      <c r="X9" s="3212">
        <f t="shared" si="6"/>
        <v>8.9525514771709933E-3</v>
      </c>
      <c r="Y9">
        <f t="shared" si="7"/>
        <v>120000</v>
      </c>
      <c r="Z9">
        <v>10200000</v>
      </c>
      <c r="AA9">
        <f t="shared" si="1"/>
        <v>1020</v>
      </c>
      <c r="AB9" s="3212">
        <f t="shared" si="8"/>
        <v>8.9525514771709933E-3</v>
      </c>
    </row>
    <row r="10" spans="2:34">
      <c r="B10" s="3246" t="s">
        <v>3891</v>
      </c>
      <c r="C10" s="3218">
        <v>391.3</v>
      </c>
      <c r="D10" s="3235">
        <v>6.3E-2</v>
      </c>
      <c r="E10" s="3212">
        <f t="shared" si="2"/>
        <v>-2.0402958428972491E-3</v>
      </c>
      <c r="F10">
        <f t="shared" si="9"/>
        <v>0</v>
      </c>
      <c r="G10" s="3189">
        <v>967.06</v>
      </c>
      <c r="H10" s="3247">
        <v>1.9E-2</v>
      </c>
      <c r="I10" s="3189">
        <f>AVERAGE(C8:C11)</f>
        <v>391.875</v>
      </c>
      <c r="K10" s="3246" t="s">
        <v>3891</v>
      </c>
      <c r="L10" s="3218">
        <v>377</v>
      </c>
      <c r="M10" s="3235">
        <v>5.6000000000000001E-2</v>
      </c>
      <c r="N10" s="3212">
        <f t="shared" si="3"/>
        <v>8.0213903743315516E-3</v>
      </c>
      <c r="O10">
        <f t="shared" si="4"/>
        <v>0</v>
      </c>
      <c r="P10">
        <v>7748000</v>
      </c>
      <c r="Q10">
        <f t="shared" si="0"/>
        <v>774.8</v>
      </c>
      <c r="R10" s="3212">
        <f t="shared" si="5"/>
        <v>8.0213903743315516E-3</v>
      </c>
      <c r="U10" s="3246" t="s">
        <v>3891</v>
      </c>
      <c r="V10" s="3218">
        <v>338.2</v>
      </c>
      <c r="W10" s="3235">
        <v>5.5E-2</v>
      </c>
      <c r="X10" s="3212">
        <f t="shared" si="6"/>
        <v>2.9577048210578492E-4</v>
      </c>
      <c r="Y10">
        <f t="shared" si="7"/>
        <v>100000</v>
      </c>
      <c r="Z10">
        <v>10300000</v>
      </c>
      <c r="AA10">
        <f t="shared" si="1"/>
        <v>1030</v>
      </c>
      <c r="AB10" s="3212">
        <f t="shared" si="8"/>
        <v>2.9577048210578492E-4</v>
      </c>
    </row>
    <row r="11" spans="2:34">
      <c r="B11" s="3246" t="s">
        <v>3892</v>
      </c>
      <c r="C11" s="3218">
        <v>395.7</v>
      </c>
      <c r="D11" s="3235">
        <v>7.6999999999999999E-2</v>
      </c>
      <c r="E11" s="3212">
        <f t="shared" si="2"/>
        <v>1.124456938410421E-2</v>
      </c>
      <c r="F11">
        <f t="shared" si="9"/>
        <v>38.480000000000018</v>
      </c>
      <c r="G11" s="3189">
        <v>1005.54</v>
      </c>
      <c r="H11" s="3247">
        <v>1.9E-2</v>
      </c>
      <c r="I11" s="3189">
        <f>G11</f>
        <v>1005.54</v>
      </c>
      <c r="J11">
        <f>I11-I7</f>
        <v>75.329999999999927</v>
      </c>
      <c r="K11" s="3246" t="s">
        <v>3892</v>
      </c>
      <c r="L11" s="3218">
        <v>374</v>
      </c>
      <c r="M11" s="3235">
        <v>7.0999999999999994E-2</v>
      </c>
      <c r="N11" s="3212">
        <f t="shared" si="3"/>
        <v>-7.9575596816976128E-3</v>
      </c>
      <c r="O11">
        <f t="shared" si="4"/>
        <v>430900</v>
      </c>
      <c r="P11">
        <v>8178900</v>
      </c>
      <c r="Q11">
        <f t="shared" si="0"/>
        <v>817.89</v>
      </c>
      <c r="R11" s="3212">
        <f t="shared" si="5"/>
        <v>-7.9575596816976128E-3</v>
      </c>
      <c r="U11" s="3246" t="s">
        <v>3892</v>
      </c>
      <c r="V11" s="3218">
        <v>340</v>
      </c>
      <c r="W11" s="3235">
        <v>7.5999999999999998E-2</v>
      </c>
      <c r="X11" s="3212">
        <f t="shared" si="6"/>
        <v>5.3222945002957172E-3</v>
      </c>
      <c r="Y11">
        <f t="shared" si="7"/>
        <v>440000</v>
      </c>
      <c r="Z11">
        <v>10740000</v>
      </c>
      <c r="AA11">
        <f t="shared" si="1"/>
        <v>1074</v>
      </c>
      <c r="AB11" s="3212">
        <f t="shared" si="8"/>
        <v>5.3222945002957172E-3</v>
      </c>
    </row>
    <row r="12" spans="2:34">
      <c r="B12" s="3246" t="s">
        <v>3893</v>
      </c>
      <c r="C12" s="3218">
        <v>391.3</v>
      </c>
      <c r="D12" s="3235">
        <v>8.4000000000000005E-2</v>
      </c>
      <c r="E12" s="3212">
        <f t="shared" si="2"/>
        <v>-1.1119535001263526E-2</v>
      </c>
      <c r="F12">
        <f t="shared" si="9"/>
        <v>38.069999999999936</v>
      </c>
      <c r="G12" s="3189">
        <v>1043.6099999999999</v>
      </c>
      <c r="H12" s="3247">
        <v>2.3E-2</v>
      </c>
      <c r="I12" s="3189"/>
      <c r="K12" s="3246" t="s">
        <v>3893</v>
      </c>
      <c r="L12" s="3218">
        <v>370</v>
      </c>
      <c r="M12" s="3235">
        <v>4.2999999999999997E-2</v>
      </c>
      <c r="N12" s="3212">
        <f t="shared" si="3"/>
        <v>-1.06951871657754E-2</v>
      </c>
      <c r="O12">
        <f t="shared" si="4"/>
        <v>0</v>
      </c>
      <c r="P12">
        <v>8178900</v>
      </c>
      <c r="Q12">
        <f t="shared" si="0"/>
        <v>817.89</v>
      </c>
      <c r="R12" s="3212">
        <f t="shared" si="5"/>
        <v>-1.06951871657754E-2</v>
      </c>
      <c r="U12" s="3246" t="s">
        <v>3893</v>
      </c>
      <c r="V12" s="3218">
        <v>345.3</v>
      </c>
      <c r="W12" s="3235">
        <v>6.8000000000000005E-2</v>
      </c>
      <c r="X12" s="3212">
        <f t="shared" si="6"/>
        <v>1.558823529411768E-2</v>
      </c>
      <c r="Y12">
        <f t="shared" si="7"/>
        <v>-90000</v>
      </c>
      <c r="Z12">
        <v>10650000</v>
      </c>
      <c r="AA12">
        <f t="shared" si="1"/>
        <v>1065</v>
      </c>
      <c r="AB12" s="3212">
        <f t="shared" si="8"/>
        <v>1.558823529411768E-2</v>
      </c>
      <c r="AD12" s="3236" t="s">
        <v>3570</v>
      </c>
      <c r="AE12" s="3236" t="s">
        <v>3793</v>
      </c>
      <c r="AF12" s="3236" t="s">
        <v>3794</v>
      </c>
      <c r="AG12" s="3236"/>
      <c r="AH12" s="3236" t="s">
        <v>3795</v>
      </c>
    </row>
    <row r="13" spans="2:34">
      <c r="B13" s="3246" t="s">
        <v>3894</v>
      </c>
      <c r="C13" s="3218">
        <v>394.4</v>
      </c>
      <c r="D13" s="3235">
        <v>7.0999999999999994E-2</v>
      </c>
      <c r="E13" s="3212">
        <f t="shared" si="2"/>
        <v>7.9223102478915564E-3</v>
      </c>
      <c r="F13">
        <f t="shared" si="9"/>
        <v>0</v>
      </c>
      <c r="G13" s="3189">
        <v>1043.6099999999999</v>
      </c>
      <c r="H13" s="3247">
        <v>2.3E-2</v>
      </c>
      <c r="I13" s="3267">
        <f>AVERAGE(D12:D15)</f>
        <v>7.8750000000000001E-2</v>
      </c>
      <c r="K13" s="3246" t="s">
        <v>3894</v>
      </c>
      <c r="L13" s="3218">
        <v>384</v>
      </c>
      <c r="M13" s="3235">
        <v>3.3000000000000002E-2</v>
      </c>
      <c r="N13" s="3212">
        <f t="shared" si="3"/>
        <v>3.783783783783784E-2</v>
      </c>
      <c r="O13">
        <f t="shared" si="4"/>
        <v>80000</v>
      </c>
      <c r="P13">
        <v>8258900</v>
      </c>
      <c r="Q13">
        <f t="shared" si="0"/>
        <v>825.89</v>
      </c>
      <c r="R13" s="3212">
        <f t="shared" si="5"/>
        <v>3.783783783783784E-2</v>
      </c>
      <c r="U13" s="3246" t="s">
        <v>3894</v>
      </c>
      <c r="V13" s="3218">
        <v>355</v>
      </c>
      <c r="W13" s="3235">
        <v>5.8000000000000003E-2</v>
      </c>
      <c r="X13" s="3212">
        <f t="shared" si="6"/>
        <v>2.8091514624963766E-2</v>
      </c>
      <c r="Y13">
        <f>Z13-Z12</f>
        <v>70000</v>
      </c>
      <c r="Z13">
        <v>10720000</v>
      </c>
      <c r="AA13">
        <f t="shared" si="1"/>
        <v>1072</v>
      </c>
      <c r="AB13" s="3212">
        <f t="shared" si="8"/>
        <v>2.8091514624963766E-2</v>
      </c>
      <c r="AD13" s="3237">
        <v>1</v>
      </c>
      <c r="AE13" s="3238" t="s">
        <v>3350</v>
      </c>
      <c r="AF13" s="3237">
        <v>238</v>
      </c>
      <c r="AG13" s="3237">
        <f>ROUND(AF13/30,2)</f>
        <v>7.93</v>
      </c>
      <c r="AH13" s="3239">
        <v>6.7100000000000007E-2</v>
      </c>
    </row>
    <row r="14" spans="2:34">
      <c r="B14" s="3246" t="s">
        <v>3895</v>
      </c>
      <c r="C14" s="3218">
        <v>403</v>
      </c>
      <c r="D14" s="3235">
        <v>7.9000000000000001E-2</v>
      </c>
      <c r="E14" s="3212">
        <f>(C14-C13)/C13</f>
        <v>2.1805273833671458E-2</v>
      </c>
      <c r="F14">
        <f t="shared" si="9"/>
        <v>4.9900000000000091</v>
      </c>
      <c r="G14" s="3189">
        <f>117.5+931.1</f>
        <v>1048.5999999999999</v>
      </c>
      <c r="H14" s="3247">
        <v>2.5000000000000001E-2</v>
      </c>
      <c r="I14" s="3189">
        <f>AVERAGE(C12:C15)</f>
        <v>397.20000000000005</v>
      </c>
      <c r="K14" s="3246" t="s">
        <v>3895</v>
      </c>
      <c r="L14" s="3218">
        <v>390</v>
      </c>
      <c r="M14" s="3235">
        <v>3.2000000000000001E-2</v>
      </c>
      <c r="N14" s="3212">
        <f t="shared" si="3"/>
        <v>1.5625E-2</v>
      </c>
      <c r="O14">
        <f t="shared" si="4"/>
        <v>45700</v>
      </c>
      <c r="P14">
        <v>8304600</v>
      </c>
      <c r="Q14">
        <f t="shared" si="0"/>
        <v>830.46</v>
      </c>
      <c r="R14" s="3212">
        <f t="shared" si="5"/>
        <v>1.5625E-2</v>
      </c>
      <c r="U14" s="3246" t="s">
        <v>3895</v>
      </c>
      <c r="V14" s="3218">
        <v>366.9</v>
      </c>
      <c r="W14" s="3235">
        <v>6.5000000000000002E-2</v>
      </c>
      <c r="X14" s="3212">
        <f t="shared" si="6"/>
        <v>3.3521126760563319E-2</v>
      </c>
      <c r="Y14">
        <f t="shared" si="7"/>
        <v>145000</v>
      </c>
      <c r="Z14">
        <v>10865000</v>
      </c>
      <c r="AA14">
        <f t="shared" si="1"/>
        <v>1086.5</v>
      </c>
      <c r="AB14" s="3212">
        <f t="shared" si="8"/>
        <v>3.3521126760563319E-2</v>
      </c>
      <c r="AD14" s="3237">
        <v>2</v>
      </c>
      <c r="AE14" s="3238" t="s">
        <v>3796</v>
      </c>
      <c r="AF14" s="3237">
        <v>146</v>
      </c>
      <c r="AG14" s="3237">
        <f t="shared" ref="AG14:AG22" si="10">ROUND(AF14/30,2)</f>
        <v>4.87</v>
      </c>
      <c r="AH14" s="3239">
        <v>5.3E-3</v>
      </c>
    </row>
    <row r="15" spans="2:34">
      <c r="B15" s="3246" t="s">
        <v>3896</v>
      </c>
      <c r="C15" s="3218">
        <v>400.1</v>
      </c>
      <c r="D15" s="3235">
        <v>8.1000000000000003E-2</v>
      </c>
      <c r="E15" s="3212">
        <f t="shared" si="2"/>
        <v>-7.1960297766748811E-3</v>
      </c>
      <c r="F15">
        <f t="shared" si="9"/>
        <v>9.4000000000000909</v>
      </c>
      <c r="G15" s="3189">
        <v>1058</v>
      </c>
      <c r="H15" s="3247"/>
      <c r="I15" s="3189">
        <f>G15</f>
        <v>1058</v>
      </c>
      <c r="J15">
        <f>I15-I11</f>
        <v>52.460000000000036</v>
      </c>
      <c r="K15" s="3246" t="s">
        <v>3896</v>
      </c>
      <c r="L15" s="3218">
        <v>386</v>
      </c>
      <c r="M15" s="3235">
        <v>4.9000000000000002E-2</v>
      </c>
      <c r="N15" s="3212">
        <f t="shared" si="3"/>
        <v>-1.0256410256410256E-2</v>
      </c>
      <c r="O15">
        <f t="shared" si="4"/>
        <v>251300</v>
      </c>
      <c r="P15">
        <v>8555900</v>
      </c>
      <c r="Q15">
        <f t="shared" si="0"/>
        <v>855.59</v>
      </c>
      <c r="R15" s="3212">
        <f t="shared" si="5"/>
        <v>-1.0256410256410256E-2</v>
      </c>
      <c r="U15" s="3246" t="s">
        <v>3896</v>
      </c>
      <c r="V15" s="3218">
        <v>369</v>
      </c>
      <c r="W15" s="3235">
        <v>7.0000000000000007E-2</v>
      </c>
      <c r="X15" s="3212">
        <f t="shared" si="6"/>
        <v>5.7236304170074212E-3</v>
      </c>
      <c r="Y15">
        <f t="shared" si="7"/>
        <v>157000</v>
      </c>
      <c r="Z15">
        <v>11022000</v>
      </c>
      <c r="AA15">
        <f t="shared" si="1"/>
        <v>1102.2</v>
      </c>
      <c r="AB15" s="3212">
        <f t="shared" si="8"/>
        <v>5.7236304170074212E-3</v>
      </c>
      <c r="AD15" s="3237">
        <v>3</v>
      </c>
      <c r="AE15" s="3238" t="s">
        <v>3797</v>
      </c>
      <c r="AF15" s="3237">
        <v>180</v>
      </c>
      <c r="AG15" s="3237">
        <f t="shared" si="10"/>
        <v>6</v>
      </c>
      <c r="AH15" s="3239">
        <v>2.63E-2</v>
      </c>
    </row>
    <row r="16" spans="2:34">
      <c r="B16" s="3246" t="s">
        <v>3897</v>
      </c>
      <c r="C16" s="3218">
        <v>399.75</v>
      </c>
      <c r="D16" s="3235">
        <v>7.9200000000000007E-2</v>
      </c>
      <c r="E16" s="3212">
        <f t="shared" si="2"/>
        <v>-8.7478130467388837E-4</v>
      </c>
      <c r="F16">
        <f t="shared" si="9"/>
        <v>0</v>
      </c>
      <c r="G16" s="3189">
        <v>1058</v>
      </c>
      <c r="H16" s="3247"/>
      <c r="I16" s="3189"/>
      <c r="K16" s="3246" t="s">
        <v>3897</v>
      </c>
      <c r="L16" s="3218">
        <f>ROUND(L17*(1+1.2%),0)</f>
        <v>382</v>
      </c>
      <c r="M16" s="3235">
        <v>5.8000000000000003E-2</v>
      </c>
      <c r="N16" s="3212">
        <f t="shared" si="3"/>
        <v>-1.0362694300518135E-2</v>
      </c>
      <c r="O16">
        <f t="shared" si="4"/>
        <v>125600</v>
      </c>
      <c r="P16">
        <f>P17-143000</f>
        <v>8681500</v>
      </c>
      <c r="Q16">
        <f t="shared" si="0"/>
        <v>868.15</v>
      </c>
      <c r="R16" s="3212">
        <f t="shared" si="5"/>
        <v>-1.0362694300518135E-2</v>
      </c>
      <c r="U16" s="3246" t="s">
        <v>3897</v>
      </c>
      <c r="V16" s="3218">
        <v>368</v>
      </c>
      <c r="W16" s="3235">
        <v>6.9000000000000006E-2</v>
      </c>
      <c r="X16" s="3212">
        <f t="shared" si="6"/>
        <v>-2.7100271002710027E-3</v>
      </c>
      <c r="Y16">
        <f t="shared" si="7"/>
        <v>0</v>
      </c>
      <c r="Z16">
        <v>11022000</v>
      </c>
      <c r="AA16">
        <f t="shared" si="1"/>
        <v>1102.2</v>
      </c>
      <c r="AB16" s="3212">
        <f t="shared" si="8"/>
        <v>-2.7100271002710027E-3</v>
      </c>
      <c r="AD16" s="3237">
        <v>4</v>
      </c>
      <c r="AE16" s="3238" t="s">
        <v>3798</v>
      </c>
      <c r="AF16" s="3237">
        <v>147</v>
      </c>
      <c r="AG16" s="3237">
        <f t="shared" si="10"/>
        <v>4.9000000000000004</v>
      </c>
      <c r="AH16" s="3239">
        <v>6.4799999999999996E-2</v>
      </c>
    </row>
    <row r="17" spans="2:34">
      <c r="B17" s="3246" t="s">
        <v>3898</v>
      </c>
      <c r="C17" s="3218">
        <v>396.19</v>
      </c>
      <c r="D17" s="3235">
        <v>8.8999999999999996E-2</v>
      </c>
      <c r="E17" s="3212">
        <f t="shared" si="2"/>
        <v>-8.9055659787367156E-3</v>
      </c>
      <c r="F17">
        <f t="shared" si="9"/>
        <v>-23.319999999999936</v>
      </c>
      <c r="G17" s="3189">
        <v>1034.68</v>
      </c>
      <c r="H17" s="3247">
        <v>1.9E-2</v>
      </c>
      <c r="I17" s="3267">
        <f>AVERAGE(D16:D19)</f>
        <v>0.10117500000000001</v>
      </c>
      <c r="K17" s="3246" t="s">
        <v>3898</v>
      </c>
      <c r="L17" s="3218">
        <v>377</v>
      </c>
      <c r="M17" s="3235">
        <v>6.9000000000000006E-2</v>
      </c>
      <c r="N17" s="3212">
        <f t="shared" si="3"/>
        <v>-1.3089005235602094E-2</v>
      </c>
      <c r="O17">
        <f t="shared" si="4"/>
        <v>143000</v>
      </c>
      <c r="P17">
        <v>8824500</v>
      </c>
      <c r="Q17">
        <f t="shared" si="0"/>
        <v>882.45</v>
      </c>
      <c r="R17" s="3212">
        <f t="shared" si="5"/>
        <v>-1.3089005235602094E-2</v>
      </c>
      <c r="U17" s="3246" t="s">
        <v>3898</v>
      </c>
      <c r="V17" s="3218">
        <v>368.3</v>
      </c>
      <c r="W17" s="3235">
        <v>8.5999999999999993E-2</v>
      </c>
      <c r="X17" s="3212">
        <f t="shared" si="6"/>
        <v>8.1521739130437868E-4</v>
      </c>
      <c r="Y17">
        <f t="shared" si="7"/>
        <v>284000</v>
      </c>
      <c r="Z17">
        <v>11306000</v>
      </c>
      <c r="AA17">
        <f t="shared" si="1"/>
        <v>1130.5999999999999</v>
      </c>
      <c r="AB17" s="3212">
        <f t="shared" si="8"/>
        <v>8.1521739130437868E-4</v>
      </c>
      <c r="AD17" s="3237">
        <v>5</v>
      </c>
      <c r="AE17" s="3238" t="s">
        <v>3799</v>
      </c>
      <c r="AF17" s="3237">
        <v>146</v>
      </c>
      <c r="AG17" s="3237">
        <f t="shared" si="10"/>
        <v>4.87</v>
      </c>
      <c r="AH17" s="3240">
        <v>-2.9700000000000001E-2</v>
      </c>
    </row>
    <row r="18" spans="2:34">
      <c r="B18" s="3246" t="s">
        <v>3899</v>
      </c>
      <c r="C18" s="3218">
        <v>388.16</v>
      </c>
      <c r="D18" s="3235">
        <v>0.10150000000000001</v>
      </c>
      <c r="E18" s="3212">
        <f t="shared" si="2"/>
        <v>-2.0268053206794652E-2</v>
      </c>
      <c r="F18">
        <f t="shared" si="9"/>
        <v>20.700000000000045</v>
      </c>
      <c r="G18" s="3189">
        <v>1055.3800000000001</v>
      </c>
      <c r="H18" s="3247">
        <v>2.1000000000000001E-2</v>
      </c>
      <c r="I18" s="3189">
        <f>AVERAGE(C16:C19)</f>
        <v>391.625</v>
      </c>
      <c r="K18" s="3246" t="s">
        <v>3899</v>
      </c>
      <c r="L18" s="3218">
        <v>374</v>
      </c>
      <c r="M18" s="3235">
        <v>7.0999999999999994E-2</v>
      </c>
      <c r="N18" s="3212">
        <f t="shared" si="3"/>
        <v>-7.9575596816976128E-3</v>
      </c>
      <c r="O18">
        <f t="shared" si="4"/>
        <v>0</v>
      </c>
      <c r="P18">
        <v>8824500</v>
      </c>
      <c r="Q18">
        <f t="shared" si="0"/>
        <v>882.45</v>
      </c>
      <c r="R18" s="3212">
        <f t="shared" si="5"/>
        <v>-7.9575596816976128E-3</v>
      </c>
      <c r="U18" s="3246" t="s">
        <v>3899</v>
      </c>
      <c r="V18" s="3218">
        <v>367.6</v>
      </c>
      <c r="W18" s="3235">
        <v>9.1999999999999998E-2</v>
      </c>
      <c r="X18" s="3212">
        <f t="shared" si="6"/>
        <v>-1.9006244909041232E-3</v>
      </c>
      <c r="Y18">
        <f t="shared" si="7"/>
        <v>180000</v>
      </c>
      <c r="Z18">
        <v>11486000</v>
      </c>
      <c r="AA18">
        <f t="shared" si="1"/>
        <v>1148.5999999999999</v>
      </c>
      <c r="AB18" s="3212">
        <f t="shared" si="8"/>
        <v>-1.9006244909041232E-3</v>
      </c>
      <c r="AD18" s="3237">
        <v>6</v>
      </c>
      <c r="AE18" s="3238" t="s">
        <v>3800</v>
      </c>
      <c r="AF18" s="3237">
        <v>225</v>
      </c>
      <c r="AG18" s="3237">
        <f t="shared" si="10"/>
        <v>7.5</v>
      </c>
      <c r="AH18" s="3239">
        <v>6.2399999999999997E-2</v>
      </c>
    </row>
    <row r="19" spans="2:34">
      <c r="B19" s="3246" t="s">
        <v>3900</v>
      </c>
      <c r="C19" s="3218">
        <v>382.4</v>
      </c>
      <c r="D19" s="3235">
        <v>0.13500000000000001</v>
      </c>
      <c r="E19" s="3212">
        <f t="shared" si="2"/>
        <v>-1.4839241549876462E-2</v>
      </c>
      <c r="F19">
        <f t="shared" si="9"/>
        <v>58.799999999999955</v>
      </c>
      <c r="G19" s="3189">
        <v>1114.18</v>
      </c>
      <c r="H19" s="3247">
        <v>2.3E-2</v>
      </c>
      <c r="I19" s="3189">
        <f>G19</f>
        <v>1114.18</v>
      </c>
      <c r="J19">
        <f>I19-I15</f>
        <v>56.180000000000064</v>
      </c>
      <c r="K19" s="3246" t="s">
        <v>3900</v>
      </c>
      <c r="L19" s="3218">
        <v>379</v>
      </c>
      <c r="M19" s="3235">
        <v>0.113</v>
      </c>
      <c r="N19" s="3212">
        <f t="shared" si="3"/>
        <v>1.3368983957219251E-2</v>
      </c>
      <c r="O19">
        <f t="shared" si="4"/>
        <v>800700</v>
      </c>
      <c r="P19">
        <v>9625200</v>
      </c>
      <c r="Q19">
        <f t="shared" si="0"/>
        <v>962.52</v>
      </c>
      <c r="R19" s="3212">
        <f t="shared" si="5"/>
        <v>1.3368983957219251E-2</v>
      </c>
      <c r="U19" s="3246" t="s">
        <v>3900</v>
      </c>
      <c r="V19" s="3218">
        <v>364.9</v>
      </c>
      <c r="W19" s="3235">
        <v>0.127</v>
      </c>
      <c r="X19" s="3212">
        <f t="shared" si="6"/>
        <v>-7.344940152339623E-3</v>
      </c>
      <c r="Y19">
        <f t="shared" si="7"/>
        <v>933000</v>
      </c>
      <c r="Z19">
        <v>12419000</v>
      </c>
      <c r="AA19">
        <f t="shared" si="1"/>
        <v>1241.9000000000001</v>
      </c>
      <c r="AB19" s="3212">
        <f t="shared" si="8"/>
        <v>-7.344940152339623E-3</v>
      </c>
      <c r="AD19" s="3237">
        <v>7</v>
      </c>
      <c r="AE19" s="3238" t="s">
        <v>3801</v>
      </c>
      <c r="AF19" s="3237">
        <v>132</v>
      </c>
      <c r="AG19" s="3237">
        <f t="shared" si="10"/>
        <v>4.4000000000000004</v>
      </c>
      <c r="AH19" s="3239">
        <v>7.0000000000000001E-3</v>
      </c>
    </row>
    <row r="20" spans="2:34">
      <c r="B20" s="3246" t="s">
        <v>3992</v>
      </c>
      <c r="C20" s="3218">
        <v>377.49</v>
      </c>
      <c r="D20" s="3235">
        <v>0.13800000000000001</v>
      </c>
      <c r="E20" s="3212">
        <f t="shared" si="2"/>
        <v>-1.2839958158995734E-2</v>
      </c>
      <c r="F20">
        <f t="shared" si="9"/>
        <v>0</v>
      </c>
      <c r="G20" s="3189">
        <v>1114.18</v>
      </c>
      <c r="H20" s="3247">
        <v>3.1E-2</v>
      </c>
      <c r="I20" s="3189"/>
      <c r="K20" s="3246" t="s">
        <v>3901</v>
      </c>
      <c r="L20" s="3218">
        <v>374</v>
      </c>
      <c r="M20" s="3235">
        <v>0.113</v>
      </c>
      <c r="N20" s="3212">
        <f t="shared" si="3"/>
        <v>-1.3192612137203167E-2</v>
      </c>
      <c r="O20">
        <f t="shared" si="4"/>
        <v>0</v>
      </c>
      <c r="P20">
        <v>9625200</v>
      </c>
      <c r="Q20">
        <f t="shared" si="0"/>
        <v>962.52</v>
      </c>
      <c r="R20" s="3212">
        <f t="shared" si="5"/>
        <v>-1.3192612137203167E-2</v>
      </c>
      <c r="U20" s="3246" t="s">
        <v>3901</v>
      </c>
      <c r="V20" s="3218">
        <v>363</v>
      </c>
      <c r="W20" s="3235">
        <v>0.13200000000000001</v>
      </c>
      <c r="X20" s="3212">
        <f t="shared" si="6"/>
        <v>-5.2069060016442245E-3</v>
      </c>
      <c r="Y20">
        <f t="shared" si="7"/>
        <v>-41000</v>
      </c>
      <c r="Z20">
        <v>12378000</v>
      </c>
      <c r="AA20">
        <f t="shared" si="1"/>
        <v>1237.8</v>
      </c>
      <c r="AB20" s="3212">
        <f t="shared" si="8"/>
        <v>-5.2069060016442245E-3</v>
      </c>
      <c r="AD20" s="3237">
        <v>8</v>
      </c>
      <c r="AE20" s="3238" t="s">
        <v>3802</v>
      </c>
      <c r="AF20" s="3237">
        <v>161</v>
      </c>
      <c r="AG20" s="3237">
        <f t="shared" si="10"/>
        <v>5.37</v>
      </c>
      <c r="AH20" s="3239">
        <v>5.7799999999999997E-2</v>
      </c>
    </row>
    <row r="21" spans="2:34">
      <c r="B21" s="3293" t="s">
        <v>3993</v>
      </c>
      <c r="C21" s="3218">
        <v>358.51</v>
      </c>
      <c r="D21" s="3235">
        <v>0.16200000000000001</v>
      </c>
      <c r="E21" s="3212">
        <f t="shared" si="2"/>
        <v>-5.0279477602055728E-2</v>
      </c>
      <c r="F21">
        <f t="shared" si="9"/>
        <v>36.240000000000009</v>
      </c>
      <c r="G21" s="3189">
        <v>1150.42</v>
      </c>
      <c r="H21" s="3247">
        <v>2.3E-2</v>
      </c>
      <c r="I21" s="3267">
        <f>AVERAGE(D20:D23)</f>
        <v>0.15900000000000003</v>
      </c>
      <c r="K21" s="3246" t="s">
        <v>3902</v>
      </c>
      <c r="L21" s="3218">
        <v>356</v>
      </c>
      <c r="M21" s="3235">
        <v>0.14000000000000001</v>
      </c>
      <c r="N21" s="3212">
        <f t="shared" si="3"/>
        <v>-4.8128342245989303E-2</v>
      </c>
      <c r="O21">
        <f t="shared" si="4"/>
        <v>0</v>
      </c>
      <c r="P21">
        <v>9625200</v>
      </c>
      <c r="Q21">
        <f t="shared" si="0"/>
        <v>962.52</v>
      </c>
      <c r="R21" s="3212">
        <f t="shared" si="5"/>
        <v>-4.8128342245989303E-2</v>
      </c>
      <c r="U21" s="3246" t="s">
        <v>3902</v>
      </c>
      <c r="V21" s="3218">
        <v>360.5</v>
      </c>
      <c r="W21" s="3235">
        <v>0.13600000000000001</v>
      </c>
      <c r="X21" s="3212">
        <f t="shared" si="6"/>
        <v>-6.8870523415977963E-3</v>
      </c>
      <c r="Y21">
        <f t="shared" si="7"/>
        <v>100000</v>
      </c>
      <c r="Z21">
        <v>12478000</v>
      </c>
      <c r="AA21">
        <f t="shared" si="1"/>
        <v>1247.8</v>
      </c>
      <c r="AB21" s="3212">
        <f t="shared" si="8"/>
        <v>-6.8870523415977963E-3</v>
      </c>
      <c r="AD21" s="3237">
        <v>9</v>
      </c>
      <c r="AE21" s="3238" t="s">
        <v>3803</v>
      </c>
      <c r="AF21" s="3237">
        <v>193</v>
      </c>
      <c r="AG21" s="3237">
        <f t="shared" si="10"/>
        <v>6.43</v>
      </c>
      <c r="AH21" s="3239">
        <v>1.3100000000000001E-2</v>
      </c>
    </row>
    <row r="22" spans="2:34">
      <c r="B22" s="3293" t="s">
        <v>3994</v>
      </c>
      <c r="C22" s="3218">
        <v>348.4</v>
      </c>
      <c r="D22" s="3235">
        <v>0.16600000000000001</v>
      </c>
      <c r="E22" s="3212">
        <f t="shared" si="2"/>
        <v>-2.8200050207804563E-2</v>
      </c>
      <c r="F22">
        <f t="shared" si="9"/>
        <v>16.5</v>
      </c>
      <c r="G22" s="3189">
        <v>1166.92</v>
      </c>
      <c r="H22" s="3247">
        <v>1.9E-2</v>
      </c>
      <c r="I22" s="3189">
        <f>AVERAGE(C20:C23)</f>
        <v>355.40000000000003</v>
      </c>
      <c r="K22" s="3246" t="s">
        <v>3903</v>
      </c>
      <c r="L22" s="3218">
        <v>352</v>
      </c>
      <c r="M22" s="3235">
        <v>0.13900000000000001</v>
      </c>
      <c r="N22" s="3212">
        <f t="shared" si="3"/>
        <v>-1.1235955056179775E-2</v>
      </c>
      <c r="O22">
        <f t="shared" si="4"/>
        <v>10000</v>
      </c>
      <c r="P22">
        <v>9635200</v>
      </c>
      <c r="Q22">
        <f t="shared" si="0"/>
        <v>963.52</v>
      </c>
      <c r="R22" s="3212">
        <f t="shared" si="5"/>
        <v>-1.1235955056179775E-2</v>
      </c>
      <c r="U22" s="3246" t="s">
        <v>3903</v>
      </c>
      <c r="V22" s="3218">
        <v>354.8</v>
      </c>
      <c r="W22" s="3235">
        <v>0.15</v>
      </c>
      <c r="X22" s="3212">
        <f t="shared" si="6"/>
        <v>-1.5811373092926458E-2</v>
      </c>
      <c r="Y22">
        <f t="shared" si="7"/>
        <v>248000</v>
      </c>
      <c r="Z22">
        <v>12726000</v>
      </c>
      <c r="AA22">
        <f t="shared" si="1"/>
        <v>1272.5999999999999</v>
      </c>
      <c r="AB22" s="3212">
        <f t="shared" si="8"/>
        <v>-1.5811373092926458E-2</v>
      </c>
      <c r="AD22" s="3237">
        <v>10</v>
      </c>
      <c r="AE22" s="3238" t="s">
        <v>3804</v>
      </c>
      <c r="AF22" s="3237">
        <v>164</v>
      </c>
      <c r="AG22" s="3237">
        <f t="shared" si="10"/>
        <v>5.47</v>
      </c>
      <c r="AH22" s="3239">
        <v>2.75E-2</v>
      </c>
    </row>
    <row r="23" spans="2:34">
      <c r="B23" s="3293" t="s">
        <v>3995</v>
      </c>
      <c r="C23" s="3218">
        <v>337.2</v>
      </c>
      <c r="D23" s="3235">
        <v>0.17</v>
      </c>
      <c r="E23" s="3212">
        <f t="shared" si="2"/>
        <v>-3.2146957520091821E-2</v>
      </c>
      <c r="F23">
        <f t="shared" si="9"/>
        <v>31.490000000000009</v>
      </c>
      <c r="G23" s="3189">
        <v>1198.4100000000001</v>
      </c>
      <c r="H23" s="3247"/>
      <c r="I23" s="3189">
        <f>G23</f>
        <v>1198.4100000000001</v>
      </c>
      <c r="J23">
        <f>I23-I19</f>
        <v>84.230000000000018</v>
      </c>
      <c r="K23" s="3246" t="s">
        <v>3904</v>
      </c>
      <c r="L23" s="3218">
        <v>342</v>
      </c>
      <c r="M23" s="3235">
        <v>0.154</v>
      </c>
      <c r="N23" s="3212">
        <f t="shared" si="3"/>
        <v>-2.8409090909090908E-2</v>
      </c>
      <c r="O23">
        <f t="shared" si="4"/>
        <v>540700</v>
      </c>
      <c r="P23">
        <v>10175900</v>
      </c>
      <c r="Q23">
        <f t="shared" si="0"/>
        <v>1017.59</v>
      </c>
      <c r="R23" s="3212">
        <f t="shared" si="5"/>
        <v>-2.8409090909090908E-2</v>
      </c>
      <c r="U23" s="3246" t="s">
        <v>3904</v>
      </c>
      <c r="V23" s="3218">
        <v>349.2</v>
      </c>
      <c r="W23" s="3235">
        <v>0.158</v>
      </c>
      <c r="X23" s="3212">
        <f t="shared" si="6"/>
        <v>-1.578354002254798E-2</v>
      </c>
      <c r="Y23">
        <f t="shared" si="7"/>
        <v>164000</v>
      </c>
      <c r="Z23">
        <v>12890000</v>
      </c>
      <c r="AA23">
        <f t="shared" si="1"/>
        <v>1289</v>
      </c>
      <c r="AB23" s="3212">
        <f>(V23-V22)/V22</f>
        <v>-1.578354002254798E-2</v>
      </c>
    </row>
    <row r="24" spans="2:34">
      <c r="B24" s="3218"/>
      <c r="C24" s="3218"/>
      <c r="D24" s="3218"/>
      <c r="K24" s="3218"/>
      <c r="L24" s="3218"/>
      <c r="M24" s="3218"/>
      <c r="U24" s="3218"/>
      <c r="V24" s="3218"/>
      <c r="W24" s="3218"/>
    </row>
    <row r="25" spans="2:34">
      <c r="B25" s="3218"/>
      <c r="C25" s="3218"/>
      <c r="D25" s="3218"/>
      <c r="K25" s="3218"/>
      <c r="L25" s="3218"/>
      <c r="M25" s="3218"/>
      <c r="U25" s="3218"/>
      <c r="V25" s="3218"/>
      <c r="W25" s="3218"/>
    </row>
    <row r="26" spans="2:34">
      <c r="B26" s="3218"/>
      <c r="C26" s="3218"/>
      <c r="D26" s="3218"/>
      <c r="J26" s="3212"/>
      <c r="K26" s="3218"/>
      <c r="L26" s="3218"/>
      <c r="M26" s="3218"/>
      <c r="U26" s="3218"/>
      <c r="V26" s="3218"/>
      <c r="W26" s="3218"/>
    </row>
    <row r="27" spans="2:34">
      <c r="B27" s="3898" t="s">
        <v>3805</v>
      </c>
      <c r="C27" s="3898"/>
      <c r="D27" s="3898"/>
      <c r="E27" s="3898"/>
      <c r="F27" s="3218"/>
      <c r="G27" s="3218"/>
      <c r="J27" s="3373"/>
      <c r="K27" s="3898" t="s">
        <v>3805</v>
      </c>
      <c r="L27" s="3898"/>
      <c r="M27" s="3898"/>
      <c r="N27" s="3898"/>
      <c r="O27" s="3218"/>
      <c r="P27" s="3218"/>
      <c r="U27" s="3940" t="s">
        <v>3813</v>
      </c>
      <c r="V27" s="3898"/>
      <c r="W27" s="3898"/>
      <c r="X27" s="3898"/>
      <c r="Y27" s="3218"/>
      <c r="Z27" s="3218"/>
    </row>
    <row r="28" spans="2:34">
      <c r="B28" s="3218"/>
      <c r="C28" s="3218" t="s">
        <v>3786</v>
      </c>
      <c r="D28" s="3218" t="s">
        <v>3787</v>
      </c>
      <c r="E28" t="s">
        <v>3788</v>
      </c>
      <c r="F28" s="3250" t="s">
        <v>3823</v>
      </c>
      <c r="G28" s="3246" t="s">
        <v>3818</v>
      </c>
      <c r="K28" s="3218"/>
      <c r="L28" s="3218" t="s">
        <v>3786</v>
      </c>
      <c r="M28" s="3218" t="s">
        <v>3787</v>
      </c>
      <c r="N28" t="s">
        <v>3788</v>
      </c>
      <c r="O28" s="3218" t="s">
        <v>3789</v>
      </c>
      <c r="P28" s="3218" t="s">
        <v>3806</v>
      </c>
      <c r="Q28" s="3218" t="s">
        <v>3791</v>
      </c>
      <c r="R28" s="3218"/>
      <c r="S28" s="3218"/>
      <c r="U28" s="3218"/>
      <c r="V28" s="3218" t="s">
        <v>3786</v>
      </c>
      <c r="W28" s="3218" t="s">
        <v>3787</v>
      </c>
      <c r="X28" t="s">
        <v>3788</v>
      </c>
      <c r="Y28" s="3218" t="s">
        <v>3789</v>
      </c>
      <c r="Z28" s="3218" t="s">
        <v>3806</v>
      </c>
    </row>
    <row r="29" spans="2:34">
      <c r="B29" s="3293" t="s">
        <v>3885</v>
      </c>
      <c r="C29" s="3246" t="s">
        <v>3905</v>
      </c>
      <c r="D29" s="3235"/>
      <c r="K29" s="3246" t="s">
        <v>3885</v>
      </c>
      <c r="L29" s="3218">
        <v>325</v>
      </c>
      <c r="M29" s="3235">
        <v>2E-3</v>
      </c>
      <c r="P29">
        <v>843800</v>
      </c>
      <c r="Q29">
        <f>P29/10000</f>
        <v>84.38</v>
      </c>
      <c r="U29" s="3246" t="s">
        <v>3885</v>
      </c>
      <c r="V29" s="3218">
        <v>897.5</v>
      </c>
      <c r="W29" s="3235">
        <f>1-0.945</f>
        <v>5.5000000000000049E-2</v>
      </c>
      <c r="AA29">
        <v>1047</v>
      </c>
    </row>
    <row r="30" spans="2:34">
      <c r="B30" s="3293" t="s">
        <v>3886</v>
      </c>
      <c r="C30" s="3218">
        <v>334.2</v>
      </c>
      <c r="D30" s="3235">
        <v>2.9000000000000001E-2</v>
      </c>
      <c r="E30" s="3212"/>
      <c r="G30" s="3246">
        <f>ROUND(1082655/10000,2)</f>
        <v>108.27</v>
      </c>
      <c r="I30" s="3267">
        <f>AVERAGE(D29:D32)</f>
        <v>4.1000000000000002E-2</v>
      </c>
      <c r="K30" s="3246" t="s">
        <v>3886</v>
      </c>
      <c r="L30" s="3218">
        <v>327</v>
      </c>
      <c r="M30" s="3235">
        <v>5.0000000000000001E-3</v>
      </c>
      <c r="N30" s="3212">
        <f t="shared" ref="N30:N48" si="11">(L30-L29)/L29</f>
        <v>6.1538461538461538E-3</v>
      </c>
      <c r="O30">
        <f>P30-P29</f>
        <v>0</v>
      </c>
      <c r="P30">
        <v>843800</v>
      </c>
      <c r="Q30">
        <f t="shared" ref="Q30:Q48" si="12">P30/10000</f>
        <v>84.38</v>
      </c>
      <c r="R30" s="3212">
        <f t="shared" ref="R30:R48" si="13">(L30-L29)/L29</f>
        <v>6.1538461538461538E-3</v>
      </c>
      <c r="U30" s="3246" t="s">
        <v>3886</v>
      </c>
      <c r="V30" s="3218">
        <v>912.8</v>
      </c>
      <c r="W30" s="3235">
        <f>W29</f>
        <v>5.5000000000000049E-2</v>
      </c>
      <c r="X30" s="3212">
        <f t="shared" ref="X30:X48" si="14">(V30-V29)/V29</f>
        <v>1.7047353760445631E-2</v>
      </c>
      <c r="Y30">
        <f>Z30-Z29</f>
        <v>0</v>
      </c>
      <c r="AA30">
        <v>1133</v>
      </c>
      <c r="AB30" s="3212">
        <f>(V30-V29)/V29</f>
        <v>1.7047353760445631E-2</v>
      </c>
    </row>
    <row r="31" spans="2:34">
      <c r="B31" s="3293" t="s">
        <v>3887</v>
      </c>
      <c r="C31" s="3218">
        <v>350.8</v>
      </c>
      <c r="D31" s="3235">
        <v>0.06</v>
      </c>
      <c r="E31" s="3212">
        <f t="shared" ref="E31:E48" si="15">(C31-C30)/C30</f>
        <v>4.9670855774985111E-2</v>
      </c>
      <c r="F31">
        <f>G31-G30</f>
        <v>4.7999999999999972</v>
      </c>
      <c r="G31">
        <f>ROUND(1130655/10000,2)</f>
        <v>113.07</v>
      </c>
      <c r="I31" s="3189">
        <f>AVERAGE(C29:C32)</f>
        <v>343.3</v>
      </c>
      <c r="K31" s="3246" t="s">
        <v>3887</v>
      </c>
      <c r="L31" s="3218">
        <v>329</v>
      </c>
      <c r="M31" s="3235">
        <v>4.0000000000000001E-3</v>
      </c>
      <c r="N31" s="3212">
        <f t="shared" si="11"/>
        <v>6.1162079510703364E-3</v>
      </c>
      <c r="O31">
        <f t="shared" ref="O31:O48" si="16">P31-P30</f>
        <v>0</v>
      </c>
      <c r="P31">
        <v>843800</v>
      </c>
      <c r="Q31">
        <f t="shared" si="12"/>
        <v>84.38</v>
      </c>
      <c r="R31" s="3212">
        <f t="shared" si="13"/>
        <v>6.1162079510703364E-3</v>
      </c>
      <c r="U31" s="3246" t="s">
        <v>3887</v>
      </c>
      <c r="V31" s="3218">
        <v>916.2</v>
      </c>
      <c r="W31" s="3235">
        <f>1-0.949</f>
        <v>5.1000000000000045E-2</v>
      </c>
      <c r="X31" s="3212">
        <f t="shared" si="14"/>
        <v>3.7248028045575054E-3</v>
      </c>
      <c r="Y31">
        <f t="shared" ref="Y31:Y48" si="17">Z31-Z30</f>
        <v>0</v>
      </c>
      <c r="AA31" s="3189">
        <f>AA30+29.4</f>
        <v>1162.4000000000001</v>
      </c>
      <c r="AB31" s="3212">
        <f t="shared" ref="AB31:AB49" si="18">(V31-V30)/V30</f>
        <v>3.7248028045575054E-3</v>
      </c>
    </row>
    <row r="32" spans="2:34">
      <c r="B32" s="3293" t="s">
        <v>3888</v>
      </c>
      <c r="C32" s="3218">
        <v>344.9</v>
      </c>
      <c r="D32" s="3235">
        <v>3.4000000000000002E-2</v>
      </c>
      <c r="E32" s="3212">
        <f t="shared" si="15"/>
        <v>-1.6818700114025181E-2</v>
      </c>
      <c r="F32">
        <f t="shared" ref="F32:F48" si="19">G32-G31</f>
        <v>0</v>
      </c>
      <c r="G32">
        <f>ROUND(1130655/10000,2)</f>
        <v>113.07</v>
      </c>
      <c r="I32" s="3">
        <f>G32</f>
        <v>113.07</v>
      </c>
      <c r="J32" s="3218">
        <v>324</v>
      </c>
      <c r="K32" s="3246" t="s">
        <v>3888</v>
      </c>
      <c r="L32" s="3218">
        <v>324</v>
      </c>
      <c r="M32" s="3235">
        <v>4.0000000000000001E-3</v>
      </c>
      <c r="N32" s="3212">
        <f t="shared" si="11"/>
        <v>-1.5197568389057751E-2</v>
      </c>
      <c r="O32">
        <f t="shared" si="16"/>
        <v>-71500</v>
      </c>
      <c r="P32">
        <v>772300</v>
      </c>
      <c r="Q32">
        <f t="shared" si="12"/>
        <v>77.23</v>
      </c>
      <c r="R32" s="3212">
        <f t="shared" si="13"/>
        <v>-1.5197568389057751E-2</v>
      </c>
      <c r="U32" s="3246" t="s">
        <v>3888</v>
      </c>
      <c r="V32" s="3241">
        <v>926.9</v>
      </c>
      <c r="W32" s="3235">
        <v>0.05</v>
      </c>
      <c r="X32" s="3212">
        <f t="shared" si="14"/>
        <v>1.1678672778869168E-2</v>
      </c>
      <c r="Y32">
        <f t="shared" si="17"/>
        <v>0</v>
      </c>
      <c r="AA32">
        <f>AA31+47.6</f>
        <v>1210</v>
      </c>
      <c r="AB32" s="3212">
        <f t="shared" si="18"/>
        <v>1.1678672778869168E-2</v>
      </c>
    </row>
    <row r="33" spans="2:29">
      <c r="B33" s="3293" t="s">
        <v>3889</v>
      </c>
      <c r="C33" s="3218">
        <v>343.4</v>
      </c>
      <c r="D33" s="3235">
        <v>0.03</v>
      </c>
      <c r="E33" s="3212">
        <f t="shared" si="15"/>
        <v>-4.3490866917947233E-3</v>
      </c>
      <c r="F33">
        <f t="shared" si="19"/>
        <v>0</v>
      </c>
      <c r="G33">
        <v>113.07</v>
      </c>
      <c r="K33" s="3246" t="s">
        <v>3889</v>
      </c>
      <c r="L33" s="3218">
        <v>325</v>
      </c>
      <c r="M33" s="3235">
        <v>3.0000000000000001E-3</v>
      </c>
      <c r="N33" s="3212">
        <f t="shared" si="11"/>
        <v>3.0864197530864196E-3</v>
      </c>
      <c r="O33">
        <f t="shared" si="16"/>
        <v>0</v>
      </c>
      <c r="P33">
        <v>772300</v>
      </c>
      <c r="Q33">
        <f t="shared" si="12"/>
        <v>77.23</v>
      </c>
      <c r="R33" s="3212">
        <f t="shared" si="13"/>
        <v>3.0864197530864196E-3</v>
      </c>
      <c r="U33" s="3246" t="s">
        <v>3889</v>
      </c>
      <c r="V33" s="3218">
        <v>928.8</v>
      </c>
      <c r="W33" s="3235">
        <f>1-0.933</f>
        <v>6.6999999999999948E-2</v>
      </c>
      <c r="X33" s="3212">
        <f t="shared" si="14"/>
        <v>2.0498435645700478E-3</v>
      </c>
      <c r="Y33">
        <f t="shared" si="17"/>
        <v>0</v>
      </c>
      <c r="AA33">
        <f>AA32+5.85</f>
        <v>1215.8499999999999</v>
      </c>
      <c r="AB33" s="3212">
        <f t="shared" si="18"/>
        <v>2.0498435645700478E-3</v>
      </c>
    </row>
    <row r="34" spans="2:29">
      <c r="B34" s="3293" t="s">
        <v>3890</v>
      </c>
      <c r="C34" s="3218">
        <v>348.5</v>
      </c>
      <c r="D34" s="3235">
        <v>3.5000000000000003E-2</v>
      </c>
      <c r="E34" s="3212">
        <f t="shared" si="15"/>
        <v>1.4851485148514918E-2</v>
      </c>
      <c r="F34">
        <f t="shared" si="19"/>
        <v>0</v>
      </c>
      <c r="G34">
        <v>113.07</v>
      </c>
      <c r="I34" s="3267">
        <f>AVERAGE(D33:D36)</f>
        <v>3.6500000000000005E-2</v>
      </c>
      <c r="K34" s="3246" t="s">
        <v>3890</v>
      </c>
      <c r="L34" s="3218">
        <v>324</v>
      </c>
      <c r="M34" s="3235">
        <v>7.0000000000000001E-3</v>
      </c>
      <c r="N34" s="3212">
        <f t="shared" si="11"/>
        <v>-3.0769230769230769E-3</v>
      </c>
      <c r="O34">
        <f t="shared" si="16"/>
        <v>0</v>
      </c>
      <c r="P34">
        <v>772300</v>
      </c>
      <c r="Q34">
        <f t="shared" si="12"/>
        <v>77.23</v>
      </c>
      <c r="R34" s="3212">
        <f t="shared" si="13"/>
        <v>-3.0769230769230769E-3</v>
      </c>
      <c r="U34" s="3246" t="s">
        <v>3890</v>
      </c>
      <c r="V34" s="3218">
        <v>931.6</v>
      </c>
      <c r="W34" s="3235">
        <f>1-0.934</f>
        <v>6.5999999999999948E-2</v>
      </c>
      <c r="X34" s="3212">
        <f t="shared" si="14"/>
        <v>3.0146425495263442E-3</v>
      </c>
      <c r="Y34">
        <f t="shared" si="17"/>
        <v>0</v>
      </c>
      <c r="AA34">
        <f>AA33+10</f>
        <v>1225.8499999999999</v>
      </c>
      <c r="AB34" s="3212">
        <f t="shared" si="18"/>
        <v>3.0146425495263442E-3</v>
      </c>
    </row>
    <row r="35" spans="2:29">
      <c r="B35" s="3293" t="s">
        <v>3891</v>
      </c>
      <c r="C35" s="3218">
        <v>351.2</v>
      </c>
      <c r="D35" s="3235">
        <v>4.8000000000000001E-2</v>
      </c>
      <c r="E35" s="3212">
        <f t="shared" si="15"/>
        <v>7.7474892395982455E-3</v>
      </c>
      <c r="F35">
        <f t="shared" si="19"/>
        <v>0</v>
      </c>
      <c r="G35">
        <v>113.07</v>
      </c>
      <c r="I35" s="3189">
        <f>AVERAGE(C33:C36)</f>
        <v>349.04999999999995</v>
      </c>
      <c r="K35" s="3246" t="s">
        <v>3891</v>
      </c>
      <c r="L35" s="3218">
        <v>324</v>
      </c>
      <c r="M35" s="3235">
        <v>0.01</v>
      </c>
      <c r="N35" s="3212">
        <f t="shared" si="11"/>
        <v>0</v>
      </c>
      <c r="O35">
        <f t="shared" si="16"/>
        <v>0</v>
      </c>
      <c r="P35">
        <v>772300</v>
      </c>
      <c r="Q35">
        <f t="shared" si="12"/>
        <v>77.23</v>
      </c>
      <c r="R35" s="3212">
        <f t="shared" si="13"/>
        <v>0</v>
      </c>
      <c r="U35" s="3246" t="s">
        <v>3891</v>
      </c>
      <c r="V35" s="3218">
        <v>949.2</v>
      </c>
      <c r="W35" s="3235">
        <f>1-0.937</f>
        <v>6.2999999999999945E-2</v>
      </c>
      <c r="X35" s="3212">
        <f t="shared" si="14"/>
        <v>1.8892228424216426E-2</v>
      </c>
      <c r="Y35">
        <f t="shared" si="17"/>
        <v>0</v>
      </c>
      <c r="AA35">
        <f>890+210</f>
        <v>1100</v>
      </c>
      <c r="AB35" s="3212">
        <f t="shared" si="18"/>
        <v>1.8892228424216426E-2</v>
      </c>
    </row>
    <row r="36" spans="2:29">
      <c r="B36" s="3293" t="s">
        <v>3892</v>
      </c>
      <c r="C36" s="3218">
        <v>353.1</v>
      </c>
      <c r="D36" s="3235">
        <v>3.3000000000000002E-2</v>
      </c>
      <c r="E36" s="3212">
        <f t="shared" si="15"/>
        <v>5.4100227790433771E-3</v>
      </c>
      <c r="F36">
        <f t="shared" si="19"/>
        <v>0</v>
      </c>
      <c r="G36">
        <v>113.07</v>
      </c>
      <c r="I36" s="3">
        <f>G36</f>
        <v>113.07</v>
      </c>
      <c r="K36" s="3246" t="s">
        <v>3892</v>
      </c>
      <c r="L36" s="3218">
        <v>330</v>
      </c>
      <c r="M36" s="3235">
        <v>8.9999999999999993E-3</v>
      </c>
      <c r="N36" s="3212">
        <f t="shared" si="11"/>
        <v>1.8518518518518517E-2</v>
      </c>
      <c r="O36">
        <f t="shared" si="16"/>
        <v>0</v>
      </c>
      <c r="P36">
        <v>772300</v>
      </c>
      <c r="Q36">
        <f t="shared" si="12"/>
        <v>77.23</v>
      </c>
      <c r="R36" s="3212">
        <f t="shared" si="13"/>
        <v>1.8518518518518517E-2</v>
      </c>
      <c r="U36" s="3246" t="s">
        <v>3892</v>
      </c>
      <c r="V36" s="3241">
        <v>956.1</v>
      </c>
      <c r="W36" s="3235">
        <v>7.0000000000000007E-2</v>
      </c>
      <c r="X36" s="3212">
        <f t="shared" si="14"/>
        <v>7.2692793931731746E-3</v>
      </c>
      <c r="Y36">
        <f t="shared" si="17"/>
        <v>0</v>
      </c>
      <c r="AA36">
        <f>962+210</f>
        <v>1172</v>
      </c>
      <c r="AB36" s="3212">
        <f t="shared" si="18"/>
        <v>7.2692793931731746E-3</v>
      </c>
      <c r="AC36" s="3212">
        <f>(V36-V32)/V32</f>
        <v>3.1502858992340108E-2</v>
      </c>
    </row>
    <row r="37" spans="2:29">
      <c r="B37" s="3293" t="s">
        <v>3893</v>
      </c>
      <c r="C37" s="3218">
        <v>357.6</v>
      </c>
      <c r="D37" s="3235">
        <v>3.5000000000000003E-2</v>
      </c>
      <c r="E37" s="3212">
        <f t="shared" si="15"/>
        <v>1.2744265080713678E-2</v>
      </c>
      <c r="F37">
        <f t="shared" si="19"/>
        <v>0</v>
      </c>
      <c r="G37">
        <v>113.07</v>
      </c>
      <c r="K37" s="3246" t="s">
        <v>3893</v>
      </c>
      <c r="L37" s="3218">
        <v>340</v>
      </c>
      <c r="M37" s="3235">
        <v>5.0000000000000001E-3</v>
      </c>
      <c r="N37" s="3212">
        <f t="shared" si="11"/>
        <v>3.0303030303030304E-2</v>
      </c>
      <c r="O37">
        <f t="shared" si="16"/>
        <v>0</v>
      </c>
      <c r="P37">
        <v>772300</v>
      </c>
      <c r="Q37">
        <f t="shared" si="12"/>
        <v>77.23</v>
      </c>
      <c r="R37" s="3212">
        <f t="shared" si="13"/>
        <v>3.0303030303030304E-2</v>
      </c>
      <c r="U37" s="3246" t="s">
        <v>3893</v>
      </c>
      <c r="V37" s="3218">
        <v>956.2</v>
      </c>
      <c r="W37" s="3235">
        <v>7.0000000000000007E-2</v>
      </c>
      <c r="X37" s="3212">
        <f t="shared" si="14"/>
        <v>1.0459156991948827E-4</v>
      </c>
      <c r="Y37">
        <f t="shared" si="17"/>
        <v>0</v>
      </c>
      <c r="AA37">
        <f>965+210</f>
        <v>1175</v>
      </c>
      <c r="AB37" s="3212">
        <f t="shared" si="18"/>
        <v>1.0459156991948827E-4</v>
      </c>
    </row>
    <row r="38" spans="2:29">
      <c r="B38" s="3293" t="s">
        <v>3894</v>
      </c>
      <c r="C38" s="3218">
        <v>359.2</v>
      </c>
      <c r="D38" s="3235">
        <v>7.1999999999999995E-2</v>
      </c>
      <c r="E38" s="3212">
        <f t="shared" si="15"/>
        <v>4.4742729306486741E-3</v>
      </c>
      <c r="F38">
        <f t="shared" si="19"/>
        <v>0</v>
      </c>
      <c r="G38">
        <v>113.07</v>
      </c>
      <c r="I38" s="3267">
        <f>AVERAGE(D37:D40)</f>
        <v>5.6749999999999995E-2</v>
      </c>
      <c r="K38" s="3246" t="s">
        <v>3894</v>
      </c>
      <c r="L38" s="3218">
        <v>341</v>
      </c>
      <c r="M38" s="3235">
        <v>5.0000000000000001E-3</v>
      </c>
      <c r="N38" s="3212">
        <f t="shared" si="11"/>
        <v>2.9411764705882353E-3</v>
      </c>
      <c r="O38">
        <f t="shared" si="16"/>
        <v>0</v>
      </c>
      <c r="P38">
        <v>772300</v>
      </c>
      <c r="Q38">
        <f t="shared" si="12"/>
        <v>77.23</v>
      </c>
      <c r="R38" s="3212">
        <f t="shared" si="13"/>
        <v>2.9411764705882353E-3</v>
      </c>
      <c r="U38" s="3246" t="s">
        <v>3894</v>
      </c>
      <c r="V38" s="3218">
        <v>932.2</v>
      </c>
      <c r="W38" s="3235">
        <v>6.9000000000000006E-2</v>
      </c>
      <c r="X38" s="3212">
        <f t="shared" si="14"/>
        <v>-2.5099351600083662E-2</v>
      </c>
      <c r="Y38">
        <f t="shared" si="17"/>
        <v>0</v>
      </c>
      <c r="AA38">
        <f>972+210</f>
        <v>1182</v>
      </c>
      <c r="AB38" s="3212">
        <f t="shared" si="18"/>
        <v>-2.5099351600083662E-2</v>
      </c>
    </row>
    <row r="39" spans="2:29">
      <c r="B39" s="3293" t="s">
        <v>3895</v>
      </c>
      <c r="C39" s="3218">
        <v>369.6</v>
      </c>
      <c r="D39" s="3235">
        <v>6.2E-2</v>
      </c>
      <c r="E39" s="3212">
        <f t="shared" si="15"/>
        <v>2.8953229398663793E-2</v>
      </c>
      <c r="F39">
        <f t="shared" si="19"/>
        <v>4.6300000000000097</v>
      </c>
      <c r="G39">
        <v>117.7</v>
      </c>
      <c r="I39" s="3189">
        <f>AVERAGE(C37:C40)</f>
        <v>362.625</v>
      </c>
      <c r="K39" s="3246" t="s">
        <v>3895</v>
      </c>
      <c r="L39" s="3218">
        <v>346</v>
      </c>
      <c r="M39" s="3235">
        <v>1E-3</v>
      </c>
      <c r="N39" s="3212">
        <f t="shared" si="11"/>
        <v>1.466275659824047E-2</v>
      </c>
      <c r="O39">
        <f t="shared" si="16"/>
        <v>0</v>
      </c>
      <c r="P39">
        <v>772300</v>
      </c>
      <c r="Q39">
        <f t="shared" si="12"/>
        <v>77.23</v>
      </c>
      <c r="R39" s="3212">
        <f t="shared" si="13"/>
        <v>1.466275659824047E-2</v>
      </c>
      <c r="U39" s="3246" t="s">
        <v>3895</v>
      </c>
      <c r="V39" s="3218">
        <v>940.7</v>
      </c>
      <c r="W39" s="3235">
        <f>1-0.933</f>
        <v>6.6999999999999948E-2</v>
      </c>
      <c r="X39" s="3212">
        <f t="shared" si="14"/>
        <v>9.1182149753271831E-3</v>
      </c>
      <c r="Y39">
        <f t="shared" si="17"/>
        <v>0</v>
      </c>
      <c r="AA39">
        <f>982.8+210</f>
        <v>1192.8</v>
      </c>
      <c r="AB39" s="3212">
        <f t="shared" si="18"/>
        <v>9.1182149753271831E-3</v>
      </c>
    </row>
    <row r="40" spans="2:29">
      <c r="B40" s="3293" t="s">
        <v>3896</v>
      </c>
      <c r="C40" s="3218">
        <v>364.1</v>
      </c>
      <c r="D40" s="3235">
        <v>5.8000000000000003E-2</v>
      </c>
      <c r="E40" s="3212">
        <f t="shared" si="15"/>
        <v>-1.488095238095238E-2</v>
      </c>
      <c r="F40">
        <f t="shared" si="19"/>
        <v>0</v>
      </c>
      <c r="G40">
        <v>117.7</v>
      </c>
      <c r="I40" s="3">
        <f>G40</f>
        <v>117.7</v>
      </c>
      <c r="K40" s="3246" t="s">
        <v>3896</v>
      </c>
      <c r="L40" s="3218">
        <v>346</v>
      </c>
      <c r="M40" s="3235">
        <v>3.0000000000000001E-3</v>
      </c>
      <c r="N40" s="3212">
        <f t="shared" si="11"/>
        <v>0</v>
      </c>
      <c r="O40">
        <f t="shared" si="16"/>
        <v>0</v>
      </c>
      <c r="P40">
        <v>772300</v>
      </c>
      <c r="Q40">
        <f t="shared" si="12"/>
        <v>77.23</v>
      </c>
      <c r="R40" s="3212">
        <f t="shared" si="13"/>
        <v>0</v>
      </c>
      <c r="U40" s="3246" t="s">
        <v>3896</v>
      </c>
      <c r="V40" s="3241">
        <v>944.9</v>
      </c>
      <c r="W40" s="3235">
        <v>6.3E-2</v>
      </c>
      <c r="X40" s="3212">
        <f t="shared" si="14"/>
        <v>4.4647602848941551E-3</v>
      </c>
      <c r="Y40">
        <f t="shared" si="17"/>
        <v>0</v>
      </c>
      <c r="AA40" s="3189">
        <f>1011.8+210</f>
        <v>1221.8</v>
      </c>
      <c r="AB40" s="3212">
        <f t="shared" si="18"/>
        <v>4.4647602848941551E-3</v>
      </c>
      <c r="AC40" s="3212">
        <f>(V40-V36)/V36</f>
        <v>-1.1714255830980071E-2</v>
      </c>
    </row>
    <row r="41" spans="2:29">
      <c r="B41" s="3293" t="s">
        <v>3897</v>
      </c>
      <c r="C41" s="3218">
        <v>361.93</v>
      </c>
      <c r="D41" s="3235">
        <v>4.9700000000000001E-2</v>
      </c>
      <c r="E41" s="3212">
        <f t="shared" si="15"/>
        <v>-5.959901126064311E-3</v>
      </c>
      <c r="F41">
        <f t="shared" si="19"/>
        <v>-0.10000000000000853</v>
      </c>
      <c r="G41">
        <v>117.6</v>
      </c>
      <c r="K41" s="3246" t="s">
        <v>3897</v>
      </c>
      <c r="L41" s="3218">
        <f>ROUND(L42/(1-1%),0)</f>
        <v>345</v>
      </c>
      <c r="M41" s="3235">
        <v>3.0000000000000001E-3</v>
      </c>
      <c r="N41" s="3212">
        <f t="shared" si="11"/>
        <v>-2.8901734104046241E-3</v>
      </c>
      <c r="O41">
        <f t="shared" si="16"/>
        <v>0</v>
      </c>
      <c r="P41">
        <v>772300</v>
      </c>
      <c r="Q41">
        <f t="shared" si="12"/>
        <v>77.23</v>
      </c>
      <c r="R41" s="3212">
        <f t="shared" si="13"/>
        <v>-2.8901734104046241E-3</v>
      </c>
      <c r="U41" s="3246" t="s">
        <v>3897</v>
      </c>
      <c r="V41" s="3218">
        <v>946.9</v>
      </c>
      <c r="W41" s="3235">
        <v>6.4000000000000001E-2</v>
      </c>
      <c r="X41" s="3212">
        <f t="shared" si="14"/>
        <v>2.1166260979997883E-3</v>
      </c>
      <c r="Y41">
        <f t="shared" si="17"/>
        <v>0</v>
      </c>
      <c r="AA41">
        <f>1011.8+210</f>
        <v>1221.8</v>
      </c>
      <c r="AB41" s="3212">
        <f t="shared" si="18"/>
        <v>2.1166260979997883E-3</v>
      </c>
    </row>
    <row r="42" spans="2:29">
      <c r="B42" s="3293" t="s">
        <v>3898</v>
      </c>
      <c r="C42" s="3218">
        <v>350.81</v>
      </c>
      <c r="D42" s="3235">
        <v>6.2E-2</v>
      </c>
      <c r="E42" s="3212">
        <f t="shared" si="15"/>
        <v>-3.0724173182659641E-2</v>
      </c>
      <c r="F42">
        <f t="shared" si="19"/>
        <v>5.5700000000000074</v>
      </c>
      <c r="G42">
        <v>123.17</v>
      </c>
      <c r="I42" s="3267">
        <f>AVERAGE(D41:D44)</f>
        <v>5.5424999999999995E-2</v>
      </c>
      <c r="K42" s="3246" t="s">
        <v>3898</v>
      </c>
      <c r="L42" s="3218">
        <v>342</v>
      </c>
      <c r="M42" s="3235">
        <v>3.0000000000000001E-3</v>
      </c>
      <c r="N42" s="3212">
        <f t="shared" si="11"/>
        <v>-8.6956521739130436E-3</v>
      </c>
      <c r="O42">
        <f t="shared" si="16"/>
        <v>0</v>
      </c>
      <c r="P42">
        <v>772300</v>
      </c>
      <c r="Q42">
        <f t="shared" si="12"/>
        <v>77.23</v>
      </c>
      <c r="R42" s="3212">
        <f t="shared" si="13"/>
        <v>-8.6956521739130436E-3</v>
      </c>
      <c r="U42" s="3246" t="s">
        <v>3898</v>
      </c>
      <c r="V42" s="3218">
        <v>949.4</v>
      </c>
      <c r="W42" s="3235">
        <v>6.4000000000000001E-2</v>
      </c>
      <c r="X42" s="3212">
        <f t="shared" si="14"/>
        <v>2.640194318301827E-3</v>
      </c>
      <c r="Y42">
        <f t="shared" si="17"/>
        <v>0</v>
      </c>
      <c r="AA42">
        <f>AA41+5+2.87</f>
        <v>1229.6699999999998</v>
      </c>
      <c r="AB42" s="3212">
        <f t="shared" si="18"/>
        <v>2.640194318301827E-3</v>
      </c>
    </row>
    <row r="43" spans="2:29">
      <c r="B43" s="3293" t="s">
        <v>3899</v>
      </c>
      <c r="C43" s="3218">
        <v>347.43</v>
      </c>
      <c r="D43" s="3235">
        <v>5.6000000000000001E-2</v>
      </c>
      <c r="E43" s="3212">
        <f t="shared" si="15"/>
        <v>-9.6348450728314348E-3</v>
      </c>
      <c r="F43">
        <f t="shared" si="19"/>
        <v>0</v>
      </c>
      <c r="G43">
        <v>123.17</v>
      </c>
      <c r="I43" s="3189">
        <f>AVERAGE(C41:C44)</f>
        <v>350.84000000000003</v>
      </c>
      <c r="K43" s="3246" t="s">
        <v>3899</v>
      </c>
      <c r="L43" s="3218">
        <v>342</v>
      </c>
      <c r="M43" s="3235">
        <v>3.0000000000000001E-3</v>
      </c>
      <c r="N43" s="3212">
        <f t="shared" si="11"/>
        <v>0</v>
      </c>
      <c r="O43">
        <f t="shared" si="16"/>
        <v>0</v>
      </c>
      <c r="P43">
        <v>772300</v>
      </c>
      <c r="Q43">
        <f t="shared" si="12"/>
        <v>77.23</v>
      </c>
      <c r="R43" s="3212">
        <f t="shared" si="13"/>
        <v>0</v>
      </c>
      <c r="U43" s="3246" t="s">
        <v>3899</v>
      </c>
      <c r="V43" s="3218"/>
      <c r="W43" s="3235"/>
      <c r="X43" s="3212">
        <f t="shared" si="14"/>
        <v>-1</v>
      </c>
      <c r="Y43">
        <f t="shared" si="17"/>
        <v>0</v>
      </c>
      <c r="AB43" s="3212">
        <f t="shared" si="18"/>
        <v>-1</v>
      </c>
    </row>
    <row r="44" spans="2:29">
      <c r="B44" s="3293" t="s">
        <v>3900</v>
      </c>
      <c r="C44" s="3218">
        <v>343.19</v>
      </c>
      <c r="D44" s="3235">
        <v>5.3999999999999999E-2</v>
      </c>
      <c r="E44" s="3212">
        <f t="shared" si="15"/>
        <v>-1.2203897187922773E-2</v>
      </c>
      <c r="F44">
        <f t="shared" si="19"/>
        <v>0</v>
      </c>
      <c r="G44">
        <v>123.17</v>
      </c>
      <c r="I44" s="3">
        <f>G44</f>
        <v>123.17</v>
      </c>
      <c r="K44" s="3246" t="s">
        <v>3900</v>
      </c>
      <c r="L44" s="3218">
        <v>342</v>
      </c>
      <c r="M44" s="3235">
        <v>3.0000000000000001E-3</v>
      </c>
      <c r="N44" s="3212">
        <f t="shared" si="11"/>
        <v>0</v>
      </c>
      <c r="O44">
        <f t="shared" si="16"/>
        <v>0</v>
      </c>
      <c r="P44">
        <v>772300</v>
      </c>
      <c r="Q44">
        <f t="shared" si="12"/>
        <v>77.23</v>
      </c>
      <c r="R44" s="3212">
        <f t="shared" si="13"/>
        <v>0</v>
      </c>
      <c r="U44" s="3246" t="s">
        <v>3900</v>
      </c>
      <c r="V44" s="3241">
        <f>ROUND(V45*(1+0.6%),1)</f>
        <v>871.4</v>
      </c>
      <c r="W44" s="3235">
        <v>7.1999999999999995E-2</v>
      </c>
      <c r="X44" s="3212" t="e">
        <f t="shared" si="14"/>
        <v>#DIV/0!</v>
      </c>
      <c r="Y44">
        <f t="shared" si="17"/>
        <v>0</v>
      </c>
      <c r="AB44" s="3212" t="e">
        <f t="shared" si="18"/>
        <v>#DIV/0!</v>
      </c>
      <c r="AC44" s="3212">
        <f>(V44-V40)/V40</f>
        <v>-7.7786009101492221E-2</v>
      </c>
    </row>
    <row r="45" spans="2:29">
      <c r="B45" s="3293" t="s">
        <v>3992</v>
      </c>
      <c r="C45" s="3218">
        <v>342.62</v>
      </c>
      <c r="D45" s="3235">
        <v>6.3E-2</v>
      </c>
      <c r="E45" s="3212">
        <f t="shared" si="15"/>
        <v>-1.660887554998669E-3</v>
      </c>
      <c r="F45">
        <f t="shared" si="19"/>
        <v>0</v>
      </c>
      <c r="G45">
        <v>123.17</v>
      </c>
      <c r="K45" s="3246" t="s">
        <v>3901</v>
      </c>
      <c r="L45" s="3218">
        <v>342</v>
      </c>
      <c r="M45" s="3235">
        <v>5.0000000000000001E-3</v>
      </c>
      <c r="N45" s="3212">
        <f t="shared" si="11"/>
        <v>0</v>
      </c>
      <c r="O45">
        <f t="shared" si="16"/>
        <v>0</v>
      </c>
      <c r="P45">
        <v>772300</v>
      </c>
      <c r="Q45">
        <f t="shared" si="12"/>
        <v>77.23</v>
      </c>
      <c r="R45" s="3212">
        <f t="shared" si="13"/>
        <v>0</v>
      </c>
      <c r="U45" s="3246" t="s">
        <v>3901</v>
      </c>
      <c r="V45" s="3218">
        <v>866.2</v>
      </c>
      <c r="W45" s="3235">
        <v>0.08</v>
      </c>
      <c r="X45" s="3212">
        <f t="shared" si="14"/>
        <v>-5.9674087675004959E-3</v>
      </c>
      <c r="Y45">
        <f t="shared" si="17"/>
        <v>0</v>
      </c>
      <c r="AB45" s="3212">
        <f t="shared" si="18"/>
        <v>-5.9674087675004959E-3</v>
      </c>
    </row>
    <row r="46" spans="2:29">
      <c r="B46" s="3293" t="s">
        <v>3993</v>
      </c>
      <c r="C46" s="3218">
        <v>335.36</v>
      </c>
      <c r="D46" s="3235">
        <v>6.8000000000000005E-2</v>
      </c>
      <c r="E46" s="3212">
        <f t="shared" si="15"/>
        <v>-2.1189656178857017E-2</v>
      </c>
      <c r="F46">
        <f t="shared" si="19"/>
        <v>0</v>
      </c>
      <c r="G46">
        <v>123.17</v>
      </c>
      <c r="I46" s="3267">
        <f>AVERAGE(D45:D48)</f>
        <v>0.10525000000000001</v>
      </c>
      <c r="K46" s="3246" t="s">
        <v>3902</v>
      </c>
      <c r="L46" s="3218">
        <v>334</v>
      </c>
      <c r="M46" s="3235">
        <v>7.0000000000000001E-3</v>
      </c>
      <c r="N46" s="3212">
        <f t="shared" si="11"/>
        <v>-2.3391812865497075E-2</v>
      </c>
      <c r="O46">
        <f t="shared" si="16"/>
        <v>0</v>
      </c>
      <c r="P46">
        <v>772300</v>
      </c>
      <c r="Q46">
        <f t="shared" si="12"/>
        <v>77.23</v>
      </c>
      <c r="R46" s="3212">
        <f t="shared" si="13"/>
        <v>-2.3391812865497075E-2</v>
      </c>
      <c r="U46" s="3246" t="s">
        <v>3902</v>
      </c>
      <c r="V46" s="3218"/>
      <c r="W46" s="3235"/>
      <c r="X46" s="3212">
        <f t="shared" si="14"/>
        <v>-1</v>
      </c>
      <c r="Y46">
        <f t="shared" si="17"/>
        <v>0</v>
      </c>
      <c r="AB46" s="3212">
        <f t="shared" si="18"/>
        <v>-1</v>
      </c>
    </row>
    <row r="47" spans="2:29">
      <c r="B47" s="3293" t="s">
        <v>3994</v>
      </c>
      <c r="C47" s="3218">
        <v>332.2</v>
      </c>
      <c r="D47" s="3235">
        <v>0.157</v>
      </c>
      <c r="E47" s="3212">
        <f t="shared" si="15"/>
        <v>-9.4227099236641968E-3</v>
      </c>
      <c r="F47">
        <f t="shared" si="19"/>
        <v>11.999999999999986</v>
      </c>
      <c r="G47">
        <v>135.16999999999999</v>
      </c>
      <c r="I47" s="3189">
        <f>AVERAGE(C45:C48)</f>
        <v>334.54</v>
      </c>
      <c r="K47" s="3246" t="s">
        <v>3903</v>
      </c>
      <c r="L47" s="3218">
        <v>333</v>
      </c>
      <c r="M47" s="3235">
        <v>6.0000000000000001E-3</v>
      </c>
      <c r="N47" s="3212">
        <f t="shared" si="11"/>
        <v>-2.9940119760479044E-3</v>
      </c>
      <c r="O47">
        <f t="shared" si="16"/>
        <v>0</v>
      </c>
      <c r="P47">
        <v>772300</v>
      </c>
      <c r="Q47">
        <f t="shared" si="12"/>
        <v>77.23</v>
      </c>
      <c r="R47" s="3212">
        <f t="shared" si="13"/>
        <v>-2.9940119760479044E-3</v>
      </c>
      <c r="U47" s="3246" t="s">
        <v>3903</v>
      </c>
      <c r="V47" s="3218"/>
      <c r="W47" s="3235"/>
      <c r="X47" s="3212" t="e">
        <f t="shared" si="14"/>
        <v>#DIV/0!</v>
      </c>
      <c r="Y47">
        <f t="shared" si="17"/>
        <v>0</v>
      </c>
      <c r="AB47" s="3212" t="e">
        <f t="shared" si="18"/>
        <v>#DIV/0!</v>
      </c>
    </row>
    <row r="48" spans="2:29">
      <c r="B48" s="3293" t="s">
        <v>3995</v>
      </c>
      <c r="C48" s="3218">
        <v>327.98</v>
      </c>
      <c r="D48" s="3235">
        <v>0.13300000000000001</v>
      </c>
      <c r="E48" s="3212">
        <f t="shared" si="15"/>
        <v>-1.2703190848886124E-2</v>
      </c>
      <c r="F48">
        <f t="shared" si="19"/>
        <v>0</v>
      </c>
      <c r="G48">
        <v>135.16999999999999</v>
      </c>
      <c r="I48" s="3">
        <f>G48</f>
        <v>135.16999999999999</v>
      </c>
      <c r="K48" s="3246" t="s">
        <v>3904</v>
      </c>
      <c r="L48" s="3218">
        <v>318</v>
      </c>
      <c r="M48" s="3235">
        <v>0.11899999999999999</v>
      </c>
      <c r="N48" s="3212">
        <f t="shared" si="11"/>
        <v>-4.5045045045045043E-2</v>
      </c>
      <c r="O48">
        <f t="shared" si="16"/>
        <v>124000</v>
      </c>
      <c r="P48">
        <v>896300</v>
      </c>
      <c r="Q48">
        <f t="shared" si="12"/>
        <v>89.63</v>
      </c>
      <c r="R48" s="3212">
        <f t="shared" si="13"/>
        <v>-4.5045045045045043E-2</v>
      </c>
      <c r="U48" s="3246" t="s">
        <v>3904</v>
      </c>
      <c r="V48" s="3218"/>
      <c r="W48" s="3235"/>
      <c r="X48" s="3212" t="e">
        <f t="shared" si="14"/>
        <v>#DIV/0!</v>
      </c>
      <c r="Y48">
        <f t="shared" si="17"/>
        <v>0</v>
      </c>
      <c r="AB48" s="3212" t="e">
        <f t="shared" si="18"/>
        <v>#DIV/0!</v>
      </c>
    </row>
    <row r="49" spans="2:28">
      <c r="B49" s="3218"/>
      <c r="C49" s="3218"/>
      <c r="D49" s="3218"/>
      <c r="K49" s="3218"/>
      <c r="L49" s="3218"/>
      <c r="M49" s="3218"/>
      <c r="U49" s="3218"/>
      <c r="V49" s="3218"/>
      <c r="W49" s="3218"/>
      <c r="AB49" s="3212" t="e">
        <f t="shared" si="18"/>
        <v>#DIV/0!</v>
      </c>
    </row>
    <row r="50" spans="2:28">
      <c r="B50" s="3218"/>
      <c r="C50" s="3218"/>
      <c r="D50" s="3218"/>
      <c r="K50" s="3218"/>
      <c r="L50" s="3218"/>
      <c r="M50" s="3218"/>
      <c r="U50" s="3218"/>
      <c r="V50" s="3218"/>
      <c r="W50" s="3218"/>
    </row>
    <row r="51" spans="2:28">
      <c r="B51" s="3898" t="s">
        <v>3807</v>
      </c>
      <c r="C51" s="3898"/>
      <c r="D51" s="3898"/>
      <c r="E51" s="3898"/>
      <c r="F51" s="3898"/>
      <c r="G51" s="3898"/>
      <c r="H51" s="3898"/>
      <c r="I51" s="3245"/>
      <c r="K51" s="3940" t="s">
        <v>4280</v>
      </c>
      <c r="L51" s="3898"/>
      <c r="M51" s="3898"/>
      <c r="N51" s="3898"/>
      <c r="O51" s="3458"/>
      <c r="P51" s="3458"/>
      <c r="U51" s="3941" t="s">
        <v>4325</v>
      </c>
      <c r="V51" s="3917"/>
      <c r="W51" s="3917"/>
      <c r="X51" s="3917"/>
      <c r="Y51" s="3486"/>
      <c r="Z51" s="3486"/>
      <c r="AA51" s="3494"/>
      <c r="AB51" s="3494"/>
    </row>
    <row r="52" spans="2:28">
      <c r="C52" s="3245" t="s">
        <v>3786</v>
      </c>
      <c r="D52" s="3245" t="s">
        <v>3787</v>
      </c>
      <c r="E52" t="s">
        <v>3788</v>
      </c>
      <c r="F52" s="3245" t="s">
        <v>3789</v>
      </c>
      <c r="G52" s="3246" t="s">
        <v>3818</v>
      </c>
      <c r="K52" s="3458"/>
      <c r="L52" s="3458" t="s">
        <v>3786</v>
      </c>
      <c r="M52" s="3458" t="s">
        <v>3787</v>
      </c>
      <c r="N52" t="s">
        <v>3788</v>
      </c>
      <c r="O52" s="3458" t="s">
        <v>3789</v>
      </c>
      <c r="P52" s="3458" t="s">
        <v>3806</v>
      </c>
      <c r="Q52" s="3458" t="s">
        <v>3791</v>
      </c>
      <c r="R52" s="3458"/>
      <c r="U52" s="3486"/>
      <c r="V52" s="3486" t="s">
        <v>3786</v>
      </c>
      <c r="W52" s="3486" t="s">
        <v>3787</v>
      </c>
      <c r="X52" s="3494" t="s">
        <v>3788</v>
      </c>
      <c r="Y52" s="3486" t="s">
        <v>3789</v>
      </c>
      <c r="Z52" s="3486" t="s">
        <v>3806</v>
      </c>
      <c r="AA52" s="3486" t="s">
        <v>3791</v>
      </c>
      <c r="AB52" s="3486"/>
    </row>
    <row r="53" spans="2:28">
      <c r="B53" s="3293" t="s">
        <v>3885</v>
      </c>
      <c r="C53" s="3246" t="s">
        <v>3905</v>
      </c>
      <c r="D53" s="3246" t="s">
        <v>3905</v>
      </c>
      <c r="F53" s="3245"/>
      <c r="G53" s="3246"/>
      <c r="K53" s="3459" t="s">
        <v>3885</v>
      </c>
      <c r="L53" s="3458">
        <v>602</v>
      </c>
      <c r="M53" s="3235">
        <v>1.9E-2</v>
      </c>
      <c r="P53">
        <v>843800</v>
      </c>
      <c r="Q53">
        <v>144.75</v>
      </c>
      <c r="U53" s="3495"/>
      <c r="V53" s="3486"/>
      <c r="W53" s="3496"/>
      <c r="X53" s="3494"/>
      <c r="Y53" s="3494"/>
      <c r="Z53" s="3494"/>
      <c r="AA53" s="3494"/>
      <c r="AB53" s="3494"/>
    </row>
    <row r="54" spans="2:28">
      <c r="B54" s="3293" t="s">
        <v>3886</v>
      </c>
      <c r="C54" s="3245">
        <v>397.6</v>
      </c>
      <c r="D54" s="3235">
        <v>4.3999999999999997E-2</v>
      </c>
      <c r="E54" s="3212"/>
      <c r="G54">
        <f>ROUND(7263379/10000,2)</f>
        <v>726.34</v>
      </c>
      <c r="I54" s="3267">
        <f>AVERAGE(D53:D56)</f>
        <v>4.6333333333333337E-2</v>
      </c>
      <c r="K54" s="3459" t="s">
        <v>3886</v>
      </c>
      <c r="L54" s="3458">
        <v>613</v>
      </c>
      <c r="M54" s="3235">
        <v>2.5000000000000001E-2</v>
      </c>
      <c r="N54" s="3212">
        <f t="shared" ref="N54:N72" si="20">(L54-L53)/L53</f>
        <v>1.8272425249169437E-2</v>
      </c>
      <c r="O54">
        <f>P54-P53</f>
        <v>0</v>
      </c>
      <c r="P54">
        <v>843800</v>
      </c>
      <c r="Q54">
        <v>170.29</v>
      </c>
      <c r="R54" s="3212">
        <f t="shared" ref="R54:R72" si="21">(L54-L53)/L53</f>
        <v>1.8272425249169437E-2</v>
      </c>
      <c r="U54" s="3495" t="s">
        <v>3886</v>
      </c>
      <c r="V54" s="3486">
        <f t="shared" ref="V54:V72" si="22">ROUND((C30+L30)/2,0)</f>
        <v>331</v>
      </c>
      <c r="W54" s="3496">
        <f>ROUND((D30+M30)/2,4)</f>
        <v>1.7000000000000001E-2</v>
      </c>
      <c r="X54" s="3497"/>
      <c r="Y54" s="3494">
        <f>Z54-Z53</f>
        <v>843800</v>
      </c>
      <c r="Z54" s="3494">
        <v>843800</v>
      </c>
      <c r="AA54" s="3494">
        <f>ROUND((G30+Q30)/2,0)</f>
        <v>96</v>
      </c>
      <c r="AB54" s="3497"/>
    </row>
    <row r="55" spans="2:28" ht="27">
      <c r="B55" s="3293" t="s">
        <v>3887</v>
      </c>
      <c r="C55" s="3245">
        <v>403.2</v>
      </c>
      <c r="D55" s="3235">
        <v>4.4999999999999998E-2</v>
      </c>
      <c r="E55" s="3212">
        <f t="shared" ref="E55:E72" si="23">(C55-C54)/C54</f>
        <v>1.4084507042253435E-2</v>
      </c>
      <c r="F55">
        <f>G55-G54</f>
        <v>11.699999999999932</v>
      </c>
      <c r="G55">
        <f>ROUND(7380379/10000,2)</f>
        <v>738.04</v>
      </c>
      <c r="H55" s="3248" t="s">
        <v>3816</v>
      </c>
      <c r="I55" s="3189">
        <f>AVERAGE(C53:C56)</f>
        <v>403.43333333333334</v>
      </c>
      <c r="K55" s="3459" t="s">
        <v>3887</v>
      </c>
      <c r="L55" s="3458">
        <v>618</v>
      </c>
      <c r="M55" s="3235">
        <v>1.4E-2</v>
      </c>
      <c r="N55" s="3212">
        <f t="shared" si="20"/>
        <v>8.1566068515497546E-3</v>
      </c>
      <c r="O55">
        <f t="shared" ref="O55:O72" si="24">P55-P54</f>
        <v>0</v>
      </c>
      <c r="P55">
        <v>843800</v>
      </c>
      <c r="Q55">
        <v>170.29</v>
      </c>
      <c r="R55" s="3212">
        <f t="shared" si="21"/>
        <v>8.1566068515497546E-3</v>
      </c>
      <c r="U55" s="3495" t="s">
        <v>3887</v>
      </c>
      <c r="V55" s="3486">
        <f t="shared" si="22"/>
        <v>340</v>
      </c>
      <c r="W55" s="3496">
        <f t="shared" ref="W55:W72" si="25">ROUND((D31+M31)/2,4)</f>
        <v>3.2000000000000001E-2</v>
      </c>
      <c r="X55" s="3497">
        <f t="shared" ref="X55:X72" si="26">(V55-V54)/V54</f>
        <v>2.7190332326283987E-2</v>
      </c>
      <c r="Y55" s="3494">
        <f t="shared" ref="Y55:Y72" si="27">Z55-Z54</f>
        <v>0</v>
      </c>
      <c r="Z55" s="3494">
        <v>843800</v>
      </c>
      <c r="AA55" s="3494">
        <f t="shared" ref="AA55:AA72" si="28">ROUND((G31+Q31)/2,0)</f>
        <v>99</v>
      </c>
      <c r="AB55" s="3497"/>
    </row>
    <row r="56" spans="2:28" ht="27">
      <c r="B56" s="3293" t="s">
        <v>3888</v>
      </c>
      <c r="C56" s="3245">
        <v>409.5</v>
      </c>
      <c r="D56" s="3235">
        <v>0.05</v>
      </c>
      <c r="E56" s="3212">
        <f t="shared" si="23"/>
        <v>1.5625000000000028E-2</v>
      </c>
      <c r="F56">
        <f t="shared" ref="F56:F72" si="29">G56-G55</f>
        <v>15</v>
      </c>
      <c r="G56">
        <f>ROUND(7530379/10000,2)</f>
        <v>753.04</v>
      </c>
      <c r="H56" s="3248" t="s">
        <v>3817</v>
      </c>
      <c r="I56" s="3">
        <f>G56</f>
        <v>753.04</v>
      </c>
      <c r="K56" s="3459" t="s">
        <v>3888</v>
      </c>
      <c r="L56" s="3458">
        <v>620</v>
      </c>
      <c r="M56" s="3235">
        <v>7.0000000000000001E-3</v>
      </c>
      <c r="N56" s="3212">
        <f t="shared" si="20"/>
        <v>3.2362459546925568E-3</v>
      </c>
      <c r="O56">
        <f t="shared" si="24"/>
        <v>-71500</v>
      </c>
      <c r="P56">
        <v>772300</v>
      </c>
      <c r="Q56">
        <v>174.16</v>
      </c>
      <c r="R56" s="3212">
        <f t="shared" si="21"/>
        <v>3.2362459546925568E-3</v>
      </c>
      <c r="U56" s="3495" t="s">
        <v>3888</v>
      </c>
      <c r="V56" s="3486">
        <f t="shared" si="22"/>
        <v>334</v>
      </c>
      <c r="W56" s="3496">
        <f t="shared" si="25"/>
        <v>1.9E-2</v>
      </c>
      <c r="X56" s="3497">
        <f t="shared" si="26"/>
        <v>-1.7647058823529412E-2</v>
      </c>
      <c r="Y56" s="3494">
        <f t="shared" si="27"/>
        <v>-71500</v>
      </c>
      <c r="Z56" s="3494">
        <v>772300</v>
      </c>
      <c r="AA56" s="3494">
        <f t="shared" si="28"/>
        <v>95</v>
      </c>
      <c r="AB56" s="3497"/>
    </row>
    <row r="57" spans="2:28" ht="54">
      <c r="B57" s="3293" t="s">
        <v>3889</v>
      </c>
      <c r="C57" s="3245">
        <v>420.65</v>
      </c>
      <c r="D57" s="3235">
        <v>5.5E-2</v>
      </c>
      <c r="E57" s="3212">
        <f t="shared" si="23"/>
        <v>2.7228327228327173E-2</v>
      </c>
      <c r="F57">
        <f t="shared" si="29"/>
        <v>15.660000000000082</v>
      </c>
      <c r="G57">
        <f>308.4+100.8+113.1+141.7+104.7</f>
        <v>768.7</v>
      </c>
      <c r="H57" s="3248" t="s">
        <v>3819</v>
      </c>
      <c r="K57" s="3459" t="s">
        <v>3889</v>
      </c>
      <c r="L57" s="3458">
        <v>621</v>
      </c>
      <c r="M57" s="3235">
        <v>7.0000000000000001E-3</v>
      </c>
      <c r="N57" s="3212">
        <f t="shared" si="20"/>
        <v>1.6129032258064516E-3</v>
      </c>
      <c r="O57">
        <f t="shared" si="24"/>
        <v>0</v>
      </c>
      <c r="P57">
        <v>772300</v>
      </c>
      <c r="Q57">
        <v>174.16</v>
      </c>
      <c r="R57" s="3212">
        <f t="shared" si="21"/>
        <v>1.6129032258064516E-3</v>
      </c>
      <c r="U57" s="3495" t="s">
        <v>3889</v>
      </c>
      <c r="V57" s="3486">
        <f t="shared" si="22"/>
        <v>334</v>
      </c>
      <c r="W57" s="3496">
        <f t="shared" si="25"/>
        <v>1.6500000000000001E-2</v>
      </c>
      <c r="X57" s="3497">
        <f t="shared" si="26"/>
        <v>0</v>
      </c>
      <c r="Y57" s="3494">
        <f t="shared" si="27"/>
        <v>0</v>
      </c>
      <c r="Z57" s="3494">
        <v>772300</v>
      </c>
      <c r="AA57" s="3494">
        <f t="shared" si="28"/>
        <v>95</v>
      </c>
      <c r="AB57" s="3497"/>
    </row>
    <row r="58" spans="2:28">
      <c r="B58" s="3293" t="s">
        <v>3890</v>
      </c>
      <c r="C58" s="3245">
        <v>415.4</v>
      </c>
      <c r="D58" s="3235">
        <v>4.3999999999999997E-2</v>
      </c>
      <c r="E58" s="3212">
        <f t="shared" si="23"/>
        <v>-1.2480684654701058E-2</v>
      </c>
      <c r="F58">
        <f t="shared" si="29"/>
        <v>-6.0000000000059117E-2</v>
      </c>
      <c r="G58">
        <v>768.64</v>
      </c>
      <c r="I58" s="3267">
        <f>AVERAGE(D57:D60)</f>
        <v>4.4750000000000005E-2</v>
      </c>
      <c r="K58" s="3459" t="s">
        <v>3890</v>
      </c>
      <c r="L58" s="3458">
        <v>627</v>
      </c>
      <c r="M58" s="3235">
        <v>8.0000000000000002E-3</v>
      </c>
      <c r="N58" s="3212">
        <f t="shared" si="20"/>
        <v>9.6618357487922701E-3</v>
      </c>
      <c r="O58">
        <f t="shared" si="24"/>
        <v>0</v>
      </c>
      <c r="P58">
        <v>772300</v>
      </c>
      <c r="Q58">
        <v>174.16</v>
      </c>
      <c r="R58" s="3212">
        <f t="shared" si="21"/>
        <v>9.6618357487922701E-3</v>
      </c>
      <c r="U58" s="3495" t="s">
        <v>3890</v>
      </c>
      <c r="V58" s="3486">
        <f t="shared" si="22"/>
        <v>336</v>
      </c>
      <c r="W58" s="3496">
        <f t="shared" si="25"/>
        <v>2.1000000000000001E-2</v>
      </c>
      <c r="X58" s="3497">
        <f t="shared" si="26"/>
        <v>5.9880239520958087E-3</v>
      </c>
      <c r="Y58" s="3494">
        <f t="shared" si="27"/>
        <v>0</v>
      </c>
      <c r="Z58" s="3494">
        <v>772300</v>
      </c>
      <c r="AA58" s="3494">
        <f t="shared" si="28"/>
        <v>95</v>
      </c>
      <c r="AB58" s="3497"/>
    </row>
    <row r="59" spans="2:28">
      <c r="B59" s="3293" t="s">
        <v>3891</v>
      </c>
      <c r="C59" s="3245">
        <v>413.7</v>
      </c>
      <c r="D59" s="3235">
        <v>4.4999999999999998E-2</v>
      </c>
      <c r="E59" s="3212">
        <f t="shared" si="23"/>
        <v>-4.0924410207029095E-3</v>
      </c>
      <c r="F59">
        <f t="shared" si="29"/>
        <v>0</v>
      </c>
      <c r="G59">
        <v>768.64</v>
      </c>
      <c r="I59" s="3189">
        <f>AVERAGE(C57:C60)</f>
        <v>418.11250000000001</v>
      </c>
      <c r="K59" s="3459" t="s">
        <v>3891</v>
      </c>
      <c r="L59" s="3458">
        <v>631</v>
      </c>
      <c r="M59" s="3235">
        <v>7.0000000000000001E-3</v>
      </c>
      <c r="N59" s="3212">
        <f t="shared" si="20"/>
        <v>6.379585326953748E-3</v>
      </c>
      <c r="O59">
        <f t="shared" si="24"/>
        <v>0</v>
      </c>
      <c r="P59">
        <v>772300</v>
      </c>
      <c r="Q59">
        <v>174.16</v>
      </c>
      <c r="R59" s="3212">
        <f t="shared" si="21"/>
        <v>6.379585326953748E-3</v>
      </c>
      <c r="U59" s="3495" t="s">
        <v>3891</v>
      </c>
      <c r="V59" s="3486">
        <f t="shared" si="22"/>
        <v>338</v>
      </c>
      <c r="W59" s="3496">
        <f t="shared" si="25"/>
        <v>2.9000000000000001E-2</v>
      </c>
      <c r="X59" s="3497">
        <f t="shared" si="26"/>
        <v>5.9523809523809521E-3</v>
      </c>
      <c r="Y59" s="3494">
        <f t="shared" si="27"/>
        <v>0</v>
      </c>
      <c r="Z59" s="3494">
        <v>772300</v>
      </c>
      <c r="AA59" s="3494">
        <f t="shared" si="28"/>
        <v>95</v>
      </c>
      <c r="AB59" s="3497"/>
    </row>
    <row r="60" spans="2:28">
      <c r="B60" s="3293" t="s">
        <v>3892</v>
      </c>
      <c r="C60" s="3245">
        <v>422.7</v>
      </c>
      <c r="D60" s="3235">
        <v>3.5000000000000003E-2</v>
      </c>
      <c r="E60" s="3212">
        <f t="shared" si="23"/>
        <v>2.1754894851341553E-2</v>
      </c>
      <c r="F60">
        <f t="shared" si="29"/>
        <v>0</v>
      </c>
      <c r="G60">
        <v>768.64</v>
      </c>
      <c r="I60" s="3">
        <f>G60</f>
        <v>768.64</v>
      </c>
      <c r="K60" s="3459" t="s">
        <v>3892</v>
      </c>
      <c r="L60" s="3458">
        <v>651</v>
      </c>
      <c r="M60" s="3235">
        <v>7.0000000000000001E-3</v>
      </c>
      <c r="N60" s="3212">
        <f t="shared" si="20"/>
        <v>3.1695721077654518E-2</v>
      </c>
      <c r="O60">
        <f t="shared" si="24"/>
        <v>0</v>
      </c>
      <c r="P60">
        <v>772300</v>
      </c>
      <c r="Q60">
        <v>174.16</v>
      </c>
      <c r="R60" s="3212">
        <f t="shared" si="21"/>
        <v>3.1695721077654518E-2</v>
      </c>
      <c r="T60" s="3212">
        <f>1+X59+X60</f>
        <v>1.0177867004790082</v>
      </c>
      <c r="U60" s="3495" t="s">
        <v>3892</v>
      </c>
      <c r="V60" s="3486">
        <f t="shared" si="22"/>
        <v>342</v>
      </c>
      <c r="W60" s="3496">
        <f t="shared" si="25"/>
        <v>2.1000000000000001E-2</v>
      </c>
      <c r="X60" s="3497">
        <f t="shared" si="26"/>
        <v>1.1834319526627219E-2</v>
      </c>
      <c r="Y60" s="3494">
        <f t="shared" si="27"/>
        <v>0</v>
      </c>
      <c r="Z60" s="3494">
        <v>772300</v>
      </c>
      <c r="AA60" s="3494">
        <f t="shared" si="28"/>
        <v>95</v>
      </c>
      <c r="AB60" s="3497"/>
    </row>
    <row r="61" spans="2:28">
      <c r="B61" s="3293" t="s">
        <v>3893</v>
      </c>
      <c r="C61" s="3245">
        <v>427.4</v>
      </c>
      <c r="D61" s="3235">
        <v>2.9000000000000001E-2</v>
      </c>
      <c r="E61" s="3212">
        <f t="shared" si="23"/>
        <v>1.1118996924532739E-2</v>
      </c>
      <c r="F61">
        <f t="shared" si="29"/>
        <v>0</v>
      </c>
      <c r="G61">
        <v>768.64</v>
      </c>
      <c r="K61" s="3459" t="s">
        <v>3893</v>
      </c>
      <c r="L61" s="3458">
        <v>652</v>
      </c>
      <c r="M61" s="3235">
        <v>6.0000000000000001E-3</v>
      </c>
      <c r="N61" s="3212">
        <f t="shared" si="20"/>
        <v>1.5360983102918587E-3</v>
      </c>
      <c r="O61">
        <f t="shared" si="24"/>
        <v>0</v>
      </c>
      <c r="P61">
        <v>772300</v>
      </c>
      <c r="Q61">
        <v>174.16</v>
      </c>
      <c r="R61" s="3212">
        <f t="shared" si="21"/>
        <v>1.5360983102918587E-3</v>
      </c>
      <c r="T61" s="3212">
        <f>1+X61+X62+X63+X64</f>
        <v>1.0378104203591902</v>
      </c>
      <c r="U61" s="3495" t="s">
        <v>3893</v>
      </c>
      <c r="V61" s="3486">
        <f t="shared" si="22"/>
        <v>349</v>
      </c>
      <c r="W61" s="3496">
        <f t="shared" si="25"/>
        <v>0.02</v>
      </c>
      <c r="X61" s="3497">
        <f t="shared" si="26"/>
        <v>2.046783625730994E-2</v>
      </c>
      <c r="Y61" s="3494">
        <f t="shared" si="27"/>
        <v>0</v>
      </c>
      <c r="Z61" s="3494">
        <v>772300</v>
      </c>
      <c r="AA61" s="3494">
        <f t="shared" si="28"/>
        <v>95</v>
      </c>
      <c r="AB61" s="3497"/>
    </row>
    <row r="62" spans="2:28">
      <c r="B62" s="3293" t="s">
        <v>3894</v>
      </c>
      <c r="C62" s="3245">
        <v>430.2</v>
      </c>
      <c r="D62" s="3235">
        <v>3.1E-2</v>
      </c>
      <c r="E62" s="3212">
        <f t="shared" si="23"/>
        <v>6.5512400561535131E-3</v>
      </c>
      <c r="F62">
        <f t="shared" si="29"/>
        <v>0</v>
      </c>
      <c r="G62">
        <v>768.64</v>
      </c>
      <c r="I62" s="3267">
        <f>AVERAGE(D61:D64)</f>
        <v>3.3000000000000002E-2</v>
      </c>
      <c r="K62" s="3459" t="s">
        <v>3894</v>
      </c>
      <c r="L62" s="3458">
        <v>654</v>
      </c>
      <c r="M62" s="3235">
        <v>0.01</v>
      </c>
      <c r="N62" s="3212">
        <f t="shared" si="20"/>
        <v>3.0674846625766872E-3</v>
      </c>
      <c r="O62">
        <f t="shared" si="24"/>
        <v>0</v>
      </c>
      <c r="P62">
        <v>772300</v>
      </c>
      <c r="Q62">
        <v>174.16</v>
      </c>
      <c r="R62" s="3212">
        <f t="shared" si="21"/>
        <v>3.0674846625766872E-3</v>
      </c>
      <c r="T62" s="3212">
        <f>1+X65+X66+X67+X68</f>
        <v>0.96584889399480667</v>
      </c>
      <c r="U62" s="3495" t="s">
        <v>3894</v>
      </c>
      <c r="V62" s="3486">
        <f t="shared" si="22"/>
        <v>350</v>
      </c>
      <c r="W62" s="3496">
        <f t="shared" si="25"/>
        <v>3.85E-2</v>
      </c>
      <c r="X62" s="3497">
        <f t="shared" si="26"/>
        <v>2.8653295128939827E-3</v>
      </c>
      <c r="Y62" s="3494">
        <f t="shared" si="27"/>
        <v>0</v>
      </c>
      <c r="Z62" s="3494">
        <v>772300</v>
      </c>
      <c r="AA62" s="3494">
        <f t="shared" si="28"/>
        <v>95</v>
      </c>
      <c r="AB62" s="3497"/>
    </row>
    <row r="63" spans="2:28" ht="27">
      <c r="B63" s="3293" t="s">
        <v>3895</v>
      </c>
      <c r="C63" s="3245">
        <v>457.2</v>
      </c>
      <c r="D63" s="3235">
        <v>3.4000000000000002E-2</v>
      </c>
      <c r="E63" s="3212">
        <f t="shared" si="23"/>
        <v>6.2761506276150625E-2</v>
      </c>
      <c r="F63">
        <f t="shared" si="29"/>
        <v>17.659999999999968</v>
      </c>
      <c r="G63">
        <f>308.4+100.8+117.7+154.7+104.7</f>
        <v>786.3</v>
      </c>
      <c r="H63" s="3248" t="s">
        <v>3820</v>
      </c>
      <c r="I63" s="3189">
        <f>AVERAGE(C61:C64)</f>
        <v>438.69</v>
      </c>
      <c r="K63" s="3459" t="s">
        <v>3895</v>
      </c>
      <c r="L63" s="3458">
        <v>662</v>
      </c>
      <c r="M63" s="3235">
        <v>1.0999999999999999E-2</v>
      </c>
      <c r="N63" s="3212">
        <f t="shared" si="20"/>
        <v>1.2232415902140673E-2</v>
      </c>
      <c r="O63">
        <f t="shared" si="24"/>
        <v>0</v>
      </c>
      <c r="P63">
        <v>772300</v>
      </c>
      <c r="Q63">
        <v>174.16</v>
      </c>
      <c r="R63" s="3212">
        <f t="shared" si="21"/>
        <v>1.2232415902140673E-2</v>
      </c>
      <c r="T63" s="3212">
        <f>1+X69+X70+X71+X72</f>
        <v>0.940616532563885</v>
      </c>
      <c r="U63" s="3495" t="s">
        <v>3895</v>
      </c>
      <c r="V63" s="3486">
        <f t="shared" si="22"/>
        <v>358</v>
      </c>
      <c r="W63" s="3496">
        <f t="shared" si="25"/>
        <v>3.15E-2</v>
      </c>
      <c r="X63" s="3497">
        <f t="shared" si="26"/>
        <v>2.2857142857142857E-2</v>
      </c>
      <c r="Y63" s="3494">
        <f t="shared" si="27"/>
        <v>0</v>
      </c>
      <c r="Z63" s="3494">
        <v>772300</v>
      </c>
      <c r="AA63" s="3494">
        <f t="shared" si="28"/>
        <v>97</v>
      </c>
      <c r="AB63" s="3497"/>
    </row>
    <row r="64" spans="2:28">
      <c r="B64" s="3293" t="s">
        <v>3896</v>
      </c>
      <c r="C64" s="3245">
        <v>439.96</v>
      </c>
      <c r="D64" s="3235">
        <v>3.7999999999999999E-2</v>
      </c>
      <c r="E64" s="3212">
        <f t="shared" si="23"/>
        <v>-3.7707786526684182E-2</v>
      </c>
      <c r="F64">
        <f t="shared" si="29"/>
        <v>-5.999999999994543E-2</v>
      </c>
      <c r="G64">
        <v>786.24</v>
      </c>
      <c r="I64" s="3">
        <f>G64</f>
        <v>786.24</v>
      </c>
      <c r="K64" s="3459" t="s">
        <v>3896</v>
      </c>
      <c r="L64" s="3458">
        <v>665</v>
      </c>
      <c r="M64" s="3235">
        <v>0.01</v>
      </c>
      <c r="N64" s="3212">
        <f t="shared" si="20"/>
        <v>4.5317220543806651E-3</v>
      </c>
      <c r="O64">
        <f t="shared" si="24"/>
        <v>0</v>
      </c>
      <c r="P64">
        <v>772300</v>
      </c>
      <c r="Q64">
        <v>174.16</v>
      </c>
      <c r="R64" s="3212">
        <f t="shared" si="21"/>
        <v>4.5317220543806651E-3</v>
      </c>
      <c r="U64" s="3495" t="s">
        <v>3896</v>
      </c>
      <c r="V64" s="3486">
        <f t="shared" si="22"/>
        <v>355</v>
      </c>
      <c r="W64" s="3496">
        <f t="shared" si="25"/>
        <v>3.0499999999999999E-2</v>
      </c>
      <c r="X64" s="3497">
        <f t="shared" si="26"/>
        <v>-8.3798882681564244E-3</v>
      </c>
      <c r="Y64" s="3494">
        <f t="shared" si="27"/>
        <v>0</v>
      </c>
      <c r="Z64" s="3494">
        <v>772300</v>
      </c>
      <c r="AA64" s="3494">
        <f t="shared" si="28"/>
        <v>97</v>
      </c>
      <c r="AB64" s="3497"/>
    </row>
    <row r="65" spans="2:28">
      <c r="B65" s="3293" t="s">
        <v>3897</v>
      </c>
      <c r="C65" s="3245">
        <v>438.88</v>
      </c>
      <c r="D65" s="3235">
        <v>4.3200000000000002E-2</v>
      </c>
      <c r="E65" s="3212">
        <f t="shared" si="23"/>
        <v>-2.45476861532863E-3</v>
      </c>
      <c r="F65">
        <f t="shared" si="29"/>
        <v>0</v>
      </c>
      <c r="G65">
        <v>786.24</v>
      </c>
      <c r="K65" s="3459" t="s">
        <v>3897</v>
      </c>
      <c r="L65" s="3458">
        <f>ROUND(L66/(1-0.1%),0)</f>
        <v>668</v>
      </c>
      <c r="M65" s="3235">
        <f>M66-0.003</f>
        <v>8.0000000000000002E-3</v>
      </c>
      <c r="N65" s="3212">
        <f t="shared" si="20"/>
        <v>4.5112781954887221E-3</v>
      </c>
      <c r="O65">
        <f t="shared" si="24"/>
        <v>0</v>
      </c>
      <c r="P65">
        <v>772300</v>
      </c>
      <c r="Q65">
        <v>174.16</v>
      </c>
      <c r="R65" s="3212">
        <f t="shared" si="21"/>
        <v>4.5112781954887221E-3</v>
      </c>
      <c r="U65" s="3495" t="s">
        <v>3897</v>
      </c>
      <c r="V65" s="3486">
        <f t="shared" si="22"/>
        <v>353</v>
      </c>
      <c r="W65" s="3496">
        <f t="shared" si="25"/>
        <v>2.64E-2</v>
      </c>
      <c r="X65" s="3497">
        <f t="shared" si="26"/>
        <v>-5.6338028169014088E-3</v>
      </c>
      <c r="Y65" s="3494">
        <f t="shared" si="27"/>
        <v>0</v>
      </c>
      <c r="Z65" s="3494">
        <v>772300</v>
      </c>
      <c r="AA65" s="3494">
        <f t="shared" si="28"/>
        <v>97</v>
      </c>
      <c r="AB65" s="3497"/>
    </row>
    <row r="66" spans="2:28">
      <c r="B66" s="3293" t="s">
        <v>3898</v>
      </c>
      <c r="C66" s="3245">
        <v>436.62</v>
      </c>
      <c r="D66" s="3235">
        <v>5.6000000000000001E-2</v>
      </c>
      <c r="E66" s="3212">
        <f t="shared" si="23"/>
        <v>-5.1494713816988488E-3</v>
      </c>
      <c r="F66">
        <f t="shared" si="29"/>
        <v>-24.980000000000018</v>
      </c>
      <c r="G66">
        <v>761.26</v>
      </c>
      <c r="I66" s="3267">
        <f>AVERAGE(D65:D68)</f>
        <v>5.7724999999999999E-2</v>
      </c>
      <c r="K66" s="3459" t="s">
        <v>3898</v>
      </c>
      <c r="L66" s="3458">
        <v>667</v>
      </c>
      <c r="M66" s="3235">
        <v>1.0999999999999999E-2</v>
      </c>
      <c r="N66" s="3212">
        <f t="shared" si="20"/>
        <v>-1.4970059880239522E-3</v>
      </c>
      <c r="O66">
        <f t="shared" si="24"/>
        <v>0</v>
      </c>
      <c r="P66">
        <v>772300</v>
      </c>
      <c r="Q66">
        <v>174.16</v>
      </c>
      <c r="R66" s="3212">
        <f t="shared" si="21"/>
        <v>-1.4970059880239522E-3</v>
      </c>
      <c r="U66" s="3495" t="s">
        <v>3898</v>
      </c>
      <c r="V66" s="3486">
        <f t="shared" si="22"/>
        <v>346</v>
      </c>
      <c r="W66" s="3496">
        <f t="shared" si="25"/>
        <v>3.2500000000000001E-2</v>
      </c>
      <c r="X66" s="3497">
        <f t="shared" si="26"/>
        <v>-1.9830028328611898E-2</v>
      </c>
      <c r="Y66" s="3494">
        <f t="shared" si="27"/>
        <v>0</v>
      </c>
      <c r="Z66" s="3494">
        <v>772300</v>
      </c>
      <c r="AA66" s="3494">
        <f t="shared" si="28"/>
        <v>100</v>
      </c>
      <c r="AB66" s="3497"/>
    </row>
    <row r="67" spans="2:28">
      <c r="B67" s="3293" t="s">
        <v>3899</v>
      </c>
      <c r="C67" s="3245">
        <v>433.64</v>
      </c>
      <c r="D67" s="3235">
        <v>5.57E-2</v>
      </c>
      <c r="E67" s="3212">
        <f t="shared" si="23"/>
        <v>-6.8251568869955983E-3</v>
      </c>
      <c r="F67">
        <f t="shared" si="29"/>
        <v>0</v>
      </c>
      <c r="G67">
        <v>761.26</v>
      </c>
      <c r="I67" s="3189">
        <f>AVERAGE(C65:C68)</f>
        <v>434.27749999999997</v>
      </c>
      <c r="K67" s="3459" t="s">
        <v>3899</v>
      </c>
      <c r="L67" s="3458">
        <v>668</v>
      </c>
      <c r="M67" s="3235">
        <v>1.2999999999999999E-2</v>
      </c>
      <c r="N67" s="3212">
        <f t="shared" si="20"/>
        <v>1.4992503748125937E-3</v>
      </c>
      <c r="O67">
        <f t="shared" si="24"/>
        <v>0</v>
      </c>
      <c r="P67">
        <v>772300</v>
      </c>
      <c r="Q67">
        <v>174.16</v>
      </c>
      <c r="R67" s="3212">
        <f t="shared" si="21"/>
        <v>1.4992503748125937E-3</v>
      </c>
      <c r="U67" s="3495" t="s">
        <v>3899</v>
      </c>
      <c r="V67" s="3486">
        <f t="shared" si="22"/>
        <v>345</v>
      </c>
      <c r="W67" s="3496">
        <f t="shared" si="25"/>
        <v>2.9499999999999998E-2</v>
      </c>
      <c r="X67" s="3497">
        <f t="shared" si="26"/>
        <v>-2.8901734104046241E-3</v>
      </c>
      <c r="Y67" s="3494">
        <f t="shared" si="27"/>
        <v>0</v>
      </c>
      <c r="Z67" s="3494">
        <v>772300</v>
      </c>
      <c r="AA67" s="3494">
        <f t="shared" si="28"/>
        <v>100</v>
      </c>
      <c r="AB67" s="3497"/>
    </row>
    <row r="68" spans="2:28">
      <c r="B68" s="3293" t="s">
        <v>3900</v>
      </c>
      <c r="C68" s="3245">
        <v>427.97</v>
      </c>
      <c r="D68" s="3235">
        <v>7.5999999999999998E-2</v>
      </c>
      <c r="E68" s="3212">
        <f t="shared" si="23"/>
        <v>-1.3075362051471173E-2</v>
      </c>
      <c r="F68">
        <f t="shared" si="29"/>
        <v>26</v>
      </c>
      <c r="G68">
        <v>787.26</v>
      </c>
      <c r="H68" s="3248" t="s">
        <v>3821</v>
      </c>
      <c r="I68" s="3">
        <f>G68</f>
        <v>787.26</v>
      </c>
      <c r="K68" s="3459" t="s">
        <v>3900</v>
      </c>
      <c r="L68" s="3458">
        <v>670</v>
      </c>
      <c r="M68" s="3235">
        <v>2.1000000000000001E-2</v>
      </c>
      <c r="N68" s="3212">
        <f t="shared" si="20"/>
        <v>2.9940119760479044E-3</v>
      </c>
      <c r="O68">
        <f t="shared" si="24"/>
        <v>0</v>
      </c>
      <c r="P68">
        <v>772300</v>
      </c>
      <c r="Q68">
        <v>179.43</v>
      </c>
      <c r="R68" s="3212">
        <f t="shared" si="21"/>
        <v>2.9940119760479044E-3</v>
      </c>
      <c r="U68" s="3495" t="s">
        <v>3900</v>
      </c>
      <c r="V68" s="3486">
        <f t="shared" si="22"/>
        <v>343</v>
      </c>
      <c r="W68" s="3496">
        <f t="shared" si="25"/>
        <v>2.8500000000000001E-2</v>
      </c>
      <c r="X68" s="3497">
        <f t="shared" si="26"/>
        <v>-5.7971014492753624E-3</v>
      </c>
      <c r="Y68" s="3494">
        <f t="shared" si="27"/>
        <v>0</v>
      </c>
      <c r="Z68" s="3494">
        <v>772300</v>
      </c>
      <c r="AA68" s="3494">
        <f t="shared" si="28"/>
        <v>100</v>
      </c>
      <c r="AB68" s="3497"/>
    </row>
    <row r="69" spans="2:28">
      <c r="B69" s="3293" t="s">
        <v>3992</v>
      </c>
      <c r="C69" s="3245">
        <v>423.66</v>
      </c>
      <c r="D69" s="3235">
        <v>0.08</v>
      </c>
      <c r="E69" s="3212">
        <f t="shared" si="23"/>
        <v>-1.0070799355094988E-2</v>
      </c>
      <c r="F69">
        <f t="shared" si="29"/>
        <v>0</v>
      </c>
      <c r="G69">
        <v>787.26</v>
      </c>
      <c r="K69" s="3459" t="s">
        <v>3901</v>
      </c>
      <c r="L69" s="3458">
        <v>670</v>
      </c>
      <c r="M69" s="3235">
        <v>1.9E-2</v>
      </c>
      <c r="N69" s="3212">
        <f t="shared" si="20"/>
        <v>0</v>
      </c>
      <c r="O69">
        <f t="shared" si="24"/>
        <v>0</v>
      </c>
      <c r="P69">
        <v>772300</v>
      </c>
      <c r="Q69">
        <v>179.43</v>
      </c>
      <c r="R69" s="3212">
        <f t="shared" si="21"/>
        <v>0</v>
      </c>
      <c r="U69" s="3495" t="s">
        <v>3992</v>
      </c>
      <c r="V69" s="3486">
        <f t="shared" si="22"/>
        <v>342</v>
      </c>
      <c r="W69" s="3496">
        <f t="shared" si="25"/>
        <v>3.4000000000000002E-2</v>
      </c>
      <c r="X69" s="3497">
        <f t="shared" si="26"/>
        <v>-2.9154518950437317E-3</v>
      </c>
      <c r="Y69" s="3494">
        <f t="shared" si="27"/>
        <v>0</v>
      </c>
      <c r="Z69" s="3494">
        <v>772300</v>
      </c>
      <c r="AA69" s="3494">
        <f t="shared" si="28"/>
        <v>100</v>
      </c>
      <c r="AB69" s="3497"/>
    </row>
    <row r="70" spans="2:28">
      <c r="B70" s="3293" t="s">
        <v>3993</v>
      </c>
      <c r="C70" s="3245">
        <v>404.79</v>
      </c>
      <c r="D70" s="3235">
        <v>9.9000000000000005E-2</v>
      </c>
      <c r="E70" s="3212">
        <f t="shared" si="23"/>
        <v>-4.4540433366378709E-2</v>
      </c>
      <c r="F70">
        <f t="shared" si="29"/>
        <v>22.340000000000032</v>
      </c>
      <c r="G70">
        <v>809.6</v>
      </c>
      <c r="H70" s="3248" t="s">
        <v>3821</v>
      </c>
      <c r="I70" s="3267">
        <f>AVERAGE(D69:D72)</f>
        <v>9.9749999999999991E-2</v>
      </c>
      <c r="K70" s="3459" t="s">
        <v>3902</v>
      </c>
      <c r="L70" s="3458">
        <v>663</v>
      </c>
      <c r="M70" s="3235">
        <v>3.3000000000000002E-2</v>
      </c>
      <c r="N70" s="3212">
        <f t="shared" si="20"/>
        <v>-1.0447761194029851E-2</v>
      </c>
      <c r="O70">
        <f t="shared" si="24"/>
        <v>0</v>
      </c>
      <c r="P70">
        <v>772300</v>
      </c>
      <c r="Q70">
        <v>179.43</v>
      </c>
      <c r="R70" s="3212">
        <f t="shared" si="21"/>
        <v>-1.0447761194029851E-2</v>
      </c>
      <c r="U70" s="3495" t="s">
        <v>3993</v>
      </c>
      <c r="V70" s="3486">
        <f t="shared" si="22"/>
        <v>335</v>
      </c>
      <c r="W70" s="3496">
        <f t="shared" si="25"/>
        <v>3.7499999999999999E-2</v>
      </c>
      <c r="X70" s="3497">
        <f t="shared" si="26"/>
        <v>-2.046783625730994E-2</v>
      </c>
      <c r="Y70" s="3494">
        <f t="shared" si="27"/>
        <v>0</v>
      </c>
      <c r="Z70" s="3494">
        <v>772300</v>
      </c>
      <c r="AA70" s="3494">
        <f t="shared" si="28"/>
        <v>100</v>
      </c>
      <c r="AB70" s="3497"/>
    </row>
    <row r="71" spans="2:28">
      <c r="B71" s="3293" t="s">
        <v>3994</v>
      </c>
      <c r="C71" s="3245">
        <v>393.19</v>
      </c>
      <c r="D71" s="3235">
        <v>0.112</v>
      </c>
      <c r="E71" s="3212">
        <f t="shared" si="23"/>
        <v>-2.8656834407964678E-2</v>
      </c>
      <c r="F71">
        <f t="shared" si="29"/>
        <v>12</v>
      </c>
      <c r="G71">
        <v>821.6</v>
      </c>
      <c r="H71" s="3248" t="s">
        <v>3822</v>
      </c>
      <c r="I71" s="3189">
        <f>AVERAGE(C69:C72)</f>
        <v>402.22750000000002</v>
      </c>
      <c r="K71" s="3459" t="s">
        <v>3903</v>
      </c>
      <c r="L71" s="3458">
        <v>659</v>
      </c>
      <c r="M71" s="3235">
        <v>3.5999999999999997E-2</v>
      </c>
      <c r="N71" s="3212">
        <f t="shared" si="20"/>
        <v>-6.0331825037707393E-3</v>
      </c>
      <c r="O71">
        <f t="shared" si="24"/>
        <v>0</v>
      </c>
      <c r="P71">
        <v>772300</v>
      </c>
      <c r="Q71">
        <v>179.43</v>
      </c>
      <c r="R71" s="3212">
        <f t="shared" si="21"/>
        <v>-6.0331825037707393E-3</v>
      </c>
      <c r="U71" s="3495" t="s">
        <v>3994</v>
      </c>
      <c r="V71" s="3486">
        <f t="shared" si="22"/>
        <v>333</v>
      </c>
      <c r="W71" s="3496">
        <f t="shared" si="25"/>
        <v>8.1500000000000003E-2</v>
      </c>
      <c r="X71" s="3497">
        <f t="shared" si="26"/>
        <v>-5.9701492537313433E-3</v>
      </c>
      <c r="Y71" s="3494">
        <f t="shared" si="27"/>
        <v>0</v>
      </c>
      <c r="Z71" s="3494">
        <v>772300</v>
      </c>
      <c r="AA71" s="3494">
        <f t="shared" si="28"/>
        <v>106</v>
      </c>
      <c r="AB71" s="3497"/>
    </row>
    <row r="72" spans="2:28">
      <c r="B72" s="3293" t="s">
        <v>3995</v>
      </c>
      <c r="C72" s="3245">
        <v>387.27</v>
      </c>
      <c r="D72" s="3249">
        <v>0.108</v>
      </c>
      <c r="E72" s="3212">
        <f t="shared" si="23"/>
        <v>-1.5056334087845612E-2</v>
      </c>
      <c r="F72">
        <f t="shared" si="29"/>
        <v>0.49000000000000909</v>
      </c>
      <c r="G72">
        <v>822.09</v>
      </c>
      <c r="H72" s="3248" t="s">
        <v>3821</v>
      </c>
      <c r="I72" s="3">
        <f>G72</f>
        <v>822.09</v>
      </c>
      <c r="K72" s="3459" t="s">
        <v>3904</v>
      </c>
      <c r="L72" s="3458">
        <v>652</v>
      </c>
      <c r="M72" s="3235">
        <v>3.7999999999999999E-2</v>
      </c>
      <c r="N72" s="3212">
        <f t="shared" si="20"/>
        <v>-1.0622154779969651E-2</v>
      </c>
      <c r="O72">
        <f t="shared" si="24"/>
        <v>124000</v>
      </c>
      <c r="P72">
        <v>896300</v>
      </c>
      <c r="Q72">
        <v>179.43</v>
      </c>
      <c r="R72" s="3212">
        <f t="shared" si="21"/>
        <v>-1.0622154779969651E-2</v>
      </c>
      <c r="U72" s="3495" t="s">
        <v>3995</v>
      </c>
      <c r="V72" s="3486">
        <f t="shared" si="22"/>
        <v>323</v>
      </c>
      <c r="W72" s="3496">
        <f t="shared" si="25"/>
        <v>0.126</v>
      </c>
      <c r="X72" s="3497">
        <f t="shared" si="26"/>
        <v>-3.003003003003003E-2</v>
      </c>
      <c r="Y72" s="3494">
        <f t="shared" si="27"/>
        <v>124000</v>
      </c>
      <c r="Z72" s="3494">
        <v>896300</v>
      </c>
      <c r="AA72" s="3494">
        <f t="shared" si="28"/>
        <v>112</v>
      </c>
      <c r="AB72" s="3497"/>
    </row>
    <row r="75" spans="2:28">
      <c r="B75" s="3940" t="s">
        <v>4280</v>
      </c>
      <c r="C75" s="3898"/>
      <c r="D75" s="3898"/>
      <c r="E75" s="3898"/>
      <c r="F75" s="3898"/>
      <c r="G75" s="3898"/>
      <c r="H75" s="3898"/>
      <c r="I75" s="3458"/>
      <c r="K75" s="3938" t="s">
        <v>4324</v>
      </c>
      <c r="L75" s="3939"/>
      <c r="M75" s="3939"/>
      <c r="N75" s="3939"/>
      <c r="O75" s="3490"/>
      <c r="P75" s="3490"/>
      <c r="Q75" s="3339"/>
      <c r="R75" s="3339"/>
      <c r="U75" s="3942" t="s">
        <v>4280</v>
      </c>
      <c r="V75" s="3943"/>
      <c r="W75" s="3943"/>
      <c r="X75" s="3943"/>
      <c r="Y75" s="3943"/>
      <c r="Z75" s="3943"/>
      <c r="AA75" s="3943"/>
    </row>
    <row r="76" spans="2:28">
      <c r="C76" s="3458" t="s">
        <v>3786</v>
      </c>
      <c r="D76" s="3458" t="s">
        <v>3787</v>
      </c>
      <c r="E76" t="s">
        <v>3788</v>
      </c>
      <c r="F76" s="3458" t="s">
        <v>3789</v>
      </c>
      <c r="G76" s="3459" t="s">
        <v>3818</v>
      </c>
      <c r="K76" s="3490"/>
      <c r="L76" s="3490" t="s">
        <v>3786</v>
      </c>
      <c r="M76" s="3490" t="s">
        <v>3787</v>
      </c>
      <c r="N76" s="3339" t="s">
        <v>3788</v>
      </c>
      <c r="O76" s="3490" t="s">
        <v>3789</v>
      </c>
      <c r="P76" s="3490" t="s">
        <v>3806</v>
      </c>
      <c r="Q76" s="3490" t="s">
        <v>3791</v>
      </c>
      <c r="R76" s="3490"/>
      <c r="U76" s="3498"/>
      <c r="V76" s="3499" t="s">
        <v>3786</v>
      </c>
      <c r="W76" s="3499" t="s">
        <v>3787</v>
      </c>
      <c r="X76" s="3498" t="s">
        <v>3788</v>
      </c>
      <c r="Y76" s="3499" t="s">
        <v>3789</v>
      </c>
      <c r="Z76" s="3500" t="s">
        <v>3818</v>
      </c>
      <c r="AA76" s="3499" t="s">
        <v>3791</v>
      </c>
    </row>
    <row r="77" spans="2:28">
      <c r="B77" s="3459" t="s">
        <v>3885</v>
      </c>
      <c r="C77" s="3459" t="s">
        <v>3905</v>
      </c>
      <c r="D77" s="3459" t="s">
        <v>3905</v>
      </c>
      <c r="F77" s="3458"/>
      <c r="G77" s="3459"/>
      <c r="K77" s="3491"/>
      <c r="L77" s="3490"/>
      <c r="M77" s="3492"/>
      <c r="N77" s="3339"/>
      <c r="O77" s="3339"/>
      <c r="P77" s="3339"/>
      <c r="Q77" s="3339"/>
      <c r="R77" s="3339"/>
      <c r="U77" s="3500" t="s">
        <v>3885</v>
      </c>
      <c r="V77" s="3500" t="s">
        <v>3905</v>
      </c>
      <c r="W77" s="3500" t="s">
        <v>3905</v>
      </c>
      <c r="X77" s="3498"/>
      <c r="Y77" s="3499"/>
      <c r="Z77" s="3500"/>
      <c r="AA77" s="3145"/>
    </row>
    <row r="78" spans="2:28">
      <c r="B78" s="3459" t="s">
        <v>3886</v>
      </c>
      <c r="C78" s="3458">
        <v>637.70000000000005</v>
      </c>
      <c r="D78" s="3235">
        <v>8.0000000000000002E-3</v>
      </c>
      <c r="E78" s="3212"/>
      <c r="G78">
        <v>138.25</v>
      </c>
      <c r="I78" s="3267">
        <f>AVERAGE(D77:D80)</f>
        <v>5.3333333333333332E-3</v>
      </c>
      <c r="K78" s="3491" t="s">
        <v>3886</v>
      </c>
      <c r="L78" s="3490">
        <f t="shared" ref="L78:L96" si="30">ROUND((C5+L5+V5)/3,0)</f>
        <v>363</v>
      </c>
      <c r="M78" s="3492">
        <f>ROUND((D5+M5+W5)/3,4)</f>
        <v>5.4300000000000001E-2</v>
      </c>
      <c r="N78" s="3493" t="e">
        <f t="shared" ref="N78:N96" si="31">(L78-L77)/L77</f>
        <v>#DIV/0!</v>
      </c>
      <c r="O78" s="3339">
        <f>P78-P77</f>
        <v>843800</v>
      </c>
      <c r="P78" s="3339">
        <v>843800</v>
      </c>
      <c r="Q78" s="3339">
        <f>ROUND((G5+Q5+AA5)/3,0)</f>
        <v>839</v>
      </c>
      <c r="R78" s="3493"/>
      <c r="U78" s="3500" t="s">
        <v>3886</v>
      </c>
      <c r="V78" s="3499">
        <f>ROUND((C78+L54)/2,0)</f>
        <v>625</v>
      </c>
      <c r="W78" s="3501">
        <f>ROUND((D78+M54)/2,4)</f>
        <v>1.6500000000000001E-2</v>
      </c>
      <c r="X78" s="3502"/>
      <c r="Y78" s="3498"/>
      <c r="Z78" s="3498">
        <v>138.25</v>
      </c>
      <c r="AA78" s="3498">
        <f>ROUND((G78+Q54)/2,0)</f>
        <v>154</v>
      </c>
    </row>
    <row r="79" spans="2:28">
      <c r="B79" s="3459" t="s">
        <v>3887</v>
      </c>
      <c r="C79" s="3458">
        <v>643.6</v>
      </c>
      <c r="D79" s="3235">
        <v>2E-3</v>
      </c>
      <c r="E79" s="3212">
        <f t="shared" ref="E79:E96" si="32">(C79-C78)/C78</f>
        <v>9.2519993727457686E-3</v>
      </c>
      <c r="F79">
        <f>G79-G78</f>
        <v>0</v>
      </c>
      <c r="G79">
        <v>138.25</v>
      </c>
      <c r="H79" s="3248"/>
      <c r="I79" s="3189">
        <f>AVERAGE(C77:C80)</f>
        <v>648.6</v>
      </c>
      <c r="K79" s="3491" t="s">
        <v>3887</v>
      </c>
      <c r="L79" s="3490">
        <f t="shared" si="30"/>
        <v>364</v>
      </c>
      <c r="M79" s="3492">
        <f t="shared" ref="M79:M96" si="33">ROUND((D6+M6+W6)/3,4)</f>
        <v>5.1999999999999998E-2</v>
      </c>
      <c r="N79" s="3493">
        <f t="shared" si="31"/>
        <v>2.7548209366391185E-3</v>
      </c>
      <c r="O79" s="3339">
        <f t="shared" ref="O79:O96" si="34">P79-P78</f>
        <v>0</v>
      </c>
      <c r="P79" s="3339">
        <v>843800</v>
      </c>
      <c r="Q79" s="3339">
        <f t="shared" ref="Q79:Q96" si="35">ROUND((G6+Q6+AA6)/3,0)</f>
        <v>869</v>
      </c>
      <c r="R79" s="3493">
        <f t="shared" ref="R79:R96" si="36">(L79-L78)/L78</f>
        <v>2.7548209366391185E-3</v>
      </c>
      <c r="U79" s="3500" t="s">
        <v>3887</v>
      </c>
      <c r="V79" s="3499">
        <f t="shared" ref="V79:V96" si="37">ROUND((C79+L55)/2,0)</f>
        <v>631</v>
      </c>
      <c r="W79" s="3501">
        <f t="shared" ref="W79:W96" si="38">ROUND((D79+M55)/2,4)</f>
        <v>8.0000000000000002E-3</v>
      </c>
      <c r="X79" s="3502">
        <f t="shared" ref="X79:X96" si="39">(V79-V78)/V78</f>
        <v>9.5999999999999992E-3</v>
      </c>
      <c r="Y79" s="3498">
        <f>Z79-Z78</f>
        <v>0</v>
      </c>
      <c r="Z79" s="3498">
        <v>138.25</v>
      </c>
      <c r="AA79" s="3498">
        <f t="shared" ref="AA79:AA96" si="40">ROUND((G79+Q55)/2,0)</f>
        <v>154</v>
      </c>
    </row>
    <row r="80" spans="2:28">
      <c r="B80" s="3459" t="s">
        <v>3888</v>
      </c>
      <c r="C80" s="3458">
        <v>664.5</v>
      </c>
      <c r="D80" s="3235">
        <v>6.0000000000000001E-3</v>
      </c>
      <c r="E80" s="3212">
        <f t="shared" si="32"/>
        <v>3.2473586078309476E-2</v>
      </c>
      <c r="F80">
        <f t="shared" ref="F80:F96" si="41">G80-G79</f>
        <v>0</v>
      </c>
      <c r="G80">
        <v>138.25</v>
      </c>
      <c r="H80" s="3248"/>
      <c r="I80" s="3">
        <f>G80</f>
        <v>138.25</v>
      </c>
      <c r="K80" s="3491" t="s">
        <v>3888</v>
      </c>
      <c r="L80" s="3490">
        <f t="shared" si="30"/>
        <v>366</v>
      </c>
      <c r="M80" s="3492">
        <f t="shared" si="33"/>
        <v>5.3699999999999998E-2</v>
      </c>
      <c r="N80" s="3493">
        <f t="shared" si="31"/>
        <v>5.4945054945054949E-3</v>
      </c>
      <c r="O80" s="3339">
        <f t="shared" si="34"/>
        <v>-71500</v>
      </c>
      <c r="P80" s="3339">
        <v>772300</v>
      </c>
      <c r="Q80" s="3339">
        <f t="shared" si="35"/>
        <v>886</v>
      </c>
      <c r="R80" s="3493">
        <f t="shared" si="36"/>
        <v>5.4945054945054949E-3</v>
      </c>
      <c r="U80" s="3500" t="s">
        <v>3888</v>
      </c>
      <c r="V80" s="3499">
        <f t="shared" si="37"/>
        <v>642</v>
      </c>
      <c r="W80" s="3501">
        <f t="shared" si="38"/>
        <v>6.4999999999999997E-3</v>
      </c>
      <c r="X80" s="3502">
        <f t="shared" si="39"/>
        <v>1.7432646592709985E-2</v>
      </c>
      <c r="Y80" s="3498">
        <f t="shared" ref="Y80:Y96" si="42">Z80-Z79</f>
        <v>0</v>
      </c>
      <c r="Z80" s="3498">
        <v>138.25</v>
      </c>
      <c r="AA80" s="3498">
        <f t="shared" si="40"/>
        <v>156</v>
      </c>
    </row>
    <row r="81" spans="2:27">
      <c r="B81" s="3459" t="s">
        <v>3889</v>
      </c>
      <c r="C81" s="3458">
        <v>660.7</v>
      </c>
      <c r="D81" s="3235">
        <v>2.7E-2</v>
      </c>
      <c r="E81" s="3212">
        <f t="shared" si="32"/>
        <v>-5.7185854025582463E-3</v>
      </c>
      <c r="F81">
        <f t="shared" si="41"/>
        <v>3.4099999999999966</v>
      </c>
      <c r="G81">
        <v>141.66</v>
      </c>
      <c r="H81" s="3248"/>
      <c r="K81" s="3491" t="s">
        <v>3889</v>
      </c>
      <c r="L81" s="3490">
        <f t="shared" si="30"/>
        <v>365</v>
      </c>
      <c r="M81" s="3492">
        <f t="shared" si="33"/>
        <v>5.7700000000000001E-2</v>
      </c>
      <c r="N81" s="3493">
        <f t="shared" si="31"/>
        <v>-2.7322404371584699E-3</v>
      </c>
      <c r="O81" s="3339">
        <f t="shared" si="34"/>
        <v>0</v>
      </c>
      <c r="P81" s="3339">
        <v>772300</v>
      </c>
      <c r="Q81" s="3339">
        <f t="shared" si="35"/>
        <v>901</v>
      </c>
      <c r="R81" s="3493">
        <f t="shared" si="36"/>
        <v>-2.7322404371584699E-3</v>
      </c>
      <c r="U81" s="3500" t="s">
        <v>3889</v>
      </c>
      <c r="V81" s="3499">
        <f t="shared" si="37"/>
        <v>641</v>
      </c>
      <c r="W81" s="3501">
        <f t="shared" si="38"/>
        <v>1.7000000000000001E-2</v>
      </c>
      <c r="X81" s="3502">
        <f t="shared" si="39"/>
        <v>-1.557632398753894E-3</v>
      </c>
      <c r="Y81" s="3498">
        <f t="shared" si="42"/>
        <v>3.4099999999999966</v>
      </c>
      <c r="Z81" s="3498">
        <v>141.66</v>
      </c>
      <c r="AA81" s="3498">
        <f t="shared" si="40"/>
        <v>158</v>
      </c>
    </row>
    <row r="82" spans="2:27">
      <c r="B82" s="3459" t="s">
        <v>3890</v>
      </c>
      <c r="C82" s="3458">
        <v>675.5</v>
      </c>
      <c r="D82" s="3235">
        <v>2.4E-2</v>
      </c>
      <c r="E82" s="3212">
        <f t="shared" si="32"/>
        <v>2.2400484334796359E-2</v>
      </c>
      <c r="F82">
        <f t="shared" si="41"/>
        <v>0</v>
      </c>
      <c r="G82">
        <v>141.66</v>
      </c>
      <c r="I82" s="3267">
        <f>AVERAGE(D81:D84)</f>
        <v>2.6250000000000002E-2</v>
      </c>
      <c r="K82" s="3491" t="s">
        <v>3890</v>
      </c>
      <c r="L82" s="3490">
        <f t="shared" si="30"/>
        <v>368</v>
      </c>
      <c r="M82" s="3492">
        <f t="shared" si="33"/>
        <v>6.6699999999999995E-2</v>
      </c>
      <c r="N82" s="3493">
        <f t="shared" si="31"/>
        <v>8.21917808219178E-3</v>
      </c>
      <c r="O82" s="3339">
        <f t="shared" si="34"/>
        <v>0</v>
      </c>
      <c r="P82" s="3339">
        <v>772300</v>
      </c>
      <c r="Q82" s="3339">
        <f t="shared" si="35"/>
        <v>921</v>
      </c>
      <c r="R82" s="3493">
        <f t="shared" si="36"/>
        <v>8.21917808219178E-3</v>
      </c>
      <c r="U82" s="3500" t="s">
        <v>3890</v>
      </c>
      <c r="V82" s="3499">
        <f t="shared" si="37"/>
        <v>651</v>
      </c>
      <c r="W82" s="3501">
        <f t="shared" si="38"/>
        <v>1.6E-2</v>
      </c>
      <c r="X82" s="3502">
        <f t="shared" si="39"/>
        <v>1.5600624024960999E-2</v>
      </c>
      <c r="Y82" s="3498">
        <f t="shared" si="42"/>
        <v>0</v>
      </c>
      <c r="Z82" s="3498">
        <v>141.66</v>
      </c>
      <c r="AA82" s="3498">
        <f t="shared" si="40"/>
        <v>158</v>
      </c>
    </row>
    <row r="83" spans="2:27">
      <c r="B83" s="3459" t="s">
        <v>3891</v>
      </c>
      <c r="C83" s="3458">
        <v>682</v>
      </c>
      <c r="D83" s="3235">
        <v>2.3E-2</v>
      </c>
      <c r="E83" s="3212">
        <f t="shared" si="32"/>
        <v>9.6225018504811251E-3</v>
      </c>
      <c r="F83">
        <f t="shared" si="41"/>
        <v>0</v>
      </c>
      <c r="G83">
        <v>141.66</v>
      </c>
      <c r="I83" s="3189">
        <f>AVERAGE(C81:C84)</f>
        <v>675.375</v>
      </c>
      <c r="K83" s="3491" t="s">
        <v>3891</v>
      </c>
      <c r="L83" s="3490">
        <f t="shared" si="30"/>
        <v>369</v>
      </c>
      <c r="M83" s="3492">
        <f t="shared" si="33"/>
        <v>5.8000000000000003E-2</v>
      </c>
      <c r="N83" s="3493">
        <f t="shared" si="31"/>
        <v>2.717391304347826E-3</v>
      </c>
      <c r="O83" s="3339">
        <f t="shared" si="34"/>
        <v>0</v>
      </c>
      <c r="P83" s="3339">
        <v>772300</v>
      </c>
      <c r="Q83" s="3339">
        <f t="shared" si="35"/>
        <v>924</v>
      </c>
      <c r="R83" s="3493">
        <f t="shared" si="36"/>
        <v>2.717391304347826E-3</v>
      </c>
      <c r="U83" s="3500" t="s">
        <v>3891</v>
      </c>
      <c r="V83" s="3499">
        <f t="shared" si="37"/>
        <v>657</v>
      </c>
      <c r="W83" s="3501">
        <f t="shared" si="38"/>
        <v>1.4999999999999999E-2</v>
      </c>
      <c r="X83" s="3502">
        <f t="shared" si="39"/>
        <v>9.2165898617511521E-3</v>
      </c>
      <c r="Y83" s="3498">
        <f t="shared" si="42"/>
        <v>0</v>
      </c>
      <c r="Z83" s="3498">
        <v>141.66</v>
      </c>
      <c r="AA83" s="3498">
        <f t="shared" si="40"/>
        <v>158</v>
      </c>
    </row>
    <row r="84" spans="2:27">
      <c r="B84" s="3459" t="s">
        <v>3892</v>
      </c>
      <c r="C84" s="3458">
        <v>683.3</v>
      </c>
      <c r="D84" s="3235">
        <v>3.1E-2</v>
      </c>
      <c r="E84" s="3212">
        <f t="shared" si="32"/>
        <v>1.9061583577711944E-3</v>
      </c>
      <c r="F84">
        <f t="shared" si="41"/>
        <v>0</v>
      </c>
      <c r="G84">
        <v>141.66</v>
      </c>
      <c r="I84" s="3">
        <f>G84</f>
        <v>141.66</v>
      </c>
      <c r="K84" s="3491" t="s">
        <v>3892</v>
      </c>
      <c r="L84" s="3490">
        <f t="shared" si="30"/>
        <v>370</v>
      </c>
      <c r="M84" s="3492">
        <f t="shared" si="33"/>
        <v>7.4700000000000003E-2</v>
      </c>
      <c r="N84" s="3493">
        <f t="shared" si="31"/>
        <v>2.7100271002710027E-3</v>
      </c>
      <c r="O84" s="3339">
        <f t="shared" si="34"/>
        <v>0</v>
      </c>
      <c r="P84" s="3339">
        <v>772300</v>
      </c>
      <c r="Q84" s="3339">
        <f t="shared" si="35"/>
        <v>966</v>
      </c>
      <c r="R84" s="3493">
        <f t="shared" si="36"/>
        <v>2.7100271002710027E-3</v>
      </c>
      <c r="U84" s="3500" t="s">
        <v>3892</v>
      </c>
      <c r="V84" s="3499">
        <f t="shared" si="37"/>
        <v>667</v>
      </c>
      <c r="W84" s="3501">
        <f t="shared" si="38"/>
        <v>1.9E-2</v>
      </c>
      <c r="X84" s="3502">
        <f t="shared" si="39"/>
        <v>1.5220700152207001E-2</v>
      </c>
      <c r="Y84" s="3498">
        <f t="shared" si="42"/>
        <v>0</v>
      </c>
      <c r="Z84" s="3498">
        <v>141.66</v>
      </c>
      <c r="AA84" s="3498">
        <f t="shared" si="40"/>
        <v>158</v>
      </c>
    </row>
    <row r="85" spans="2:27">
      <c r="B85" s="3459" t="s">
        <v>3893</v>
      </c>
      <c r="C85" s="3458">
        <v>691</v>
      </c>
      <c r="D85" s="3235">
        <v>3.1E-2</v>
      </c>
      <c r="E85" s="3212">
        <f t="shared" si="32"/>
        <v>1.1268842382555313E-2</v>
      </c>
      <c r="F85">
        <f t="shared" si="41"/>
        <v>0</v>
      </c>
      <c r="G85">
        <v>141.66</v>
      </c>
      <c r="K85" s="3491" t="s">
        <v>3893</v>
      </c>
      <c r="L85" s="3490">
        <f t="shared" si="30"/>
        <v>369</v>
      </c>
      <c r="M85" s="3492">
        <f t="shared" si="33"/>
        <v>6.5000000000000002E-2</v>
      </c>
      <c r="N85" s="3493">
        <f t="shared" si="31"/>
        <v>-2.7027027027027029E-3</v>
      </c>
      <c r="O85" s="3339">
        <f t="shared" si="34"/>
        <v>0</v>
      </c>
      <c r="P85" s="3339">
        <v>772300</v>
      </c>
      <c r="Q85" s="3339">
        <f t="shared" si="35"/>
        <v>976</v>
      </c>
      <c r="R85" s="3493">
        <f t="shared" si="36"/>
        <v>-2.7027027027027029E-3</v>
      </c>
      <c r="U85" s="3500" t="s">
        <v>3893</v>
      </c>
      <c r="V85" s="3499">
        <f t="shared" si="37"/>
        <v>672</v>
      </c>
      <c r="W85" s="3501">
        <f t="shared" si="38"/>
        <v>1.8499999999999999E-2</v>
      </c>
      <c r="X85" s="3502">
        <f t="shared" si="39"/>
        <v>7.4962518740629685E-3</v>
      </c>
      <c r="Y85" s="3498">
        <f t="shared" si="42"/>
        <v>0</v>
      </c>
      <c r="Z85" s="3498">
        <v>141.66</v>
      </c>
      <c r="AA85" s="3498">
        <f t="shared" si="40"/>
        <v>158</v>
      </c>
    </row>
    <row r="86" spans="2:27">
      <c r="B86" s="3459" t="s">
        <v>3894</v>
      </c>
      <c r="C86" s="3458">
        <v>697.8</v>
      </c>
      <c r="D86" s="3235">
        <v>2.1000000000000001E-2</v>
      </c>
      <c r="E86" s="3212">
        <f t="shared" si="32"/>
        <v>9.8408104196815553E-3</v>
      </c>
      <c r="F86">
        <f t="shared" si="41"/>
        <v>0</v>
      </c>
      <c r="G86">
        <v>141.66</v>
      </c>
      <c r="I86" s="3267">
        <f>AVERAGE(D85:D88)</f>
        <v>2.9250000000000002E-2</v>
      </c>
      <c r="K86" s="3491" t="s">
        <v>3894</v>
      </c>
      <c r="L86" s="3490">
        <f t="shared" si="30"/>
        <v>378</v>
      </c>
      <c r="M86" s="3492">
        <f t="shared" si="33"/>
        <v>5.3999999999999999E-2</v>
      </c>
      <c r="N86" s="3493">
        <f t="shared" si="31"/>
        <v>2.4390243902439025E-2</v>
      </c>
      <c r="O86" s="3339">
        <f t="shared" si="34"/>
        <v>0</v>
      </c>
      <c r="P86" s="3339">
        <v>772300</v>
      </c>
      <c r="Q86" s="3339">
        <f t="shared" si="35"/>
        <v>981</v>
      </c>
      <c r="R86" s="3493">
        <f t="shared" si="36"/>
        <v>2.4390243902439025E-2</v>
      </c>
      <c r="U86" s="3500" t="s">
        <v>3894</v>
      </c>
      <c r="V86" s="3499">
        <f t="shared" si="37"/>
        <v>676</v>
      </c>
      <c r="W86" s="3501">
        <f t="shared" si="38"/>
        <v>1.55E-2</v>
      </c>
      <c r="X86" s="3502">
        <f t="shared" si="39"/>
        <v>5.9523809523809521E-3</v>
      </c>
      <c r="Y86" s="3498">
        <f t="shared" si="42"/>
        <v>0</v>
      </c>
      <c r="Z86" s="3498">
        <v>141.66</v>
      </c>
      <c r="AA86" s="3498">
        <f t="shared" si="40"/>
        <v>158</v>
      </c>
    </row>
    <row r="87" spans="2:27">
      <c r="B87" s="3459" t="s">
        <v>3895</v>
      </c>
      <c r="C87" s="3458">
        <v>712.5</v>
      </c>
      <c r="D87" s="3235">
        <v>3.4000000000000002E-2</v>
      </c>
      <c r="E87" s="3212">
        <f t="shared" si="32"/>
        <v>2.106620808254521E-2</v>
      </c>
      <c r="F87">
        <f t="shared" si="41"/>
        <v>13</v>
      </c>
      <c r="G87">
        <v>154.66</v>
      </c>
      <c r="H87" s="3248"/>
      <c r="I87" s="3189">
        <f>AVERAGE(C85:C88)</f>
        <v>701.86500000000001</v>
      </c>
      <c r="K87" s="3491" t="s">
        <v>3895</v>
      </c>
      <c r="L87" s="3490">
        <f t="shared" si="30"/>
        <v>387</v>
      </c>
      <c r="M87" s="3492">
        <f t="shared" si="33"/>
        <v>5.8700000000000002E-2</v>
      </c>
      <c r="N87" s="3493">
        <f t="shared" si="31"/>
        <v>2.3809523809523808E-2</v>
      </c>
      <c r="O87" s="3339">
        <f t="shared" si="34"/>
        <v>0</v>
      </c>
      <c r="P87" s="3339">
        <v>772300</v>
      </c>
      <c r="Q87" s="3339">
        <f t="shared" si="35"/>
        <v>989</v>
      </c>
      <c r="R87" s="3493">
        <f t="shared" si="36"/>
        <v>2.3809523809523808E-2</v>
      </c>
      <c r="U87" s="3500" t="s">
        <v>3895</v>
      </c>
      <c r="V87" s="3499">
        <f t="shared" si="37"/>
        <v>687</v>
      </c>
      <c r="W87" s="3501">
        <f t="shared" si="38"/>
        <v>2.2499999999999999E-2</v>
      </c>
      <c r="X87" s="3502">
        <f t="shared" si="39"/>
        <v>1.6272189349112426E-2</v>
      </c>
      <c r="Y87" s="3498">
        <f t="shared" si="42"/>
        <v>13</v>
      </c>
      <c r="Z87" s="3498">
        <v>154.66</v>
      </c>
      <c r="AA87" s="3498">
        <f t="shared" si="40"/>
        <v>164</v>
      </c>
    </row>
    <row r="88" spans="2:27">
      <c r="B88" s="3459" t="s">
        <v>3896</v>
      </c>
      <c r="C88" s="3458">
        <v>706.16</v>
      </c>
      <c r="D88" s="3235">
        <v>3.1E-2</v>
      </c>
      <c r="E88" s="3212">
        <f t="shared" si="32"/>
        <v>-8.8982456140351326E-3</v>
      </c>
      <c r="F88">
        <f t="shared" si="41"/>
        <v>0</v>
      </c>
      <c r="G88">
        <v>154.66</v>
      </c>
      <c r="I88" s="3">
        <f>G88</f>
        <v>154.66</v>
      </c>
      <c r="K88" s="3491" t="s">
        <v>3896</v>
      </c>
      <c r="L88" s="3490">
        <f t="shared" si="30"/>
        <v>385</v>
      </c>
      <c r="M88" s="3492">
        <f t="shared" si="33"/>
        <v>6.6699999999999995E-2</v>
      </c>
      <c r="N88" s="3493">
        <f t="shared" si="31"/>
        <v>-5.1679586563307496E-3</v>
      </c>
      <c r="O88" s="3339">
        <f t="shared" si="34"/>
        <v>0</v>
      </c>
      <c r="P88" s="3339">
        <v>772300</v>
      </c>
      <c r="Q88" s="3339">
        <f t="shared" si="35"/>
        <v>1005</v>
      </c>
      <c r="R88" s="3493">
        <f t="shared" si="36"/>
        <v>-5.1679586563307496E-3</v>
      </c>
      <c r="U88" s="3500" t="s">
        <v>3896</v>
      </c>
      <c r="V88" s="3499">
        <f t="shared" si="37"/>
        <v>686</v>
      </c>
      <c r="W88" s="3501">
        <f t="shared" si="38"/>
        <v>2.0500000000000001E-2</v>
      </c>
      <c r="X88" s="3502">
        <f t="shared" si="39"/>
        <v>-1.455604075691412E-3</v>
      </c>
      <c r="Y88" s="3498">
        <f t="shared" si="42"/>
        <v>0</v>
      </c>
      <c r="Z88" s="3498">
        <v>154.66</v>
      </c>
      <c r="AA88" s="3498">
        <f t="shared" si="40"/>
        <v>164</v>
      </c>
    </row>
    <row r="89" spans="2:27">
      <c r="B89" s="3459" t="s">
        <v>3897</v>
      </c>
      <c r="C89" s="3458">
        <v>714.43</v>
      </c>
      <c r="D89" s="3235">
        <v>3.2199999999999999E-2</v>
      </c>
      <c r="E89" s="3212">
        <f t="shared" si="32"/>
        <v>1.1711226917412458E-2</v>
      </c>
      <c r="F89">
        <f t="shared" si="41"/>
        <v>0</v>
      </c>
      <c r="G89">
        <v>154.66</v>
      </c>
      <c r="K89" s="3491" t="s">
        <v>3897</v>
      </c>
      <c r="L89" s="3490">
        <f t="shared" si="30"/>
        <v>383</v>
      </c>
      <c r="M89" s="3492">
        <f t="shared" si="33"/>
        <v>6.8699999999999997E-2</v>
      </c>
      <c r="N89" s="3493">
        <f t="shared" si="31"/>
        <v>-5.1948051948051948E-3</v>
      </c>
      <c r="O89" s="3339">
        <f t="shared" si="34"/>
        <v>0</v>
      </c>
      <c r="P89" s="3339">
        <v>772300</v>
      </c>
      <c r="Q89" s="3339">
        <f t="shared" si="35"/>
        <v>1009</v>
      </c>
      <c r="R89" s="3493">
        <f t="shared" si="36"/>
        <v>-5.1948051948051948E-3</v>
      </c>
      <c r="U89" s="3500" t="s">
        <v>3897</v>
      </c>
      <c r="V89" s="3499">
        <f t="shared" si="37"/>
        <v>691</v>
      </c>
      <c r="W89" s="3501">
        <f t="shared" si="38"/>
        <v>2.01E-2</v>
      </c>
      <c r="X89" s="3502">
        <f t="shared" si="39"/>
        <v>7.2886297376093291E-3</v>
      </c>
      <c r="Y89" s="3498">
        <f t="shared" si="42"/>
        <v>0</v>
      </c>
      <c r="Z89" s="3498">
        <v>154.66</v>
      </c>
      <c r="AA89" s="3498">
        <f t="shared" si="40"/>
        <v>164</v>
      </c>
    </row>
    <row r="90" spans="2:27">
      <c r="B90" s="3459" t="s">
        <v>3898</v>
      </c>
      <c r="C90" s="3458">
        <v>717.29</v>
      </c>
      <c r="D90" s="3235">
        <v>3.1E-2</v>
      </c>
      <c r="E90" s="3212">
        <f t="shared" si="32"/>
        <v>4.0031913553462391E-3</v>
      </c>
      <c r="F90">
        <f t="shared" si="41"/>
        <v>0</v>
      </c>
      <c r="G90">
        <v>154.66</v>
      </c>
      <c r="I90" s="3267">
        <f>AVERAGE(D89:D92)</f>
        <v>2.7800000000000002E-2</v>
      </c>
      <c r="K90" s="3491" t="s">
        <v>3898</v>
      </c>
      <c r="L90" s="3490">
        <f t="shared" si="30"/>
        <v>380</v>
      </c>
      <c r="M90" s="3492">
        <f t="shared" si="33"/>
        <v>8.1299999999999997E-2</v>
      </c>
      <c r="N90" s="3493">
        <f t="shared" si="31"/>
        <v>-7.832898172323759E-3</v>
      </c>
      <c r="O90" s="3339">
        <f t="shared" si="34"/>
        <v>0</v>
      </c>
      <c r="P90" s="3339">
        <v>772300</v>
      </c>
      <c r="Q90" s="3339">
        <f t="shared" si="35"/>
        <v>1016</v>
      </c>
      <c r="R90" s="3493">
        <f t="shared" si="36"/>
        <v>-7.832898172323759E-3</v>
      </c>
      <c r="U90" s="3500" t="s">
        <v>3898</v>
      </c>
      <c r="V90" s="3499">
        <f t="shared" si="37"/>
        <v>692</v>
      </c>
      <c r="W90" s="3501">
        <f t="shared" si="38"/>
        <v>2.1000000000000001E-2</v>
      </c>
      <c r="X90" s="3502">
        <f t="shared" si="39"/>
        <v>1.4471780028943559E-3</v>
      </c>
      <c r="Y90" s="3498">
        <f t="shared" si="42"/>
        <v>0</v>
      </c>
      <c r="Z90" s="3498">
        <v>154.66</v>
      </c>
      <c r="AA90" s="3498">
        <f t="shared" si="40"/>
        <v>164</v>
      </c>
    </row>
    <row r="91" spans="2:27">
      <c r="B91" s="3459" t="s">
        <v>3899</v>
      </c>
      <c r="C91" s="3458">
        <v>717.29</v>
      </c>
      <c r="D91" s="3235">
        <v>1.9E-2</v>
      </c>
      <c r="E91" s="3212">
        <f t="shared" si="32"/>
        <v>0</v>
      </c>
      <c r="F91">
        <f t="shared" si="41"/>
        <v>0</v>
      </c>
      <c r="G91">
        <v>154.66</v>
      </c>
      <c r="I91" s="3189">
        <f>AVERAGE(C89:C92)</f>
        <v>715.11749999999995</v>
      </c>
      <c r="K91" s="3491" t="s">
        <v>3899</v>
      </c>
      <c r="L91" s="3490">
        <f t="shared" si="30"/>
        <v>377</v>
      </c>
      <c r="M91" s="3492">
        <f t="shared" si="33"/>
        <v>8.8200000000000001E-2</v>
      </c>
      <c r="N91" s="3493">
        <f t="shared" si="31"/>
        <v>-7.8947368421052634E-3</v>
      </c>
      <c r="O91" s="3339">
        <f t="shared" si="34"/>
        <v>0</v>
      </c>
      <c r="P91" s="3339">
        <v>772300</v>
      </c>
      <c r="Q91" s="3339">
        <f t="shared" si="35"/>
        <v>1029</v>
      </c>
      <c r="R91" s="3493">
        <f t="shared" si="36"/>
        <v>-7.8947368421052634E-3</v>
      </c>
      <c r="U91" s="3500" t="s">
        <v>3899</v>
      </c>
      <c r="V91" s="3499">
        <f t="shared" si="37"/>
        <v>693</v>
      </c>
      <c r="W91" s="3501">
        <f t="shared" si="38"/>
        <v>1.6E-2</v>
      </c>
      <c r="X91" s="3502">
        <f t="shared" si="39"/>
        <v>1.4450867052023121E-3</v>
      </c>
      <c r="Y91" s="3498">
        <f t="shared" si="42"/>
        <v>0</v>
      </c>
      <c r="Z91" s="3498">
        <v>154.66</v>
      </c>
      <c r="AA91" s="3498">
        <f t="shared" si="40"/>
        <v>164</v>
      </c>
    </row>
    <row r="92" spans="2:27">
      <c r="B92" s="3459" t="s">
        <v>3900</v>
      </c>
      <c r="C92" s="3458">
        <v>711.46</v>
      </c>
      <c r="D92" s="3235">
        <v>2.9000000000000001E-2</v>
      </c>
      <c r="E92" s="3212">
        <f t="shared" si="32"/>
        <v>-8.1278144125805848E-3</v>
      </c>
      <c r="F92">
        <f t="shared" si="41"/>
        <v>0</v>
      </c>
      <c r="G92">
        <v>154.66</v>
      </c>
      <c r="H92" s="3248"/>
      <c r="I92" s="3">
        <f>G92</f>
        <v>154.66</v>
      </c>
      <c r="K92" s="3491" t="s">
        <v>3900</v>
      </c>
      <c r="L92" s="3490">
        <f t="shared" si="30"/>
        <v>375</v>
      </c>
      <c r="M92" s="3492">
        <f t="shared" si="33"/>
        <v>0.125</v>
      </c>
      <c r="N92" s="3493">
        <f t="shared" si="31"/>
        <v>-5.3050397877984082E-3</v>
      </c>
      <c r="O92" s="3339">
        <f t="shared" si="34"/>
        <v>0</v>
      </c>
      <c r="P92" s="3339">
        <v>772300</v>
      </c>
      <c r="Q92" s="3339">
        <f t="shared" si="35"/>
        <v>1106</v>
      </c>
      <c r="R92" s="3493">
        <f t="shared" si="36"/>
        <v>-5.3050397877984082E-3</v>
      </c>
      <c r="U92" s="3500" t="s">
        <v>3900</v>
      </c>
      <c r="V92" s="3499">
        <f t="shared" si="37"/>
        <v>691</v>
      </c>
      <c r="W92" s="3501">
        <f t="shared" si="38"/>
        <v>2.5000000000000001E-2</v>
      </c>
      <c r="X92" s="3502">
        <f t="shared" si="39"/>
        <v>-2.886002886002886E-3</v>
      </c>
      <c r="Y92" s="3498">
        <f t="shared" si="42"/>
        <v>0</v>
      </c>
      <c r="Z92" s="3498">
        <v>154.66</v>
      </c>
      <c r="AA92" s="3498">
        <f t="shared" si="40"/>
        <v>167</v>
      </c>
    </row>
    <row r="93" spans="2:27">
      <c r="B93" s="3459" t="s">
        <v>3992</v>
      </c>
      <c r="C93" s="3458">
        <v>707.87</v>
      </c>
      <c r="D93" s="3235">
        <v>0.03</v>
      </c>
      <c r="E93" s="3212">
        <f t="shared" si="32"/>
        <v>-5.0459618249796634E-3</v>
      </c>
      <c r="F93">
        <f t="shared" si="41"/>
        <v>0</v>
      </c>
      <c r="G93">
        <v>154.66</v>
      </c>
      <c r="K93" s="3491" t="s">
        <v>3992</v>
      </c>
      <c r="L93" s="3490">
        <f t="shared" si="30"/>
        <v>371</v>
      </c>
      <c r="M93" s="3492">
        <f t="shared" si="33"/>
        <v>0.12770000000000001</v>
      </c>
      <c r="N93" s="3493">
        <f t="shared" si="31"/>
        <v>-1.0666666666666666E-2</v>
      </c>
      <c r="O93" s="3339">
        <f t="shared" si="34"/>
        <v>0</v>
      </c>
      <c r="P93" s="3339">
        <v>772300</v>
      </c>
      <c r="Q93" s="3339">
        <f t="shared" si="35"/>
        <v>1105</v>
      </c>
      <c r="R93" s="3493">
        <f t="shared" si="36"/>
        <v>-1.0666666666666666E-2</v>
      </c>
      <c r="U93" s="3500" t="s">
        <v>3992</v>
      </c>
      <c r="V93" s="3499">
        <f t="shared" si="37"/>
        <v>689</v>
      </c>
      <c r="W93" s="3501">
        <f t="shared" si="38"/>
        <v>2.4500000000000001E-2</v>
      </c>
      <c r="X93" s="3502">
        <f t="shared" si="39"/>
        <v>-2.8943560057887118E-3</v>
      </c>
      <c r="Y93" s="3498">
        <f t="shared" si="42"/>
        <v>0</v>
      </c>
      <c r="Z93" s="3498">
        <v>154.66</v>
      </c>
      <c r="AA93" s="3498">
        <f t="shared" si="40"/>
        <v>167</v>
      </c>
    </row>
    <row r="94" spans="2:27">
      <c r="B94" s="3459" t="s">
        <v>3993</v>
      </c>
      <c r="C94" s="3458">
        <v>682</v>
      </c>
      <c r="D94" s="3235">
        <v>2.9000000000000001E-2</v>
      </c>
      <c r="E94" s="3212">
        <f t="shared" si="32"/>
        <v>-3.6546258493791242E-2</v>
      </c>
      <c r="F94">
        <f t="shared" si="41"/>
        <v>5</v>
      </c>
      <c r="G94">
        <v>159.66</v>
      </c>
      <c r="H94" s="3248"/>
      <c r="I94" s="3267">
        <f>AVERAGE(D93:D96)</f>
        <v>2.7999999999999997E-2</v>
      </c>
      <c r="K94" s="3491" t="s">
        <v>3993</v>
      </c>
      <c r="L94" s="3490">
        <f t="shared" si="30"/>
        <v>358</v>
      </c>
      <c r="M94" s="3492">
        <f t="shared" si="33"/>
        <v>0.14599999999999999</v>
      </c>
      <c r="N94" s="3493">
        <f t="shared" si="31"/>
        <v>-3.5040431266846361E-2</v>
      </c>
      <c r="O94" s="3339">
        <f t="shared" si="34"/>
        <v>0</v>
      </c>
      <c r="P94" s="3339">
        <v>772300</v>
      </c>
      <c r="Q94" s="3339">
        <f t="shared" si="35"/>
        <v>1120</v>
      </c>
      <c r="R94" s="3493">
        <f t="shared" si="36"/>
        <v>-3.5040431266846361E-2</v>
      </c>
      <c r="U94" s="3500" t="s">
        <v>3993</v>
      </c>
      <c r="V94" s="3499">
        <f t="shared" si="37"/>
        <v>673</v>
      </c>
      <c r="W94" s="3501">
        <f t="shared" si="38"/>
        <v>3.1E-2</v>
      </c>
      <c r="X94" s="3502">
        <f t="shared" si="39"/>
        <v>-2.3222060957910014E-2</v>
      </c>
      <c r="Y94" s="3498">
        <f t="shared" si="42"/>
        <v>5</v>
      </c>
      <c r="Z94" s="3498">
        <v>159.66</v>
      </c>
      <c r="AA94" s="3498">
        <f t="shared" si="40"/>
        <v>170</v>
      </c>
    </row>
    <row r="95" spans="2:27">
      <c r="B95" s="3459" t="s">
        <v>3994</v>
      </c>
      <c r="C95" s="3458">
        <v>662.98</v>
      </c>
      <c r="D95" s="3235">
        <v>2.5999999999999999E-2</v>
      </c>
      <c r="E95" s="3212">
        <f t="shared" si="32"/>
        <v>-2.7888563049853345E-2</v>
      </c>
      <c r="F95">
        <f t="shared" si="41"/>
        <v>0</v>
      </c>
      <c r="G95">
        <v>159.66</v>
      </c>
      <c r="H95" s="3248"/>
      <c r="I95" s="3189">
        <f>AVERAGE(C93:C96)</f>
        <v>673.95749999999998</v>
      </c>
      <c r="K95" s="3491" t="s">
        <v>3994</v>
      </c>
      <c r="L95" s="3490">
        <f t="shared" si="30"/>
        <v>352</v>
      </c>
      <c r="M95" s="3492">
        <f t="shared" si="33"/>
        <v>0.1517</v>
      </c>
      <c r="N95" s="3493">
        <f t="shared" si="31"/>
        <v>-1.6759776536312849E-2</v>
      </c>
      <c r="O95" s="3339">
        <f t="shared" si="34"/>
        <v>0</v>
      </c>
      <c r="P95" s="3339">
        <v>772300</v>
      </c>
      <c r="Q95" s="3339">
        <f t="shared" si="35"/>
        <v>1134</v>
      </c>
      <c r="R95" s="3493">
        <f t="shared" si="36"/>
        <v>-1.6759776536312849E-2</v>
      </c>
      <c r="U95" s="3500" t="s">
        <v>3994</v>
      </c>
      <c r="V95" s="3499">
        <f t="shared" si="37"/>
        <v>661</v>
      </c>
      <c r="W95" s="3501">
        <f t="shared" si="38"/>
        <v>3.1E-2</v>
      </c>
      <c r="X95" s="3502">
        <f t="shared" si="39"/>
        <v>-1.7830609212481426E-2</v>
      </c>
      <c r="Y95" s="3498">
        <f t="shared" si="42"/>
        <v>0</v>
      </c>
      <c r="Z95" s="3498">
        <v>159.66</v>
      </c>
      <c r="AA95" s="3498">
        <f t="shared" si="40"/>
        <v>170</v>
      </c>
    </row>
    <row r="96" spans="2:27">
      <c r="B96" s="3459" t="s">
        <v>3995</v>
      </c>
      <c r="C96" s="3458">
        <v>642.98</v>
      </c>
      <c r="D96" s="3249">
        <v>2.7E-2</v>
      </c>
      <c r="E96" s="3212">
        <f t="shared" si="32"/>
        <v>-3.0166822528583062E-2</v>
      </c>
      <c r="F96">
        <f t="shared" si="41"/>
        <v>0</v>
      </c>
      <c r="G96">
        <v>159.66</v>
      </c>
      <c r="H96" s="3248"/>
      <c r="I96" s="3">
        <f>G96</f>
        <v>159.66</v>
      </c>
      <c r="K96" s="3491" t="s">
        <v>3995</v>
      </c>
      <c r="L96" s="3490">
        <f t="shared" si="30"/>
        <v>343</v>
      </c>
      <c r="M96" s="3492">
        <f t="shared" si="33"/>
        <v>0.16070000000000001</v>
      </c>
      <c r="N96" s="3493">
        <f t="shared" si="31"/>
        <v>-2.556818181818182E-2</v>
      </c>
      <c r="O96" s="3339">
        <f t="shared" si="34"/>
        <v>124000</v>
      </c>
      <c r="P96" s="3339">
        <v>896300</v>
      </c>
      <c r="Q96" s="3339">
        <f t="shared" si="35"/>
        <v>1168</v>
      </c>
      <c r="R96" s="3493">
        <f t="shared" si="36"/>
        <v>-2.556818181818182E-2</v>
      </c>
      <c r="U96" s="3500" t="s">
        <v>3995</v>
      </c>
      <c r="V96" s="3499">
        <f t="shared" si="37"/>
        <v>647</v>
      </c>
      <c r="W96" s="3501">
        <f t="shared" si="38"/>
        <v>3.2500000000000001E-2</v>
      </c>
      <c r="X96" s="3502">
        <f t="shared" si="39"/>
        <v>-2.118003025718608E-2</v>
      </c>
      <c r="Y96" s="3498">
        <f t="shared" si="42"/>
        <v>0</v>
      </c>
      <c r="Z96" s="3498">
        <v>159.66</v>
      </c>
      <c r="AA96" s="3498">
        <f t="shared" si="40"/>
        <v>170</v>
      </c>
    </row>
    <row r="97" spans="21:28">
      <c r="AA97" s="3"/>
    </row>
    <row r="100" spans="21:28">
      <c r="U100" s="3938" t="s">
        <v>4326</v>
      </c>
      <c r="V100" s="3939"/>
      <c r="W100" s="3939"/>
      <c r="X100" s="3939"/>
      <c r="Y100" s="3490"/>
      <c r="Z100" s="3490"/>
      <c r="AA100" s="3339"/>
      <c r="AB100" s="3339"/>
    </row>
    <row r="101" spans="21:28">
      <c r="U101" s="3490"/>
      <c r="V101" s="3490" t="s">
        <v>3786</v>
      </c>
      <c r="W101" s="3490" t="s">
        <v>3787</v>
      </c>
      <c r="X101" s="3339" t="s">
        <v>3788</v>
      </c>
      <c r="Y101" s="3490" t="s">
        <v>3789</v>
      </c>
      <c r="Z101" s="3490" t="s">
        <v>3806</v>
      </c>
      <c r="AA101" s="3490" t="s">
        <v>3791</v>
      </c>
      <c r="AB101" s="3490"/>
    </row>
    <row r="102" spans="21:28">
      <c r="U102" s="3491"/>
      <c r="V102" s="3490"/>
      <c r="W102" s="3492"/>
      <c r="X102" s="3339"/>
      <c r="Y102" s="3339"/>
      <c r="Z102" s="3339"/>
      <c r="AA102" s="3339"/>
      <c r="AB102" s="3339"/>
    </row>
    <row r="103" spans="21:28">
      <c r="U103" s="3491" t="s">
        <v>3886</v>
      </c>
      <c r="V103" s="3490">
        <f>ROUND((C5+L5)/2,0)</f>
        <v>376</v>
      </c>
      <c r="W103" s="3492">
        <f>ROUND((D5+M5)/2,4)</f>
        <v>5.9499999999999997E-2</v>
      </c>
      <c r="X103" s="3493"/>
      <c r="Y103" s="3339">
        <f>Z103-Z102</f>
        <v>843800</v>
      </c>
      <c r="Z103" s="3339">
        <v>843800</v>
      </c>
      <c r="AA103" s="3339">
        <f>ROUND((G5+Q5)/2,0)</f>
        <v>781</v>
      </c>
      <c r="AB103" s="3493"/>
    </row>
    <row r="104" spans="21:28">
      <c r="U104" s="3491" t="s">
        <v>3887</v>
      </c>
      <c r="V104" s="3490">
        <f t="shared" ref="V104:V121" si="43">ROUND((C6+L6)/2,0)</f>
        <v>377</v>
      </c>
      <c r="W104" s="3492">
        <f t="shared" ref="W104:W121" si="44">ROUND((D6+M6)/2,4)</f>
        <v>5.3499999999999999E-2</v>
      </c>
      <c r="X104" s="3493">
        <f>(V104-V103)/V103</f>
        <v>2.6595744680851063E-3</v>
      </c>
      <c r="Y104" s="3339">
        <f t="shared" ref="Y104:Y121" si="45">Z104-Z103</f>
        <v>0</v>
      </c>
      <c r="Z104" s="3339">
        <v>843800</v>
      </c>
      <c r="AA104" s="3339">
        <f t="shared" ref="AA104:AA121" si="46">ROUND((G6+Q6)/2,0)</f>
        <v>815</v>
      </c>
      <c r="AB104" s="3493"/>
    </row>
    <row r="105" spans="21:28">
      <c r="U105" s="3491" t="s">
        <v>3888</v>
      </c>
      <c r="V105" s="3490">
        <f t="shared" si="43"/>
        <v>380</v>
      </c>
      <c r="W105" s="3492">
        <f t="shared" si="44"/>
        <v>5.2499999999999998E-2</v>
      </c>
      <c r="X105" s="3493">
        <f t="shared" ref="X105:X121" si="47">(V105-V104)/V104</f>
        <v>7.9575596816976128E-3</v>
      </c>
      <c r="Y105" s="3339">
        <f t="shared" si="45"/>
        <v>-71500</v>
      </c>
      <c r="Z105" s="3339">
        <v>772300</v>
      </c>
      <c r="AA105" s="3339">
        <f t="shared" si="46"/>
        <v>833</v>
      </c>
      <c r="AB105" s="3493"/>
    </row>
    <row r="106" spans="21:28">
      <c r="U106" s="3491" t="s">
        <v>3889</v>
      </c>
      <c r="V106" s="3490">
        <f t="shared" si="43"/>
        <v>380</v>
      </c>
      <c r="W106" s="3492">
        <f t="shared" si="44"/>
        <v>5.6000000000000001E-2</v>
      </c>
      <c r="X106" s="3493">
        <f t="shared" si="47"/>
        <v>0</v>
      </c>
      <c r="Y106" s="3339">
        <f t="shared" si="45"/>
        <v>0</v>
      </c>
      <c r="Z106" s="3339">
        <v>772300</v>
      </c>
      <c r="AA106" s="3339">
        <f t="shared" si="46"/>
        <v>847</v>
      </c>
      <c r="AB106" s="3493"/>
    </row>
    <row r="107" spans="21:28">
      <c r="U107" s="3491" t="s">
        <v>3890</v>
      </c>
      <c r="V107" s="3490">
        <f t="shared" si="43"/>
        <v>383</v>
      </c>
      <c r="W107" s="3492">
        <f t="shared" si="44"/>
        <v>6.7500000000000004E-2</v>
      </c>
      <c r="X107" s="3493">
        <f t="shared" si="47"/>
        <v>7.8947368421052634E-3</v>
      </c>
      <c r="Y107" s="3339">
        <f t="shared" si="45"/>
        <v>0</v>
      </c>
      <c r="Z107" s="3339">
        <v>772300</v>
      </c>
      <c r="AA107" s="3339">
        <f t="shared" si="46"/>
        <v>871</v>
      </c>
      <c r="AB107" s="3493"/>
    </row>
    <row r="108" spans="21:28">
      <c r="U108" s="3491" t="s">
        <v>3891</v>
      </c>
      <c r="V108" s="3490">
        <f t="shared" si="43"/>
        <v>384</v>
      </c>
      <c r="W108" s="3492">
        <f t="shared" si="44"/>
        <v>5.9499999999999997E-2</v>
      </c>
      <c r="X108" s="3493">
        <f t="shared" si="47"/>
        <v>2.6109660574412533E-3</v>
      </c>
      <c r="Y108" s="3339">
        <f t="shared" si="45"/>
        <v>0</v>
      </c>
      <c r="Z108" s="3339">
        <v>772300</v>
      </c>
      <c r="AA108" s="3339">
        <f t="shared" si="46"/>
        <v>871</v>
      </c>
      <c r="AB108" s="3493"/>
    </row>
    <row r="109" spans="21:28">
      <c r="U109" s="3491" t="s">
        <v>3892</v>
      </c>
      <c r="V109" s="3490">
        <f t="shared" si="43"/>
        <v>385</v>
      </c>
      <c r="W109" s="3492">
        <f t="shared" si="44"/>
        <v>7.3999999999999996E-2</v>
      </c>
      <c r="X109" s="3493">
        <f t="shared" si="47"/>
        <v>2.6041666666666665E-3</v>
      </c>
      <c r="Y109" s="3339">
        <f t="shared" si="45"/>
        <v>0</v>
      </c>
      <c r="Z109" s="3339">
        <v>772300</v>
      </c>
      <c r="AA109" s="3339">
        <f t="shared" si="46"/>
        <v>912</v>
      </c>
      <c r="AB109" s="3493"/>
    </row>
    <row r="110" spans="21:28">
      <c r="U110" s="3491" t="s">
        <v>3893</v>
      </c>
      <c r="V110" s="3490">
        <f t="shared" si="43"/>
        <v>381</v>
      </c>
      <c r="W110" s="3492">
        <f t="shared" si="44"/>
        <v>6.3500000000000001E-2</v>
      </c>
      <c r="X110" s="3493">
        <f t="shared" si="47"/>
        <v>-1.038961038961039E-2</v>
      </c>
      <c r="Y110" s="3339">
        <f t="shared" si="45"/>
        <v>0</v>
      </c>
      <c r="Z110" s="3339">
        <v>772300</v>
      </c>
      <c r="AA110" s="3339">
        <f t="shared" si="46"/>
        <v>931</v>
      </c>
      <c r="AB110" s="3493"/>
    </row>
    <row r="111" spans="21:28">
      <c r="U111" s="3491" t="s">
        <v>3894</v>
      </c>
      <c r="V111" s="3490">
        <f t="shared" si="43"/>
        <v>389</v>
      </c>
      <c r="W111" s="3492">
        <f t="shared" si="44"/>
        <v>5.1999999999999998E-2</v>
      </c>
      <c r="X111" s="3493">
        <f t="shared" si="47"/>
        <v>2.0997375328083989E-2</v>
      </c>
      <c r="Y111" s="3339">
        <f t="shared" si="45"/>
        <v>0</v>
      </c>
      <c r="Z111" s="3339">
        <v>772300</v>
      </c>
      <c r="AA111" s="3339">
        <f t="shared" si="46"/>
        <v>935</v>
      </c>
      <c r="AB111" s="3493"/>
    </row>
    <row r="112" spans="21:28">
      <c r="U112" s="3491" t="s">
        <v>3895</v>
      </c>
      <c r="V112" s="3490">
        <f t="shared" si="43"/>
        <v>397</v>
      </c>
      <c r="W112" s="3492">
        <f t="shared" si="44"/>
        <v>5.5500000000000001E-2</v>
      </c>
      <c r="X112" s="3493">
        <f t="shared" si="47"/>
        <v>2.056555269922879E-2</v>
      </c>
      <c r="Y112" s="3339">
        <f t="shared" si="45"/>
        <v>0</v>
      </c>
      <c r="Z112" s="3339">
        <v>772300</v>
      </c>
      <c r="AA112" s="3339">
        <f t="shared" si="46"/>
        <v>940</v>
      </c>
      <c r="AB112" s="3493"/>
    </row>
    <row r="113" spans="7:28">
      <c r="U113" s="3491" t="s">
        <v>3896</v>
      </c>
      <c r="V113" s="3490">
        <f t="shared" si="43"/>
        <v>393</v>
      </c>
      <c r="W113" s="3492">
        <f t="shared" si="44"/>
        <v>6.5000000000000002E-2</v>
      </c>
      <c r="X113" s="3493">
        <f t="shared" si="47"/>
        <v>-1.0075566750629723E-2</v>
      </c>
      <c r="Y113" s="3339">
        <f t="shared" si="45"/>
        <v>0</v>
      </c>
      <c r="Z113" s="3339">
        <v>772300</v>
      </c>
      <c r="AA113" s="3339">
        <f t="shared" si="46"/>
        <v>957</v>
      </c>
      <c r="AB113" s="3493"/>
    </row>
    <row r="114" spans="7:28">
      <c r="U114" s="3491" t="s">
        <v>3897</v>
      </c>
      <c r="V114" s="3490">
        <f t="shared" si="43"/>
        <v>391</v>
      </c>
      <c r="W114" s="3492">
        <f t="shared" si="44"/>
        <v>6.8599999999999994E-2</v>
      </c>
      <c r="X114" s="3493">
        <f t="shared" si="47"/>
        <v>-5.0890585241730284E-3</v>
      </c>
      <c r="Y114" s="3339">
        <f t="shared" si="45"/>
        <v>0</v>
      </c>
      <c r="Z114" s="3339">
        <v>772300</v>
      </c>
      <c r="AA114" s="3339">
        <f t="shared" si="46"/>
        <v>963</v>
      </c>
      <c r="AB114" s="3493"/>
    </row>
    <row r="115" spans="7:28">
      <c r="U115" s="3491" t="s">
        <v>3898</v>
      </c>
      <c r="V115" s="3490">
        <f t="shared" si="43"/>
        <v>387</v>
      </c>
      <c r="W115" s="3492">
        <f t="shared" si="44"/>
        <v>7.9000000000000001E-2</v>
      </c>
      <c r="X115" s="3493">
        <f t="shared" si="47"/>
        <v>-1.0230179028132993E-2</v>
      </c>
      <c r="Y115" s="3339">
        <f t="shared" si="45"/>
        <v>0</v>
      </c>
      <c r="Z115" s="3339">
        <v>772300</v>
      </c>
      <c r="AA115" s="3339">
        <f t="shared" si="46"/>
        <v>959</v>
      </c>
      <c r="AB115" s="3493"/>
    </row>
    <row r="116" spans="7:28">
      <c r="U116" s="3491" t="s">
        <v>3899</v>
      </c>
      <c r="V116" s="3490">
        <f t="shared" si="43"/>
        <v>381</v>
      </c>
      <c r="W116" s="3492">
        <f t="shared" si="44"/>
        <v>8.6300000000000002E-2</v>
      </c>
      <c r="X116" s="3493">
        <f t="shared" si="47"/>
        <v>-1.5503875968992248E-2</v>
      </c>
      <c r="Y116" s="3339">
        <f t="shared" si="45"/>
        <v>0</v>
      </c>
      <c r="Z116" s="3339">
        <v>772300</v>
      </c>
      <c r="AA116" s="3339">
        <f t="shared" si="46"/>
        <v>969</v>
      </c>
      <c r="AB116" s="3493"/>
    </row>
    <row r="117" spans="7:28">
      <c r="G117" s="3"/>
      <c r="H117"/>
      <c r="I117"/>
      <c r="U117" s="3491" t="s">
        <v>3900</v>
      </c>
      <c r="V117" s="3490">
        <f t="shared" si="43"/>
        <v>381</v>
      </c>
      <c r="W117" s="3492">
        <f t="shared" si="44"/>
        <v>0.124</v>
      </c>
      <c r="X117" s="3493">
        <f t="shared" si="47"/>
        <v>0</v>
      </c>
      <c r="Y117" s="3339">
        <f t="shared" si="45"/>
        <v>0</v>
      </c>
      <c r="Z117" s="3339">
        <v>772300</v>
      </c>
      <c r="AA117" s="3339">
        <f t="shared" si="46"/>
        <v>1038</v>
      </c>
      <c r="AB117" s="3493"/>
    </row>
    <row r="118" spans="7:28">
      <c r="G118" s="3"/>
      <c r="H118"/>
      <c r="I118"/>
      <c r="U118" s="3491" t="s">
        <v>3992</v>
      </c>
      <c r="V118" s="3490">
        <f t="shared" si="43"/>
        <v>376</v>
      </c>
      <c r="W118" s="3492">
        <f t="shared" si="44"/>
        <v>0.1255</v>
      </c>
      <c r="X118" s="3493">
        <f t="shared" si="47"/>
        <v>-1.3123359580052493E-2</v>
      </c>
      <c r="Y118" s="3339">
        <f t="shared" si="45"/>
        <v>0</v>
      </c>
      <c r="Z118" s="3339">
        <v>772300</v>
      </c>
      <c r="AA118" s="3339">
        <f t="shared" si="46"/>
        <v>1038</v>
      </c>
      <c r="AB118" s="3493"/>
    </row>
    <row r="119" spans="7:28">
      <c r="G119" s="3"/>
      <c r="H119"/>
      <c r="I119"/>
      <c r="U119" s="3491" t="s">
        <v>3993</v>
      </c>
      <c r="V119" s="3490">
        <f t="shared" si="43"/>
        <v>357</v>
      </c>
      <c r="W119" s="3492">
        <f t="shared" si="44"/>
        <v>0.151</v>
      </c>
      <c r="X119" s="3493">
        <f t="shared" si="47"/>
        <v>-5.0531914893617018E-2</v>
      </c>
      <c r="Y119" s="3339">
        <f t="shared" si="45"/>
        <v>0</v>
      </c>
      <c r="Z119" s="3339">
        <v>772300</v>
      </c>
      <c r="AA119" s="3339">
        <f t="shared" si="46"/>
        <v>1056</v>
      </c>
      <c r="AB119" s="3493"/>
    </row>
    <row r="120" spans="7:28">
      <c r="G120" s="3"/>
      <c r="H120"/>
      <c r="I120"/>
      <c r="U120" s="3491" t="s">
        <v>3994</v>
      </c>
      <c r="V120" s="3490">
        <f t="shared" si="43"/>
        <v>350</v>
      </c>
      <c r="W120" s="3492">
        <f t="shared" si="44"/>
        <v>0.1525</v>
      </c>
      <c r="X120" s="3493">
        <f t="shared" si="47"/>
        <v>-1.9607843137254902E-2</v>
      </c>
      <c r="Y120" s="3339">
        <f t="shared" si="45"/>
        <v>0</v>
      </c>
      <c r="Z120" s="3339">
        <v>772300</v>
      </c>
      <c r="AA120" s="3339">
        <f t="shared" si="46"/>
        <v>1065</v>
      </c>
      <c r="AB120" s="3493"/>
    </row>
    <row r="121" spans="7:28">
      <c r="G121" s="3"/>
      <c r="H121"/>
      <c r="I121"/>
      <c r="U121" s="3491" t="s">
        <v>3995</v>
      </c>
      <c r="V121" s="3490">
        <f t="shared" si="43"/>
        <v>340</v>
      </c>
      <c r="W121" s="3492">
        <f t="shared" si="44"/>
        <v>0.16200000000000001</v>
      </c>
      <c r="X121" s="3493">
        <f t="shared" si="47"/>
        <v>-2.8571428571428571E-2</v>
      </c>
      <c r="Y121" s="3339">
        <f t="shared" si="45"/>
        <v>124000</v>
      </c>
      <c r="Z121" s="3339">
        <v>896300</v>
      </c>
      <c r="AA121" s="3339">
        <f t="shared" si="46"/>
        <v>1108</v>
      </c>
      <c r="AB121" s="3493"/>
    </row>
    <row r="122" spans="7:28">
      <c r="G122" s="3"/>
    </row>
  </sheetData>
  <mergeCells count="13">
    <mergeCell ref="U100:X100"/>
    <mergeCell ref="U2:X2"/>
    <mergeCell ref="B27:E27"/>
    <mergeCell ref="K27:N27"/>
    <mergeCell ref="U27:X27"/>
    <mergeCell ref="B75:H75"/>
    <mergeCell ref="K51:N51"/>
    <mergeCell ref="B51:H51"/>
    <mergeCell ref="B2:E2"/>
    <mergeCell ref="K2:N2"/>
    <mergeCell ref="K75:N75"/>
    <mergeCell ref="U51:X51"/>
    <mergeCell ref="U75:AA75"/>
  </mergeCells>
  <phoneticPr fontId="141" type="noConversion"/>
  <hyperlinks>
    <hyperlink ref="AE13" r:id="rId1" display="http://bj.cityhouse.cn/lmarketha/pa00025093dc043/" xr:uid="{00000000-0004-0000-2E00-000000000000}"/>
    <hyperlink ref="AE14" r:id="rId2" display="http://bj.cityhouse.cn/lmarketha/pa00022420dc689/" xr:uid="{00000000-0004-0000-2E00-000001000000}"/>
    <hyperlink ref="AE15" r:id="rId3" display="http://bj.cityhouse.cn/lmarketha/pa00024376dc680/" xr:uid="{00000000-0004-0000-2E00-000002000000}"/>
    <hyperlink ref="AE16" r:id="rId4" display="http://bj.cityhouse.cn/lmarketha/pa00024048dc020/" xr:uid="{00000000-0004-0000-2E00-000003000000}"/>
    <hyperlink ref="AE17" r:id="rId5" display="http://bj.cityhouse.cn/lmarketha/pa0123004cy866/" xr:uid="{00000000-0004-0000-2E00-000004000000}"/>
    <hyperlink ref="AE18" r:id="rId6" display="http://bj.cityhouse.cn/lmarketha/sa0036900dc705/" xr:uid="{00000000-0004-0000-2E00-000005000000}"/>
    <hyperlink ref="AE19" r:id="rId7" display="http://bj.cityhouse.cn/lmarketha/0163022498/" xr:uid="{00000000-0004-0000-2E00-000006000000}"/>
    <hyperlink ref="AE20" r:id="rId8" display="http://bj.cityhouse.cn/lmarketha/pa00022566dc977/" xr:uid="{00000000-0004-0000-2E00-000007000000}"/>
    <hyperlink ref="AE21" r:id="rId9" display="http://bj.cityhouse.cn/lmarketha/pa00025908dc061/" xr:uid="{00000000-0004-0000-2E00-000008000000}"/>
    <hyperlink ref="AE22" r:id="rId10" display="http://bj.cityhouse.cn/lmarketha/pa00023555dc402/" xr:uid="{00000000-0004-0000-2E00-000009000000}"/>
  </hyperlinks>
  <pageMargins left="0.7" right="0.7" top="0.75" bottom="0.75" header="0.3" footer="0.3"/>
  <drawing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EF81-EEA2-430F-BDB4-4594D7122516}">
  <dimension ref="A1"/>
  <sheetViews>
    <sheetView topLeftCell="A21" workbookViewId="0">
      <selection activeCell="D5" sqref="D5"/>
    </sheetView>
  </sheetViews>
  <sheetFormatPr defaultRowHeight="13.5"/>
  <sheetData/>
  <phoneticPr fontId="1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18"/>
  <sheetViews>
    <sheetView zoomScale="80" zoomScaleNormal="80" workbookViewId="0">
      <selection activeCell="AA25" sqref="AA25"/>
    </sheetView>
  </sheetViews>
  <sheetFormatPr defaultColWidth="9" defaultRowHeight="12.75"/>
  <cols>
    <col min="1" max="1" width="9" style="2410"/>
    <col min="2" max="6" width="9" style="2410" hidden="1" customWidth="1"/>
    <col min="7" max="7" width="0" style="2448" hidden="1" customWidth="1"/>
    <col min="8" max="8" width="0" style="2410" hidden="1" customWidth="1"/>
    <col min="9" max="12" width="9" style="2410" hidden="1" customWidth="1"/>
    <col min="13" max="13" width="2.25" style="2410" hidden="1" customWidth="1"/>
    <col min="14" max="14" width="9" style="2448" customWidth="1"/>
    <col min="15" max="17" width="9" style="2410" customWidth="1"/>
    <col min="18" max="18" width="2.375" style="2410" customWidth="1"/>
    <col min="19" max="19" width="7.125" style="2448" customWidth="1"/>
    <col min="20" max="22" width="7.125" style="2410" customWidth="1"/>
    <col min="23" max="23" width="12.6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949" t="s">
        <v>1117</v>
      </c>
      <c r="C1" s="3949"/>
      <c r="D1" s="3949"/>
      <c r="E1" s="3949"/>
      <c r="F1" s="3949"/>
      <c r="G1" s="3948" t="s">
        <v>1118</v>
      </c>
      <c r="H1" s="3948"/>
      <c r="I1" s="3948"/>
      <c r="J1" s="3948"/>
      <c r="K1" s="3948"/>
      <c r="L1" s="3948"/>
      <c r="N1" s="3948" t="s">
        <v>1119</v>
      </c>
      <c r="O1" s="3948"/>
      <c r="P1" s="3948"/>
      <c r="Q1" s="3948"/>
      <c r="S1" s="3948" t="s">
        <v>1120</v>
      </c>
      <c r="T1" s="3948"/>
      <c r="U1" s="3948"/>
      <c r="V1" s="3948"/>
      <c r="X1" s="3947" t="s">
        <v>1121</v>
      </c>
      <c r="Y1" s="3948"/>
      <c r="Z1" s="3948"/>
      <c r="AA1" s="3948"/>
      <c r="AB1" s="3948"/>
      <c r="AD1" s="3947" t="s">
        <v>1122</v>
      </c>
      <c r="AE1" s="3948"/>
      <c r="AF1" s="3948"/>
      <c r="AG1" s="3948"/>
      <c r="AH1" s="394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0">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3057</v>
      </c>
      <c r="B5" s="2413">
        <f t="shared" ref="B5:B19" si="1">B6*(1+N5)</f>
        <v>502.50893609650217</v>
      </c>
      <c r="C5" s="2413">
        <f t="shared" ref="C5:C19" si="2">C6*(1+O5)</f>
        <v>350.27569313914915</v>
      </c>
      <c r="D5" s="2413">
        <f t="shared" ref="D5:D24" si="3">C5</f>
        <v>350.27569313914915</v>
      </c>
      <c r="E5" s="2413">
        <f t="shared" ref="E5:E19" si="4">E6*(1+P5)</f>
        <v>725.27220201394141</v>
      </c>
      <c r="F5" s="2413">
        <f t="shared" ref="F5:F19" si="5">F6*(1+Q5)</f>
        <v>332.45017846012797</v>
      </c>
      <c r="G5" s="3058">
        <v>2021</v>
      </c>
      <c r="H5" s="2415">
        <v>3</v>
      </c>
      <c r="I5" s="2416">
        <v>0</v>
      </c>
      <c r="J5" s="2416">
        <v>0</v>
      </c>
      <c r="K5" s="2416">
        <v>0</v>
      </c>
      <c r="L5" s="2416">
        <v>0</v>
      </c>
      <c r="N5" s="2418">
        <f t="shared" ref="N5:Q11" si="6">I5/100</f>
        <v>0</v>
      </c>
      <c r="O5" s="2418">
        <f t="shared" si="6"/>
        <v>0</v>
      </c>
      <c r="P5" s="2418">
        <f t="shared" si="6"/>
        <v>0</v>
      </c>
      <c r="Q5" s="2418">
        <f t="shared" si="6"/>
        <v>0</v>
      </c>
      <c r="S5" s="2419"/>
      <c r="W5" s="2420" t="s">
        <v>2853</v>
      </c>
      <c r="X5" s="2421">
        <f>ROUND(IF(项目基本情况!B3="出让",SUMPRODUCT(PRODUCT(1+N5:N$35)),SUMPRODUCT(PRODUCT(1+N5:N$34))),4)</f>
        <v>1.6338999999999999</v>
      </c>
      <c r="Y5" s="2421">
        <f>ROUND(IF(项目基本情况!B3="出让",SUMPRODUCT(PRODUCT(1+O5:O$35)),SUMPRODUCT(PRODUCT(1+O5:O$34))),4)</f>
        <v>1.3588</v>
      </c>
      <c r="Z5" s="2421">
        <f t="shared" ref="Z5:Z34" si="7">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AF19" si="8">AE5</f>
        <v>1.0699999999999999E-2</v>
      </c>
      <c r="AG5" s="2422">
        <f>ROUND(AVERAGE(K5:K$35)/100,4)</f>
        <v>1.8700000000000001E-2</v>
      </c>
      <c r="AH5" s="2422">
        <f>ROUND(AVERAGE(L5:L$35)/100,4)</f>
        <v>1.24E-2</v>
      </c>
    </row>
    <row r="6" spans="1:34" s="2430" customFormat="1">
      <c r="A6" s="2423" t="s">
        <v>3056</v>
      </c>
      <c r="B6" s="2424">
        <f t="shared" si="1"/>
        <v>502.50893609650217</v>
      </c>
      <c r="C6" s="2424">
        <f t="shared" si="2"/>
        <v>350.27569313914915</v>
      </c>
      <c r="D6" s="2424">
        <f t="shared" si="3"/>
        <v>350.27569313914915</v>
      </c>
      <c r="E6" s="2424">
        <f t="shared" si="4"/>
        <v>725.27220201394141</v>
      </c>
      <c r="F6" s="2424">
        <f t="shared" si="5"/>
        <v>332.45017846012797</v>
      </c>
      <c r="G6" s="3058">
        <v>2021</v>
      </c>
      <c r="H6" s="2425">
        <v>2</v>
      </c>
      <c r="I6" s="2387">
        <v>0.92</v>
      </c>
      <c r="J6" s="2387">
        <v>0.72</v>
      </c>
      <c r="K6" s="2387">
        <v>0.95</v>
      </c>
      <c r="L6" s="2388">
        <v>1.01</v>
      </c>
      <c r="M6" s="2410"/>
      <c r="N6" s="2426">
        <f t="shared" si="6"/>
        <v>9.1999999999999998E-3</v>
      </c>
      <c r="O6" s="2462">
        <f t="shared" si="6"/>
        <v>7.1999999999999998E-3</v>
      </c>
      <c r="P6" s="2411">
        <f t="shared" si="6"/>
        <v>9.4999999999999998E-3</v>
      </c>
      <c r="Q6" s="2411">
        <f t="shared" si="6"/>
        <v>1.01E-2</v>
      </c>
      <c r="R6" s="2427"/>
      <c r="S6" s="2426"/>
      <c r="T6" s="2411"/>
      <c r="U6" s="2411"/>
      <c r="V6" s="2411"/>
      <c r="W6" s="2428"/>
      <c r="X6" s="2428">
        <f>ROUND(IF(项目基本情况!B4="出让",SUMPRODUCT(PRODUCT(1+N6:N$35)),SUMPRODUCT(PRODUCT(1+N6:N$34))),4)</f>
        <v>1.6338999999999999</v>
      </c>
      <c r="Y6" s="2460">
        <f>ROUND(IF(项目基本情况!B4="出让",SUMPRODUCT(PRODUCT(1+O6:O$35)),SUMPRODUCT(PRODUCT(1+O6:O$34))),4)</f>
        <v>1.3588</v>
      </c>
      <c r="Z6" s="2428">
        <f t="shared" si="7"/>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si="8"/>
        <v>1.11E-2</v>
      </c>
      <c r="AG6" s="2429">
        <f>ROUND(AVERAGE(K6:K$35)/100,4)</f>
        <v>1.9400000000000001E-2</v>
      </c>
      <c r="AH6" s="2429">
        <f>ROUND(AVERAGE(L6:L$35)/100,4)</f>
        <v>1.2800000000000001E-2</v>
      </c>
    </row>
    <row r="7" spans="1:34" s="2430" customFormat="1">
      <c r="A7" s="2423" t="s">
        <v>3055</v>
      </c>
      <c r="B7" s="2424">
        <f t="shared" si="1"/>
        <v>497.92799851020823</v>
      </c>
      <c r="C7" s="2424">
        <f t="shared" si="2"/>
        <v>347.77173663537445</v>
      </c>
      <c r="D7" s="2424">
        <f t="shared" si="3"/>
        <v>347.77173663537445</v>
      </c>
      <c r="E7" s="2424">
        <f t="shared" si="4"/>
        <v>718.44695593258189</v>
      </c>
      <c r="F7" s="2424">
        <f t="shared" si="5"/>
        <v>329.12600580153247</v>
      </c>
      <c r="G7" s="3042">
        <v>2021</v>
      </c>
      <c r="H7" s="2425">
        <v>1</v>
      </c>
      <c r="I7" s="2387">
        <v>0.97</v>
      </c>
      <c r="J7" s="2387">
        <v>0.16</v>
      </c>
      <c r="K7" s="2387">
        <v>1.1100000000000001</v>
      </c>
      <c r="L7" s="2388">
        <v>0.36</v>
      </c>
      <c r="M7" s="2410"/>
      <c r="N7" s="2426">
        <f t="shared" si="6"/>
        <v>9.7000000000000003E-3</v>
      </c>
      <c r="O7" s="2462">
        <f t="shared" si="6"/>
        <v>1.6000000000000001E-3</v>
      </c>
      <c r="P7" s="2411">
        <f t="shared" si="6"/>
        <v>1.11E-2</v>
      </c>
      <c r="Q7" s="2411">
        <f t="shared" si="6"/>
        <v>3.5999999999999999E-3</v>
      </c>
      <c r="R7" s="2427"/>
      <c r="S7" s="2426">
        <f>B7/B8-1</f>
        <v>9.7000000000000419E-3</v>
      </c>
      <c r="T7" s="2411">
        <f>C7/C8-1</f>
        <v>1.6000000000000458E-3</v>
      </c>
      <c r="U7" s="2411">
        <f>D7/D8-1</f>
        <v>1.6000000000000458E-3</v>
      </c>
      <c r="V7" s="2411">
        <f>E7/E8-1</f>
        <v>1.110000000000011E-2</v>
      </c>
      <c r="W7" s="2428"/>
      <c r="X7" s="2428">
        <f>ROUND(IF(项目基本情况!B5="出让",SUMPRODUCT(PRODUCT(1+N7:N$35)),SUMPRODUCT(PRODUCT(1+N7:N$34))),4)</f>
        <v>1.619</v>
      </c>
      <c r="Y7" s="2460">
        <f>ROUND(IF(项目基本情况!B5="出让",SUMPRODUCT(PRODUCT(1+O7:O$35)),SUMPRODUCT(PRODUCT(1+O7:O$34))),4)</f>
        <v>1.3491</v>
      </c>
      <c r="Z7" s="2428">
        <f t="shared" si="7"/>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si="8"/>
        <v>1.12E-2</v>
      </c>
      <c r="AG7" s="2429">
        <f>ROUND(AVERAGE(K7:K$35)/100,4)</f>
        <v>1.9699999999999999E-2</v>
      </c>
      <c r="AH7" s="2429">
        <f>ROUND(AVERAGE(L7:L$35)/100,4)</f>
        <v>1.29E-2</v>
      </c>
    </row>
    <row r="8" spans="1:34" s="2430" customFormat="1">
      <c r="A8" s="2423" t="s">
        <v>3053</v>
      </c>
      <c r="B8" s="2424">
        <f t="shared" si="1"/>
        <v>493.14449689037161</v>
      </c>
      <c r="C8" s="2424">
        <f t="shared" si="2"/>
        <v>347.21619073020611</v>
      </c>
      <c r="D8" s="2424">
        <f t="shared" si="3"/>
        <v>347.21619073020611</v>
      </c>
      <c r="E8" s="2424">
        <f t="shared" si="4"/>
        <v>710.55974278763904</v>
      </c>
      <c r="F8" s="2424">
        <f t="shared" si="5"/>
        <v>327.94540235306141</v>
      </c>
      <c r="G8" s="3041">
        <v>2020</v>
      </c>
      <c r="H8" s="2425">
        <v>4</v>
      </c>
      <c r="I8" s="2387">
        <v>2.0699999999999998</v>
      </c>
      <c r="J8" s="2387">
        <v>0.37</v>
      </c>
      <c r="K8" s="2387">
        <v>2.35</v>
      </c>
      <c r="L8" s="2388">
        <v>2.69</v>
      </c>
      <c r="M8" s="2410"/>
      <c r="N8" s="2426">
        <f t="shared" si="6"/>
        <v>2.07E-2</v>
      </c>
      <c r="O8" s="2462">
        <f t="shared" si="6"/>
        <v>3.7000000000000002E-3</v>
      </c>
      <c r="P8" s="2411">
        <f t="shared" si="6"/>
        <v>2.35E-2</v>
      </c>
      <c r="Q8" s="2411">
        <f t="shared" si="6"/>
        <v>2.69E-2</v>
      </c>
      <c r="R8" s="2427"/>
      <c r="S8" s="2426"/>
      <c r="T8" s="2411"/>
      <c r="U8" s="2411"/>
      <c r="V8" s="2411"/>
      <c r="W8" s="2428"/>
      <c r="X8" s="2428">
        <f>ROUND(IF(项目基本情况!B6="出让",SUMPRODUCT(PRODUCT(1+N8:N$35)),SUMPRODUCT(PRODUCT(1+N8:N$34))),4)</f>
        <v>1.6034999999999999</v>
      </c>
      <c r="Y8" s="2460">
        <f>ROUND(IF(项目基本情况!B6="出让",SUMPRODUCT(PRODUCT(1+O8:O$35)),SUMPRODUCT(PRODUCT(1+O8:O$34))),4)</f>
        <v>1.3469</v>
      </c>
      <c r="Z8" s="2428">
        <f t="shared" si="7"/>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si="8"/>
        <v>1.1599999999999999E-2</v>
      </c>
      <c r="AG8" s="2429">
        <f>ROUND(AVERAGE(K8:K$35)/100,4)</f>
        <v>0.02</v>
      </c>
      <c r="AH8" s="2429">
        <f>ROUND(AVERAGE(L8:L$35)/100,4)</f>
        <v>1.3299999999999999E-2</v>
      </c>
    </row>
    <row r="9" spans="1:34" s="2430" customFormat="1">
      <c r="A9" s="2423" t="s">
        <v>3052</v>
      </c>
      <c r="B9" s="2424">
        <f t="shared" si="1"/>
        <v>483.1434279321756</v>
      </c>
      <c r="C9" s="2424">
        <f t="shared" si="2"/>
        <v>345.93622669144776</v>
      </c>
      <c r="D9" s="2424">
        <f t="shared" si="3"/>
        <v>345.93622669144776</v>
      </c>
      <c r="E9" s="2424">
        <f t="shared" si="4"/>
        <v>694.24498562544113</v>
      </c>
      <c r="F9" s="2424">
        <f t="shared" si="5"/>
        <v>319.35475932716082</v>
      </c>
      <c r="G9" s="3038">
        <v>2020</v>
      </c>
      <c r="H9" s="2425">
        <v>3</v>
      </c>
      <c r="I9" s="2387">
        <v>0.36</v>
      </c>
      <c r="J9" s="2387">
        <v>-0.39</v>
      </c>
      <c r="K9" s="2387">
        <v>0.49</v>
      </c>
      <c r="L9" s="2388">
        <v>7.0000000000000007E-2</v>
      </c>
      <c r="M9" s="2410"/>
      <c r="N9" s="2426">
        <f t="shared" si="6"/>
        <v>3.5999999999999999E-3</v>
      </c>
      <c r="O9" s="2462">
        <f t="shared" si="6"/>
        <v>-3.9000000000000003E-3</v>
      </c>
      <c r="P9" s="2411">
        <f t="shared" si="6"/>
        <v>4.8999999999999998E-3</v>
      </c>
      <c r="Q9" s="2411">
        <f t="shared" si="6"/>
        <v>7.000000000000001E-4</v>
      </c>
      <c r="R9" s="2427"/>
      <c r="S9" s="2426"/>
      <c r="T9" s="2411"/>
      <c r="U9" s="2411"/>
      <c r="V9" s="2411"/>
      <c r="W9" s="2428"/>
      <c r="X9" s="2428">
        <f>ROUND(IF(项目基本情况!B7="出让",SUMPRODUCT(PRODUCT(1+N9:N$35)),SUMPRODUCT(PRODUCT(1+N9:N$34))),4)</f>
        <v>1.571</v>
      </c>
      <c r="Y9" s="2460">
        <f>ROUND(IF(项目基本情况!B7="出让",SUMPRODUCT(PRODUCT(1+O9:O$35)),SUMPRODUCT(PRODUCT(1+O9:O$34))),4)</f>
        <v>1.3420000000000001</v>
      </c>
      <c r="Z9" s="2428">
        <f t="shared" si="7"/>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si="8"/>
        <v>1.1900000000000001E-2</v>
      </c>
      <c r="AG9" s="2429">
        <f>ROUND(AVERAGE(K9:K$35)/100,4)</f>
        <v>1.9900000000000001E-2</v>
      </c>
      <c r="AH9" s="2429">
        <f>ROUND(AVERAGE(L9:L$35)/100,4)</f>
        <v>1.2800000000000001E-2</v>
      </c>
    </row>
    <row r="10" spans="1:34" s="2430" customFormat="1">
      <c r="A10" s="2423" t="s">
        <v>2869</v>
      </c>
      <c r="B10" s="2424">
        <f t="shared" si="1"/>
        <v>481.4103506697644</v>
      </c>
      <c r="C10" s="2424">
        <f t="shared" si="2"/>
        <v>347.29066026648707</v>
      </c>
      <c r="D10" s="2424">
        <f t="shared" si="3"/>
        <v>347.29066026648707</v>
      </c>
      <c r="E10" s="2424">
        <f t="shared" si="4"/>
        <v>690.85977273901995</v>
      </c>
      <c r="F10" s="2424">
        <f t="shared" si="5"/>
        <v>319.13136737000184</v>
      </c>
      <c r="G10" s="2414">
        <v>2020</v>
      </c>
      <c r="H10" s="2425">
        <v>2</v>
      </c>
      <c r="I10" s="2387">
        <v>0.31</v>
      </c>
      <c r="J10" s="2387">
        <v>-0.78</v>
      </c>
      <c r="K10" s="2387">
        <v>0.5</v>
      </c>
      <c r="L10" s="2388">
        <v>0.47</v>
      </c>
      <c r="M10" s="2410"/>
      <c r="N10" s="2426">
        <f t="shared" si="6"/>
        <v>3.0999999999999999E-3</v>
      </c>
      <c r="O10" s="2462">
        <f t="shared" si="6"/>
        <v>-7.8000000000000005E-3</v>
      </c>
      <c r="P10" s="2411">
        <f t="shared" si="6"/>
        <v>5.0000000000000001E-3</v>
      </c>
      <c r="Q10" s="2411">
        <f t="shared" si="6"/>
        <v>4.6999999999999993E-3</v>
      </c>
      <c r="R10" s="2427"/>
      <c r="S10" s="2426"/>
      <c r="T10" s="2411"/>
      <c r="U10" s="2411"/>
      <c r="V10" s="2411"/>
      <c r="W10" s="2428"/>
      <c r="X10" s="2428">
        <f>ROUND(IF(项目基本情况!B8="出让",SUMPRODUCT(PRODUCT(1+N10:N$35)),SUMPRODUCT(PRODUCT(1+N10:N$34))),4)</f>
        <v>1.5652999999999999</v>
      </c>
      <c r="Y10" s="2460">
        <f>ROUND(IF(项目基本情况!B8="出让",SUMPRODUCT(PRODUCT(1+O10:O$35)),SUMPRODUCT(PRODUCT(1+O10:O$34))),4)</f>
        <v>1.3472</v>
      </c>
      <c r="Z10" s="2428">
        <f t="shared" si="7"/>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si="8"/>
        <v>1.2500000000000001E-2</v>
      </c>
      <c r="AG10" s="2429">
        <f>ROUND(AVERAGE(K10:K$35)/100,4)</f>
        <v>2.0400000000000001E-2</v>
      </c>
      <c r="AH10" s="2429">
        <f>ROUND(AVERAGE(L10:L$35)/100,4)</f>
        <v>1.32E-2</v>
      </c>
    </row>
    <row r="11" spans="1:34" s="2430" customFormat="1">
      <c r="A11" s="2423" t="s">
        <v>2867</v>
      </c>
      <c r="B11" s="2424">
        <f t="shared" si="1"/>
        <v>479.92259063878413</v>
      </c>
      <c r="C11" s="2424">
        <f t="shared" si="2"/>
        <v>350.02082268341775</v>
      </c>
      <c r="D11" s="2424">
        <f t="shared" si="3"/>
        <v>350.02082268341775</v>
      </c>
      <c r="E11" s="2424">
        <f t="shared" si="4"/>
        <v>687.42265944181099</v>
      </c>
      <c r="F11" s="2424">
        <f t="shared" si="5"/>
        <v>317.63846657708956</v>
      </c>
      <c r="G11" s="2414">
        <v>2020</v>
      </c>
      <c r="H11" s="2425">
        <v>1</v>
      </c>
      <c r="I11" s="2387">
        <v>0.12</v>
      </c>
      <c r="J11" s="2387">
        <v>-0.4</v>
      </c>
      <c r="K11" s="2387">
        <v>0.21</v>
      </c>
      <c r="L11" s="2388">
        <v>0.27</v>
      </c>
      <c r="M11" s="2410"/>
      <c r="N11" s="2426">
        <f t="shared" si="6"/>
        <v>1.1999999999999999E-3</v>
      </c>
      <c r="O11" s="2462">
        <f t="shared" si="6"/>
        <v>-4.0000000000000001E-3</v>
      </c>
      <c r="P11" s="2411">
        <f t="shared" si="6"/>
        <v>2.0999999999999999E-3</v>
      </c>
      <c r="Q11" s="2411">
        <f t="shared" si="6"/>
        <v>2.7000000000000001E-3</v>
      </c>
      <c r="R11" s="2427"/>
      <c r="S11" s="2426">
        <f>B11/B12-1</f>
        <v>1.2000000000000899E-3</v>
      </c>
      <c r="T11" s="2411">
        <f>C11/C12-1</f>
        <v>-4.0000000000000036E-3</v>
      </c>
      <c r="U11" s="2411">
        <f>D11/D12-1</f>
        <v>-4.0000000000000036E-3</v>
      </c>
      <c r="V11" s="2411">
        <f>E11/E12-1</f>
        <v>2.0999999999999908E-3</v>
      </c>
      <c r="W11" s="2428"/>
      <c r="X11" s="2428">
        <f>ROUND(IF(项目基本情况!B8="出让",SUMPRODUCT(PRODUCT(1+N11:N$35)),SUMPRODUCT(PRODUCT(1+N11:N$34))),4)</f>
        <v>1.5605</v>
      </c>
      <c r="Y11" s="2460">
        <f>ROUND(IF(项目基本情况!B8="出让",SUMPRODUCT(PRODUCT(1+O11:O$35)),SUMPRODUCT(PRODUCT(1+O11:O$34))),4)</f>
        <v>1.3577999999999999</v>
      </c>
      <c r="Z11" s="2428">
        <f t="shared" si="7"/>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si="8"/>
        <v>1.3299999999999999E-2</v>
      </c>
      <c r="AG11" s="2429">
        <f>ROUND(AVERAGE(K11:K$35)/100,4)</f>
        <v>2.1100000000000001E-2</v>
      </c>
      <c r="AH11" s="2429">
        <f>ROUND(AVERAGE(L11:L$35)/100,4)</f>
        <v>1.3599999999999999E-2</v>
      </c>
    </row>
    <row r="12" spans="1:34" s="2430" customFormat="1">
      <c r="A12" s="2423" t="s">
        <v>2866</v>
      </c>
      <c r="B12" s="2424">
        <f t="shared" si="1"/>
        <v>479.34737379023579</v>
      </c>
      <c r="C12" s="2424">
        <f t="shared" si="2"/>
        <v>351.4265287986122</v>
      </c>
      <c r="D12" s="2424">
        <f t="shared" si="3"/>
        <v>351.4265287986122</v>
      </c>
      <c r="E12" s="2424">
        <f t="shared" si="4"/>
        <v>685.98209703803116</v>
      </c>
      <c r="F12" s="2424">
        <f t="shared" si="5"/>
        <v>316.78315206651001</v>
      </c>
      <c r="G12" s="2414">
        <v>2019</v>
      </c>
      <c r="H12" s="2425">
        <v>4</v>
      </c>
      <c r="I12" s="2425">
        <v>0.45</v>
      </c>
      <c r="J12" s="2425">
        <v>-0.12</v>
      </c>
      <c r="K12" s="2425">
        <v>0.54</v>
      </c>
      <c r="L12" s="2431">
        <v>0.48</v>
      </c>
      <c r="M12" s="2410"/>
      <c r="N12" s="2426">
        <f t="shared" ref="N12:N17" si="9">I12/100</f>
        <v>4.5000000000000005E-3</v>
      </c>
      <c r="O12" s="2462">
        <f t="shared" ref="O12:O22" si="10">J12/100</f>
        <v>-1.1999999999999999E-3</v>
      </c>
      <c r="P12" s="2411">
        <f t="shared" ref="P12:P22" si="11">K12/100</f>
        <v>5.4000000000000003E-3</v>
      </c>
      <c r="Q12" s="2411">
        <f t="shared" ref="Q12:Q22" si="12">L12/100</f>
        <v>4.7999999999999996E-3</v>
      </c>
      <c r="R12" s="2427"/>
      <c r="S12" s="2426"/>
      <c r="T12" s="2411"/>
      <c r="U12" s="2411"/>
      <c r="V12" s="2411"/>
      <c r="W12" s="2428"/>
      <c r="X12" s="2428">
        <f>ROUND(IF(项目基本情况!B8="出让",SUMPRODUCT(PRODUCT(1+N12:N$35)),SUMPRODUCT(PRODUCT(1+N12:N$34))),4)</f>
        <v>1.5586</v>
      </c>
      <c r="Y12" s="2460">
        <f>ROUND(IF(项目基本情况!B8="出让",SUMPRODUCT(PRODUCT(1+O12:O$35)),SUMPRODUCT(PRODUCT(1+O12:O$34))),4)</f>
        <v>1.3633</v>
      </c>
      <c r="Z12" s="2428">
        <f t="shared" si="7"/>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si="8"/>
        <v>1.4E-2</v>
      </c>
      <c r="AG12" s="2429">
        <f>ROUND(AVERAGE(K12:K$35)/100,4)</f>
        <v>2.1899999999999999E-2</v>
      </c>
      <c r="AH12" s="2429">
        <f>ROUND(AVERAGE(L12:L$35)/100,4)</f>
        <v>1.4E-2</v>
      </c>
    </row>
    <row r="13" spans="1:34" s="2430" customFormat="1" ht="13.5" thickBot="1">
      <c r="A13" s="2423" t="s">
        <v>2865</v>
      </c>
      <c r="B13" s="2424">
        <f t="shared" si="1"/>
        <v>477.19997390765138</v>
      </c>
      <c r="C13" s="2424">
        <f t="shared" si="2"/>
        <v>351.84874729536665</v>
      </c>
      <c r="D13" s="2424">
        <f t="shared" si="3"/>
        <v>351.84874729536665</v>
      </c>
      <c r="E13" s="2424">
        <f t="shared" si="4"/>
        <v>682.29768951465201</v>
      </c>
      <c r="F13" s="2424">
        <f t="shared" si="5"/>
        <v>315.26985675409043</v>
      </c>
      <c r="G13" s="2414">
        <v>2019</v>
      </c>
      <c r="H13" s="2425">
        <v>3</v>
      </c>
      <c r="I13" s="2425">
        <v>0.61</v>
      </c>
      <c r="J13" s="2425">
        <v>0.67</v>
      </c>
      <c r="K13" s="2425">
        <v>0.6</v>
      </c>
      <c r="L13" s="2431">
        <v>1.03</v>
      </c>
      <c r="M13" s="2410"/>
      <c r="N13" s="2426">
        <f t="shared" si="9"/>
        <v>6.0999999999999995E-3</v>
      </c>
      <c r="O13" s="2462">
        <f t="shared" si="10"/>
        <v>6.7000000000000002E-3</v>
      </c>
      <c r="P13" s="2411">
        <f t="shared" si="11"/>
        <v>6.0000000000000001E-3</v>
      </c>
      <c r="Q13" s="2411">
        <f t="shared" si="12"/>
        <v>1.03E-2</v>
      </c>
      <c r="R13" s="2427"/>
      <c r="S13" s="2426"/>
      <c r="T13" s="2411"/>
      <c r="U13" s="2411"/>
      <c r="V13" s="2411"/>
      <c r="W13" s="2428"/>
      <c r="X13" s="2428">
        <f>ROUND(IF(项目基本情况!B8="出让",SUMPRODUCT(PRODUCT(1+N13:N$35)),SUMPRODUCT(PRODUCT(1+N13:N$34))),4)</f>
        <v>1.5516000000000001</v>
      </c>
      <c r="Y13" s="2460">
        <f>ROUND(IF(项目基本情况!B8="出让",SUMPRODUCT(PRODUCT(1+O13:O$35)),SUMPRODUCT(PRODUCT(1+O13:O$34))),4)</f>
        <v>1.3649</v>
      </c>
      <c r="Z13" s="2428">
        <f t="shared" si="7"/>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si="8"/>
        <v>1.47E-2</v>
      </c>
      <c r="AG13" s="2429">
        <f>ROUND(AVERAGE(K13:K$35)/100,4)</f>
        <v>2.2599999999999999E-2</v>
      </c>
      <c r="AH13" s="2429">
        <f>ROUND(AVERAGE(L13:L$35)/100,4)</f>
        <v>1.44E-2</v>
      </c>
    </row>
    <row r="14" spans="1:34" s="2430" customFormat="1">
      <c r="A14" s="2423" t="s">
        <v>2863</v>
      </c>
      <c r="B14" s="2424">
        <f t="shared" si="1"/>
        <v>474.30670301923408</v>
      </c>
      <c r="C14" s="2424">
        <f t="shared" si="2"/>
        <v>349.50705005996491</v>
      </c>
      <c r="D14" s="2424">
        <f t="shared" si="3"/>
        <v>349.50705005996491</v>
      </c>
      <c r="E14" s="2424">
        <f t="shared" si="4"/>
        <v>678.22831959706957</v>
      </c>
      <c r="F14" s="2424">
        <f t="shared" si="5"/>
        <v>312.0556832169558</v>
      </c>
      <c r="G14" s="2414">
        <v>2019</v>
      </c>
      <c r="H14" s="2432">
        <v>2</v>
      </c>
      <c r="I14" s="2432">
        <v>1.53</v>
      </c>
      <c r="J14" s="2432">
        <v>1.01</v>
      </c>
      <c r="K14" s="2432">
        <v>1.62</v>
      </c>
      <c r="L14" s="2433">
        <v>1.25</v>
      </c>
      <c r="M14" s="2410"/>
      <c r="N14" s="2426">
        <f t="shared" si="9"/>
        <v>1.5300000000000001E-2</v>
      </c>
      <c r="O14" s="2462">
        <f t="shared" si="10"/>
        <v>1.01E-2</v>
      </c>
      <c r="P14" s="2411">
        <f t="shared" si="11"/>
        <v>1.6200000000000003E-2</v>
      </c>
      <c r="Q14" s="2411">
        <f t="shared" si="12"/>
        <v>1.2500000000000001E-2</v>
      </c>
      <c r="R14" s="2427"/>
      <c r="S14" s="2426"/>
      <c r="T14" s="2411"/>
      <c r="U14" s="2411"/>
      <c r="V14" s="2411"/>
      <c r="W14" s="2428"/>
      <c r="X14" s="2428">
        <f>ROUND(IF(项目基本情况!B8="出让",SUMPRODUCT(PRODUCT(1+N14:N$35)),SUMPRODUCT(PRODUCT(1+N14:N$34))),4)</f>
        <v>1.5422</v>
      </c>
      <c r="Y14" s="2460">
        <f>ROUND(IF(项目基本情况!B8="出让",SUMPRODUCT(PRODUCT(1+O14:O$35)),SUMPRODUCT(PRODUCT(1+O14:O$34))),4)</f>
        <v>1.3557999999999999</v>
      </c>
      <c r="Z14" s="2428">
        <f t="shared" si="7"/>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si="8"/>
        <v>1.4999999999999999E-2</v>
      </c>
      <c r="AG14" s="2429">
        <f>ROUND(AVERAGE(K14:K$35)/100,4)</f>
        <v>2.3300000000000001E-2</v>
      </c>
      <c r="AH14" s="2429">
        <f>ROUND(AVERAGE(L14:L$35)/100,4)</f>
        <v>1.46E-2</v>
      </c>
    </row>
    <row r="15" spans="1:34" s="2430" customFormat="1" ht="13.5" thickBot="1">
      <c r="A15" s="2423" t="s">
        <v>2861</v>
      </c>
      <c r="B15" s="2424">
        <f t="shared" si="1"/>
        <v>467.15916775261894</v>
      </c>
      <c r="C15" s="2424">
        <f t="shared" si="2"/>
        <v>346.01232557169084</v>
      </c>
      <c r="D15" s="2424">
        <f t="shared" si="3"/>
        <v>346.01232557169084</v>
      </c>
      <c r="E15" s="2424">
        <f t="shared" si="4"/>
        <v>667.41617752122568</v>
      </c>
      <c r="F15" s="2424">
        <f t="shared" si="5"/>
        <v>308.20314391798104</v>
      </c>
      <c r="G15" s="2414">
        <v>2019</v>
      </c>
      <c r="H15" s="2425">
        <v>1</v>
      </c>
      <c r="I15" s="2425">
        <v>0.6</v>
      </c>
      <c r="J15" s="2425">
        <v>0.37</v>
      </c>
      <c r="K15" s="2425">
        <v>0.63</v>
      </c>
      <c r="L15" s="2431">
        <v>1.1299999999999999</v>
      </c>
      <c r="M15" s="2410"/>
      <c r="N15" s="2426">
        <f t="shared" si="9"/>
        <v>6.0000000000000001E-3</v>
      </c>
      <c r="O15" s="2462">
        <f t="shared" si="10"/>
        <v>3.7000000000000002E-3</v>
      </c>
      <c r="P15" s="2411">
        <f t="shared" si="11"/>
        <v>6.3E-3</v>
      </c>
      <c r="Q15" s="2411">
        <f t="shared" si="12"/>
        <v>1.1299999999999999E-2</v>
      </c>
      <c r="R15" s="2427"/>
      <c r="S15" s="2426">
        <f>B15/B16-1</f>
        <v>6.0000000000000053E-3</v>
      </c>
      <c r="T15" s="2411">
        <f>C15/C16-1</f>
        <v>3.7000000000000366E-3</v>
      </c>
      <c r="U15" s="2411">
        <f>D15/D16-1</f>
        <v>3.7000000000000366E-3</v>
      </c>
      <c r="V15" s="2411">
        <f>E15/E16-1</f>
        <v>6.2999999999999723E-3</v>
      </c>
      <c r="W15" s="2428"/>
      <c r="X15" s="2428">
        <f>ROUND(IF(项目基本情况!B8="出让",SUMPRODUCT(PRODUCT(1+N15:N$35)),SUMPRODUCT(PRODUCT(1+N15:N$34))),4)</f>
        <v>1.5189999999999999</v>
      </c>
      <c r="Y15" s="2460">
        <f>ROUND(IF(项目基本情况!B8="出让",SUMPRODUCT(PRODUCT(1+O15:O$35)),SUMPRODUCT(PRODUCT(1+O15:O$34))),4)</f>
        <v>1.3423</v>
      </c>
      <c r="Z15" s="2428">
        <f t="shared" si="7"/>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si="8"/>
        <v>1.5299999999999999E-2</v>
      </c>
      <c r="AG15" s="2429">
        <f>ROUND(AVERAGE(K15:K$35)/100,4)</f>
        <v>2.3699999999999999E-2</v>
      </c>
      <c r="AH15" s="2429">
        <f>ROUND(AVERAGE(L15:L$35)/100,4)</f>
        <v>1.47E-2</v>
      </c>
    </row>
    <row r="16" spans="1:34" s="2430" customFormat="1">
      <c r="A16" s="2423" t="s">
        <v>2864</v>
      </c>
      <c r="B16" s="2434">
        <f t="shared" si="1"/>
        <v>464.37293017158942</v>
      </c>
      <c r="C16" s="2434">
        <f t="shared" si="2"/>
        <v>344.73679941385956</v>
      </c>
      <c r="D16" s="2434">
        <f t="shared" si="3"/>
        <v>344.73679941385956</v>
      </c>
      <c r="E16" s="2434">
        <f t="shared" si="4"/>
        <v>663.2377795103107</v>
      </c>
      <c r="F16" s="2435">
        <f t="shared" si="5"/>
        <v>304.75936311478398</v>
      </c>
      <c r="G16" s="3945">
        <v>2018</v>
      </c>
      <c r="H16" s="2432">
        <v>4</v>
      </c>
      <c r="I16" s="2432">
        <v>0.96</v>
      </c>
      <c r="J16" s="2432">
        <v>1.03</v>
      </c>
      <c r="K16" s="2432">
        <v>0.92</v>
      </c>
      <c r="L16" s="2433">
        <v>1.29</v>
      </c>
      <c r="M16" s="2410"/>
      <c r="N16" s="2426">
        <f t="shared" si="9"/>
        <v>9.5999999999999992E-3</v>
      </c>
      <c r="O16" s="2462">
        <f t="shared" si="10"/>
        <v>1.03E-2</v>
      </c>
      <c r="P16" s="2411">
        <f t="shared" si="11"/>
        <v>9.1999999999999998E-3</v>
      </c>
      <c r="Q16" s="2411">
        <f t="shared" si="12"/>
        <v>1.29E-2</v>
      </c>
      <c r="R16" s="2427"/>
      <c r="S16" s="2426"/>
      <c r="T16" s="2411"/>
      <c r="U16" s="2411"/>
      <c r="V16" s="2411"/>
      <c r="W16" s="2428"/>
      <c r="X16" s="2428">
        <f>ROUND(SUMPRODUCT(PRODUCT(1+N16:N$34)),4)</f>
        <v>1.5099</v>
      </c>
      <c r="Y16" s="2460">
        <f>ROUND(SUMPRODUCT(PRODUCT(1+O16:O$34)),4)</f>
        <v>1.3372999999999999</v>
      </c>
      <c r="Z16" s="2428">
        <f t="shared" si="7"/>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si="8"/>
        <v>1.5800000000000002E-2</v>
      </c>
      <c r="AG16" s="2429">
        <f>ROUND(AVERAGE(K16:K$35)/100,4)</f>
        <v>2.4500000000000001E-2</v>
      </c>
      <c r="AH16" s="2429">
        <f>ROUND(AVERAGE(L16:L$35)/100,4)</f>
        <v>1.49E-2</v>
      </c>
    </row>
    <row r="17" spans="1:34" s="2430" customFormat="1" ht="14.45" customHeight="1">
      <c r="A17" s="2423" t="s">
        <v>2859</v>
      </c>
      <c r="B17" s="2424">
        <f t="shared" si="1"/>
        <v>459.95733971036987</v>
      </c>
      <c r="C17" s="2424">
        <f t="shared" si="2"/>
        <v>341.22221064422405</v>
      </c>
      <c r="D17" s="2424">
        <f t="shared" si="3"/>
        <v>341.22221064422405</v>
      </c>
      <c r="E17" s="2424">
        <f t="shared" si="4"/>
        <v>657.19161663724799</v>
      </c>
      <c r="F17" s="2424">
        <f t="shared" si="5"/>
        <v>300.87803644464805</v>
      </c>
      <c r="G17" s="3945"/>
      <c r="H17" s="2425">
        <v>3</v>
      </c>
      <c r="I17" s="2425">
        <v>1.51</v>
      </c>
      <c r="J17" s="2425">
        <v>1.41</v>
      </c>
      <c r="K17" s="2425">
        <v>1.52</v>
      </c>
      <c r="L17" s="2431">
        <v>1.74</v>
      </c>
      <c r="M17" s="2410"/>
      <c r="N17" s="2426">
        <f t="shared" si="9"/>
        <v>1.5100000000000001E-2</v>
      </c>
      <c r="O17" s="2462">
        <f t="shared" si="10"/>
        <v>1.41E-2</v>
      </c>
      <c r="P17" s="2411">
        <f t="shared" si="11"/>
        <v>1.52E-2</v>
      </c>
      <c r="Q17" s="2411">
        <f t="shared" si="12"/>
        <v>1.7399999999999999E-2</v>
      </c>
      <c r="R17" s="2427"/>
      <c r="S17" s="2426"/>
      <c r="T17" s="2411"/>
      <c r="U17" s="2411"/>
      <c r="V17" s="2411"/>
      <c r="W17" s="2428"/>
      <c r="X17" s="2428">
        <f>ROUND(SUMPRODUCT(PRODUCT(1+N17:N$34)),4)</f>
        <v>1.4956</v>
      </c>
      <c r="Y17" s="2460">
        <f>ROUND(SUMPRODUCT(PRODUCT(1+O17:O$34)),4)</f>
        <v>1.3237000000000001</v>
      </c>
      <c r="Z17" s="2428">
        <f t="shared" si="7"/>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si="8"/>
        <v>1.61E-2</v>
      </c>
      <c r="AG17" s="2429">
        <f>ROUND(AVERAGE(K17:K$35)/100,4)</f>
        <v>2.53E-2</v>
      </c>
      <c r="AH17" s="2429">
        <f>ROUND(AVERAGE(L17:L$35)/100,4)</f>
        <v>1.4999999999999999E-2</v>
      </c>
    </row>
    <row r="18" spans="1:34" s="2430" customFormat="1" ht="14.45" customHeight="1">
      <c r="A18" s="2423" t="s">
        <v>2858</v>
      </c>
      <c r="B18" s="2424">
        <f t="shared" si="1"/>
        <v>453.11529869999993</v>
      </c>
      <c r="C18" s="2424">
        <f t="shared" si="2"/>
        <v>336.47787264000004</v>
      </c>
      <c r="D18" s="2424">
        <f t="shared" si="3"/>
        <v>336.47787264000004</v>
      </c>
      <c r="E18" s="2424">
        <f t="shared" si="4"/>
        <v>647.35186823999993</v>
      </c>
      <c r="F18" s="2424">
        <f t="shared" si="5"/>
        <v>295.73229452000004</v>
      </c>
      <c r="G18" s="3945"/>
      <c r="H18" s="2436">
        <v>2</v>
      </c>
      <c r="I18" s="2436">
        <v>1.49</v>
      </c>
      <c r="J18" s="2436">
        <v>0.96</v>
      </c>
      <c r="K18" s="2436">
        <v>1.58</v>
      </c>
      <c r="L18" s="2437">
        <v>2.44</v>
      </c>
      <c r="M18" s="2410"/>
      <c r="N18" s="2426">
        <f>I18/100</f>
        <v>1.49E-2</v>
      </c>
      <c r="O18" s="2462">
        <f t="shared" si="10"/>
        <v>9.5999999999999992E-3</v>
      </c>
      <c r="P18" s="2411">
        <f t="shared" si="11"/>
        <v>1.5800000000000002E-2</v>
      </c>
      <c r="Q18" s="2411">
        <f t="shared" si="12"/>
        <v>2.4399999999999998E-2</v>
      </c>
      <c r="R18" s="2427"/>
      <c r="S18" s="2426"/>
      <c r="T18" s="2411"/>
      <c r="U18" s="2411"/>
      <c r="V18" s="2411"/>
      <c r="W18" s="2428"/>
      <c r="X18" s="2428">
        <f>ROUND(SUMPRODUCT(PRODUCT(1+N18:N$34)),4)</f>
        <v>1.4733000000000001</v>
      </c>
      <c r="Y18" s="2460">
        <f>ROUND(SUMPRODUCT(PRODUCT(1+O18:O$34)),4)</f>
        <v>1.3052999999999999</v>
      </c>
      <c r="Z18" s="2428">
        <f t="shared" si="7"/>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si="8"/>
        <v>1.6199999999999999E-2</v>
      </c>
      <c r="AG18" s="2429">
        <f>ROUND(AVERAGE(K18:K$35)/100,4)</f>
        <v>2.5899999999999999E-2</v>
      </c>
      <c r="AH18" s="2429">
        <f>ROUND(AVERAGE(L18:L$35)/100,4)</f>
        <v>1.49E-2</v>
      </c>
    </row>
    <row r="19" spans="1:34" s="2430" customFormat="1" ht="15" customHeight="1" thickBot="1">
      <c r="A19" s="2423" t="s">
        <v>2851</v>
      </c>
      <c r="B19" s="2424">
        <f t="shared" si="1"/>
        <v>446.46299999999997</v>
      </c>
      <c r="C19" s="2424">
        <f t="shared" si="2"/>
        <v>333.27840000000003</v>
      </c>
      <c r="D19" s="2424">
        <f t="shared" si="3"/>
        <v>333.27840000000003</v>
      </c>
      <c r="E19" s="2424">
        <f t="shared" si="4"/>
        <v>637.28279999999995</v>
      </c>
      <c r="F19" s="2424">
        <f t="shared" si="5"/>
        <v>288.68830000000003</v>
      </c>
      <c r="G19" s="3954"/>
      <c r="H19" s="2425">
        <v>1</v>
      </c>
      <c r="I19" s="2425">
        <v>1.7</v>
      </c>
      <c r="J19" s="2425">
        <v>1.92</v>
      </c>
      <c r="K19" s="2425">
        <v>1.64</v>
      </c>
      <c r="L19" s="2431">
        <v>2.0099999999999998</v>
      </c>
      <c r="M19" s="2410"/>
      <c r="N19" s="2426">
        <f t="shared" ref="N19:N24" si="13">I19/100</f>
        <v>1.7000000000000001E-2</v>
      </c>
      <c r="O19" s="2462">
        <f t="shared" si="10"/>
        <v>1.9199999999999998E-2</v>
      </c>
      <c r="P19" s="2411">
        <f t="shared" si="11"/>
        <v>1.6399999999999998E-2</v>
      </c>
      <c r="Q19" s="2411">
        <f t="shared" si="12"/>
        <v>2.0099999999999996E-2</v>
      </c>
      <c r="R19" s="2427"/>
      <c r="S19" s="2426">
        <f>B19/B20-1</f>
        <v>1.6999999999999904E-2</v>
      </c>
      <c r="T19" s="2411">
        <f>C19/C20-1</f>
        <v>1.9200000000000106E-2</v>
      </c>
      <c r="U19" s="2411">
        <f>D19/D20-1</f>
        <v>1.9200000000000106E-2</v>
      </c>
      <c r="V19" s="2411">
        <f>E19/E20-1</f>
        <v>1.639999999999997E-2</v>
      </c>
      <c r="W19" s="2428"/>
      <c r="X19" s="2428">
        <f>ROUND(SUMPRODUCT(PRODUCT(1+N19:N$34)),4)</f>
        <v>1.4517</v>
      </c>
      <c r="Y19" s="2460">
        <f>ROUND(SUMPRODUCT(PRODUCT(1+O19:O$34)),4)</f>
        <v>1.2928999999999999</v>
      </c>
      <c r="Z19" s="2428">
        <f t="shared" si="7"/>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si="8"/>
        <v>1.66E-2</v>
      </c>
      <c r="AG19" s="2429">
        <f>ROUND(AVERAGE(K19:K$35)/100,4)</f>
        <v>2.6499999999999999E-2</v>
      </c>
      <c r="AH19" s="2429">
        <f>ROUND(AVERAGE(L19:L$35)/100,4)</f>
        <v>1.43E-2</v>
      </c>
    </row>
    <row r="20" spans="1:34">
      <c r="A20" s="2423" t="s">
        <v>2849</v>
      </c>
      <c r="B20" s="2438">
        <v>439</v>
      </c>
      <c r="C20" s="2438">
        <v>327</v>
      </c>
      <c r="D20" s="2438">
        <f t="shared" si="3"/>
        <v>327</v>
      </c>
      <c r="E20" s="2438">
        <v>627</v>
      </c>
      <c r="F20" s="2439">
        <v>283</v>
      </c>
      <c r="G20" s="3950">
        <v>2017</v>
      </c>
      <c r="H20" s="2432">
        <v>4</v>
      </c>
      <c r="I20" s="2432">
        <v>1.71</v>
      </c>
      <c r="J20" s="2432">
        <v>1.78</v>
      </c>
      <c r="K20" s="2432">
        <v>1.71</v>
      </c>
      <c r="L20" s="2433">
        <v>1.43</v>
      </c>
      <c r="N20" s="2426">
        <f t="shared" si="13"/>
        <v>1.7100000000000001E-2</v>
      </c>
      <c r="O20" s="2462">
        <f t="shared" si="10"/>
        <v>1.78E-2</v>
      </c>
      <c r="P20" s="2411">
        <f t="shared" si="11"/>
        <v>1.7100000000000001E-2</v>
      </c>
      <c r="Q20" s="2411">
        <f t="shared" si="12"/>
        <v>1.43E-2</v>
      </c>
      <c r="R20" s="2427"/>
      <c r="S20" s="2440"/>
      <c r="T20" s="2441"/>
      <c r="U20" s="2441"/>
      <c r="V20" s="2441"/>
      <c r="X20" s="2410">
        <f>ROUND(SUMPRODUCT(PRODUCT(1+N20:N$34)),4)</f>
        <v>1.4274</v>
      </c>
      <c r="Y20" s="2460">
        <f>ROUND(SUMPRODUCT(PRODUCT(1+O20:O$34)),4)</f>
        <v>1.2685</v>
      </c>
      <c r="Z20" s="2410">
        <f t="shared" si="7"/>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0"/>
        <v>1.6500000000000001E-2</v>
      </c>
      <c r="AG20" s="2411">
        <f>ROUND(AVERAGE(K20:K$35)/100,4)</f>
        <v>2.7099999999999999E-2</v>
      </c>
      <c r="AH20" s="2411">
        <f>ROUND(AVERAGE(L20:L$35)/100,4)</f>
        <v>1.3899999999999999E-2</v>
      </c>
    </row>
    <row r="21" spans="1:34" s="2430" customFormat="1" ht="14.45" customHeight="1">
      <c r="A21" s="2423" t="s">
        <v>2850</v>
      </c>
      <c r="B21" s="2424">
        <f t="shared" ref="B21:C23" si="14">B22*(1+N21)</f>
        <v>431.80730811680002</v>
      </c>
      <c r="C21" s="2424">
        <f t="shared" si="14"/>
        <v>320.57880516480003</v>
      </c>
      <c r="D21" s="2424">
        <f t="shared" si="3"/>
        <v>320.57880516480003</v>
      </c>
      <c r="E21" s="2424">
        <f t="shared" ref="E21:F23" si="15">E22*(1+P21)</f>
        <v>615.96110553196797</v>
      </c>
      <c r="F21" s="2424">
        <f t="shared" si="15"/>
        <v>279.46777300108801</v>
      </c>
      <c r="G21" s="3945"/>
      <c r="H21" s="2425">
        <v>3</v>
      </c>
      <c r="I21" s="2425">
        <v>2.98</v>
      </c>
      <c r="J21" s="2425">
        <v>2.11</v>
      </c>
      <c r="K21" s="2425">
        <v>3.24</v>
      </c>
      <c r="L21" s="2431">
        <v>1.72</v>
      </c>
      <c r="M21" s="2410"/>
      <c r="N21" s="2426">
        <f t="shared" si="13"/>
        <v>2.98E-2</v>
      </c>
      <c r="O21" s="2462">
        <f t="shared" si="10"/>
        <v>2.1099999999999997E-2</v>
      </c>
      <c r="P21" s="2411">
        <f t="shared" si="11"/>
        <v>3.2400000000000005E-2</v>
      </c>
      <c r="Q21" s="2411">
        <f t="shared" si="12"/>
        <v>1.72E-2</v>
      </c>
      <c r="R21" s="2427"/>
      <c r="S21" s="2426"/>
      <c r="T21" s="2411"/>
      <c r="U21" s="2411"/>
      <c r="V21" s="2411"/>
      <c r="W21" s="2428"/>
      <c r="X21" s="2428">
        <f>ROUND(SUMPRODUCT(PRODUCT(1+N21:N$34)),4)</f>
        <v>1.4034</v>
      </c>
      <c r="Y21" s="2460">
        <f>ROUND(SUMPRODUCT(PRODUCT(1+O21:O$34)),4)</f>
        <v>1.2463</v>
      </c>
      <c r="Z21" s="2428">
        <f t="shared" si="7"/>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0"/>
        <v>1.6400000000000001E-2</v>
      </c>
      <c r="AG21" s="2429">
        <f>ROUND(AVERAGE(K21:K$35)/100,4)</f>
        <v>2.7799999999999998E-2</v>
      </c>
      <c r="AH21" s="2429">
        <f>ROUND(AVERAGE(L21:L$35)/100,4)</f>
        <v>1.3899999999999999E-2</v>
      </c>
    </row>
    <row r="22" spans="1:34" s="2417" customFormat="1" ht="14.45" customHeight="1">
      <c r="A22" s="2423" t="s">
        <v>1351</v>
      </c>
      <c r="B22" s="2424">
        <f t="shared" si="14"/>
        <v>419.31181600000002</v>
      </c>
      <c r="C22" s="2424">
        <f t="shared" si="14"/>
        <v>313.95436800000004</v>
      </c>
      <c r="D22" s="2424">
        <f t="shared" si="3"/>
        <v>313.95436800000004</v>
      </c>
      <c r="E22" s="2424">
        <f t="shared" si="15"/>
        <v>596.63028431999999</v>
      </c>
      <c r="F22" s="2424">
        <f t="shared" si="15"/>
        <v>274.74220703999998</v>
      </c>
      <c r="G22" s="3945"/>
      <c r="H22" s="2436">
        <v>2</v>
      </c>
      <c r="I22" s="2436">
        <v>3.4</v>
      </c>
      <c r="J22" s="2436">
        <v>2</v>
      </c>
      <c r="K22" s="2436">
        <v>3.82</v>
      </c>
      <c r="L22" s="2437">
        <v>1.68</v>
      </c>
      <c r="M22" s="2410"/>
      <c r="N22" s="2426">
        <f t="shared" si="13"/>
        <v>3.4000000000000002E-2</v>
      </c>
      <c r="O22" s="2462">
        <f t="shared" si="10"/>
        <v>0.02</v>
      </c>
      <c r="P22" s="2411">
        <f t="shared" si="11"/>
        <v>3.8199999999999998E-2</v>
      </c>
      <c r="Q22" s="2411">
        <f t="shared" si="12"/>
        <v>1.6799999999999999E-2</v>
      </c>
      <c r="R22" s="2427"/>
      <c r="S22" s="2440"/>
      <c r="T22" s="2441"/>
      <c r="U22" s="2441"/>
      <c r="V22" s="2441"/>
      <c r="W22" s="2404"/>
      <c r="X22" s="2428">
        <f>ROUND(SUMPRODUCT(PRODUCT(1+N22:N$34)),4)</f>
        <v>1.3628</v>
      </c>
      <c r="Y22" s="2460">
        <f>ROUND(SUMPRODUCT(PRODUCT(1+O22:O$34)),4)</f>
        <v>1.2205999999999999</v>
      </c>
      <c r="Z22" s="2428">
        <f t="shared" si="7"/>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0"/>
        <v>1.6E-2</v>
      </c>
      <c r="AG22" s="2429">
        <f>ROUND(AVERAGE(K22:K$35)/100,4)</f>
        <v>2.75E-2</v>
      </c>
      <c r="AH22" s="2429">
        <f>ROUND(AVERAGE(L22:L$35)/100,4)</f>
        <v>1.37E-2</v>
      </c>
    </row>
    <row r="23" spans="1:34" s="2430" customFormat="1" ht="15" customHeight="1" thickBot="1">
      <c r="A23" s="2423" t="s">
        <v>1128</v>
      </c>
      <c r="B23" s="2424">
        <f t="shared" si="14"/>
        <v>405.524</v>
      </c>
      <c r="C23" s="2424">
        <f t="shared" si="14"/>
        <v>307.79840000000002</v>
      </c>
      <c r="D23" s="2424">
        <f t="shared" si="3"/>
        <v>307.79840000000002</v>
      </c>
      <c r="E23" s="2424">
        <f t="shared" si="15"/>
        <v>574.67759999999998</v>
      </c>
      <c r="F23" s="2424">
        <f t="shared" si="15"/>
        <v>270.20280000000002</v>
      </c>
      <c r="G23" s="3954"/>
      <c r="H23" s="2425">
        <v>1</v>
      </c>
      <c r="I23" s="2425">
        <v>3.45</v>
      </c>
      <c r="J23" s="2425">
        <v>1.92</v>
      </c>
      <c r="K23" s="2425">
        <v>3.92</v>
      </c>
      <c r="L23" s="2431">
        <v>1.58</v>
      </c>
      <c r="M23" s="2410"/>
      <c r="N23" s="2426">
        <f t="shared" si="13"/>
        <v>3.4500000000000003E-2</v>
      </c>
      <c r="O23" s="2462">
        <f t="shared" ref="O23:Q38" si="16">J23/100</f>
        <v>1.9199999999999998E-2</v>
      </c>
      <c r="P23" s="2411">
        <f t="shared" si="16"/>
        <v>3.9199999999999999E-2</v>
      </c>
      <c r="Q23" s="2411">
        <f t="shared" si="16"/>
        <v>1.5800000000000002E-2</v>
      </c>
      <c r="R23" s="2427"/>
      <c r="S23" s="2426">
        <f>B23/B24-1</f>
        <v>3.4499999999999975E-2</v>
      </c>
      <c r="T23" s="2411">
        <f>C23/C24-1</f>
        <v>1.9200000000000106E-2</v>
      </c>
      <c r="U23" s="2411">
        <f>D23/D24-1</f>
        <v>1.9200000000000106E-2</v>
      </c>
      <c r="V23" s="2411">
        <f>E23/E24-1</f>
        <v>3.9199999999999902E-2</v>
      </c>
      <c r="W23" s="2428"/>
      <c r="X23" s="2428">
        <f>ROUND(SUMPRODUCT(PRODUCT(1+N23:N$34)),4)</f>
        <v>1.3180000000000001</v>
      </c>
      <c r="Y23" s="2460">
        <f>ROUND(SUMPRODUCT(PRODUCT(1+O23:O$34)),4)</f>
        <v>1.1966000000000001</v>
      </c>
      <c r="Z23" s="2428">
        <f t="shared" si="7"/>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0"/>
        <v>1.5699999999999999E-2</v>
      </c>
      <c r="AG23" s="2429">
        <f>ROUND(AVERAGE(K23:K$35)/100,4)</f>
        <v>2.6599999999999999E-2</v>
      </c>
      <c r="AH23" s="2429">
        <f>ROUND(AVERAGE(L23:L$35)/100,4)</f>
        <v>1.34E-2</v>
      </c>
    </row>
    <row r="24" spans="1:34">
      <c r="A24" s="2423" t="s">
        <v>154</v>
      </c>
      <c r="B24" s="2438">
        <v>392</v>
      </c>
      <c r="C24" s="2438">
        <v>302</v>
      </c>
      <c r="D24" s="2438">
        <f t="shared" si="3"/>
        <v>302</v>
      </c>
      <c r="E24" s="2438">
        <v>553</v>
      </c>
      <c r="F24" s="2439">
        <v>266</v>
      </c>
      <c r="G24" s="3950">
        <v>2016</v>
      </c>
      <c r="H24" s="2432">
        <v>4</v>
      </c>
      <c r="I24" s="2432">
        <v>4.5599999999999996</v>
      </c>
      <c r="J24" s="2432">
        <v>2.15</v>
      </c>
      <c r="K24" s="2432">
        <v>5.32</v>
      </c>
      <c r="L24" s="2433">
        <v>1.57</v>
      </c>
      <c r="N24" s="2426">
        <f t="shared" si="13"/>
        <v>4.5599999999999995E-2</v>
      </c>
      <c r="O24" s="2411">
        <f t="shared" si="16"/>
        <v>2.1499999999999998E-2</v>
      </c>
      <c r="P24" s="2411">
        <f t="shared" si="16"/>
        <v>5.3200000000000004E-2</v>
      </c>
      <c r="Q24" s="2411">
        <f t="shared" si="16"/>
        <v>1.5700000000000002E-2</v>
      </c>
      <c r="R24" s="2427"/>
      <c r="S24" s="2440"/>
      <c r="T24" s="2441"/>
      <c r="U24" s="2441"/>
      <c r="V24" s="2441"/>
      <c r="X24" s="2410">
        <f>ROUND(SUMPRODUCT(PRODUCT(1+N24:N$34)),4)</f>
        <v>1.274</v>
      </c>
      <c r="Y24" s="2410">
        <f>ROUND(SUMPRODUCT(PRODUCT(1+O24:O$34)),4)</f>
        <v>1.1740999999999999</v>
      </c>
      <c r="Z24" s="2410">
        <f t="shared" si="7"/>
        <v>1.1740999999999999</v>
      </c>
      <c r="AA24" s="2410">
        <f>ROUND(SUMPRODUCT(PRODUCT(1+P24:P$34)),4)</f>
        <v>1.3087</v>
      </c>
      <c r="AB24" s="2410">
        <f>ROUND(SUMPRODUCT(PRODUCT(1+Q24:Q$34)),4)</f>
        <v>1.1551</v>
      </c>
      <c r="AD24" s="2411">
        <f>ROUND(AVERAGE(I24:I$35)/100,4)</f>
        <v>2.3E-2</v>
      </c>
      <c r="AE24" s="2411">
        <f>ROUND(AVERAGE(J24:J$35)/100,4)</f>
        <v>1.55E-2</v>
      </c>
      <c r="AF24" s="2411">
        <f t="shared" si="0"/>
        <v>1.55E-2</v>
      </c>
      <c r="AG24" s="2411">
        <f>ROUND(AVERAGE(K24:K$35)/100,4)</f>
        <v>2.5600000000000001E-2</v>
      </c>
      <c r="AH24" s="2411">
        <f>ROUND(AVERAGE(L24:L$35)/100,4)</f>
        <v>1.32E-2</v>
      </c>
    </row>
    <row r="25" spans="1:34">
      <c r="A25" s="2423" t="s">
        <v>153</v>
      </c>
      <c r="B25" s="2424">
        <f t="shared" ref="B25:C27" si="17">B24/(1+N24)</f>
        <v>374.90436113236416</v>
      </c>
      <c r="C25" s="2424">
        <f t="shared" si="17"/>
        <v>295.64366128242779</v>
      </c>
      <c r="D25" s="2424">
        <f t="shared" ref="D25:D84" si="18">C25</f>
        <v>295.64366128242779</v>
      </c>
      <c r="E25" s="2424">
        <f t="shared" ref="E25:F27" si="19">E24/(1+P24)</f>
        <v>525.06646410938095</v>
      </c>
      <c r="F25" s="2424">
        <f t="shared" si="19"/>
        <v>261.88835286009646</v>
      </c>
      <c r="G25" s="3945"/>
      <c r="H25" s="2425">
        <v>3</v>
      </c>
      <c r="I25" s="2425">
        <v>4.12</v>
      </c>
      <c r="J25" s="2425">
        <v>2</v>
      </c>
      <c r="K25" s="2425">
        <v>4.79</v>
      </c>
      <c r="L25" s="2431">
        <v>1.97</v>
      </c>
      <c r="N25" s="2426">
        <f t="shared" ref="N25:Q59" si="20">I25/100</f>
        <v>4.1200000000000001E-2</v>
      </c>
      <c r="O25" s="2411">
        <f t="shared" si="16"/>
        <v>0.02</v>
      </c>
      <c r="P25" s="2411">
        <f t="shared" si="16"/>
        <v>4.7899999999999998E-2</v>
      </c>
      <c r="Q25" s="2411">
        <f t="shared" si="16"/>
        <v>1.9699999999999999E-2</v>
      </c>
      <c r="R25" s="2427"/>
      <c r="S25" s="2426"/>
      <c r="T25" s="2411"/>
      <c r="U25" s="2411"/>
      <c r="V25" s="2411"/>
      <c r="X25" s="2410">
        <f>ROUND(SUMPRODUCT(PRODUCT(1+N25:N$34)),4)</f>
        <v>1.2184999999999999</v>
      </c>
      <c r="Y25" s="2410">
        <f>ROUND(SUMPRODUCT(PRODUCT(1+O25:O$34)),4)</f>
        <v>1.1494</v>
      </c>
      <c r="Z25" s="2410">
        <f t="shared" si="7"/>
        <v>1.1494</v>
      </c>
      <c r="AA25" s="2410">
        <f>ROUND(SUMPRODUCT(PRODUCT(1+P25:P$34)),4)</f>
        <v>1.2425999999999999</v>
      </c>
      <c r="AB25" s="2410">
        <f>ROUND(SUMPRODUCT(PRODUCT(1+Q25:Q$34)),4)</f>
        <v>1.1372</v>
      </c>
      <c r="AD25" s="2411">
        <f>ROUND(AVERAGE(I25:I$35)/100,4)</f>
        <v>2.0899999999999998E-2</v>
      </c>
      <c r="AE25" s="2411">
        <f>ROUND(AVERAGE(J25:J$35)/100,4)</f>
        <v>1.49E-2</v>
      </c>
      <c r="AF25" s="2411">
        <f t="shared" si="0"/>
        <v>1.49E-2</v>
      </c>
      <c r="AG25" s="2411">
        <f>ROUND(AVERAGE(K25:K$35)/100,4)</f>
        <v>2.3099999999999999E-2</v>
      </c>
      <c r="AH25" s="2411">
        <f>ROUND(AVERAGE(L25:L$35)/100,4)</f>
        <v>1.2999999999999999E-2</v>
      </c>
    </row>
    <row r="26" spans="1:34">
      <c r="A26" s="2423" t="s">
        <v>143</v>
      </c>
      <c r="B26" s="2424">
        <f t="shared" si="17"/>
        <v>360.06949782209392</v>
      </c>
      <c r="C26" s="2424">
        <f t="shared" si="17"/>
        <v>289.84672674747821</v>
      </c>
      <c r="D26" s="2424">
        <f t="shared" si="18"/>
        <v>289.84672674747821</v>
      </c>
      <c r="E26" s="2424">
        <f t="shared" si="19"/>
        <v>501.06543001181495</v>
      </c>
      <c r="F26" s="2424">
        <f t="shared" si="19"/>
        <v>256.82882500744967</v>
      </c>
      <c r="G26" s="3945"/>
      <c r="H26" s="2436">
        <v>2</v>
      </c>
      <c r="I26" s="2436">
        <v>3.85</v>
      </c>
      <c r="J26" s="2436">
        <v>1.95</v>
      </c>
      <c r="K26" s="2436">
        <v>4.4800000000000004</v>
      </c>
      <c r="L26" s="2437">
        <v>1.41</v>
      </c>
      <c r="N26" s="2426">
        <f t="shared" si="20"/>
        <v>3.85E-2</v>
      </c>
      <c r="O26" s="2411">
        <f t="shared" si="16"/>
        <v>1.95E-2</v>
      </c>
      <c r="P26" s="2411">
        <f t="shared" si="16"/>
        <v>4.4800000000000006E-2</v>
      </c>
      <c r="Q26" s="2411">
        <f t="shared" si="16"/>
        <v>1.41E-2</v>
      </c>
      <c r="R26" s="2427"/>
      <c r="S26" s="2426"/>
      <c r="T26" s="2411"/>
      <c r="U26" s="2411"/>
      <c r="V26" s="2411"/>
      <c r="X26" s="2410">
        <f>ROUND(SUMPRODUCT(PRODUCT(1+N26:N$34)),4)</f>
        <v>1.1702999999999999</v>
      </c>
      <c r="Y26" s="2410">
        <f>ROUND(SUMPRODUCT(PRODUCT(1+O26:O$34)),4)</f>
        <v>1.1269</v>
      </c>
      <c r="Z26" s="2410">
        <f t="shared" si="7"/>
        <v>1.1269</v>
      </c>
      <c r="AA26" s="2410">
        <f>ROUND(SUMPRODUCT(PRODUCT(1+P26:P$34)),4)</f>
        <v>1.1858</v>
      </c>
      <c r="AB26" s="2410">
        <f>ROUND(SUMPRODUCT(PRODUCT(1+Q26:Q$34)),4)</f>
        <v>1.1152</v>
      </c>
      <c r="AD26" s="2411">
        <f>ROUND(AVERAGE(I26:I$35)/100,4)</f>
        <v>1.89E-2</v>
      </c>
      <c r="AE26" s="2411">
        <f>ROUND(AVERAGE(J26:J$35)/100,4)</f>
        <v>1.44E-2</v>
      </c>
      <c r="AF26" s="2411">
        <f t="shared" si="0"/>
        <v>1.44E-2</v>
      </c>
      <c r="AG26" s="2411">
        <f>ROUND(AVERAGE(K26:K$35)/100,4)</f>
        <v>2.06E-2</v>
      </c>
      <c r="AH26" s="2411">
        <f>ROUND(AVERAGE(L26:L$35)/100,4)</f>
        <v>1.23E-2</v>
      </c>
    </row>
    <row r="27" spans="1:34" ht="13.5" thickBot="1">
      <c r="A27" s="2423" t="s">
        <v>152</v>
      </c>
      <c r="B27" s="2424">
        <f t="shared" si="17"/>
        <v>346.720748986128</v>
      </c>
      <c r="C27" s="2424">
        <f t="shared" si="17"/>
        <v>284.30282172386285</v>
      </c>
      <c r="D27" s="2424">
        <f t="shared" si="18"/>
        <v>284.30282172386285</v>
      </c>
      <c r="E27" s="2424">
        <f t="shared" si="19"/>
        <v>479.58023546306947</v>
      </c>
      <c r="F27" s="2424">
        <f t="shared" si="19"/>
        <v>253.25788877571213</v>
      </c>
      <c r="G27" s="3946"/>
      <c r="H27" s="2425">
        <v>1</v>
      </c>
      <c r="I27" s="2425">
        <v>4.09</v>
      </c>
      <c r="J27" s="2425">
        <v>2.93</v>
      </c>
      <c r="K27" s="2425">
        <v>4.54</v>
      </c>
      <c r="L27" s="2431">
        <v>1.48</v>
      </c>
      <c r="N27" s="2426">
        <f t="shared" si="20"/>
        <v>4.0899999999999999E-2</v>
      </c>
      <c r="O27" s="2411">
        <f t="shared" si="16"/>
        <v>2.9300000000000003E-2</v>
      </c>
      <c r="P27" s="2411">
        <f t="shared" si="16"/>
        <v>4.5400000000000003E-2</v>
      </c>
      <c r="Q27" s="2411">
        <f t="shared" si="16"/>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7"/>
        <v>1.1052999999999999</v>
      </c>
      <c r="AA27" s="2410">
        <f>ROUND(SUMPRODUCT(PRODUCT(1+P27:P$34)),4)</f>
        <v>1.1349</v>
      </c>
      <c r="AB27" s="2410">
        <f>ROUND(SUMPRODUCT(PRODUCT(1+Q27:Q$34)),4)</f>
        <v>1.0996999999999999</v>
      </c>
      <c r="AD27" s="2411">
        <f>ROUND(AVERAGE(I27:I$35)/100,4)</f>
        <v>1.67E-2</v>
      </c>
      <c r="AE27" s="2411">
        <f>ROUND(AVERAGE(J27:J$35)/100,4)</f>
        <v>1.38E-2</v>
      </c>
      <c r="AF27" s="2411">
        <f t="shared" si="0"/>
        <v>1.38E-2</v>
      </c>
      <c r="AG27" s="2411">
        <f>ROUND(AVERAGE(K27:K$35)/100,4)</f>
        <v>1.7899999999999999E-2</v>
      </c>
      <c r="AH27" s="2411">
        <f>ROUND(AVERAGE(L27:L$35)/100,4)</f>
        <v>1.21E-2</v>
      </c>
    </row>
    <row r="28" spans="1:34" ht="13.5" thickBot="1">
      <c r="A28" s="2423" t="s">
        <v>151</v>
      </c>
      <c r="B28" s="2438">
        <v>333</v>
      </c>
      <c r="C28" s="2438">
        <v>277</v>
      </c>
      <c r="D28" s="2438">
        <f t="shared" si="18"/>
        <v>277</v>
      </c>
      <c r="E28" s="2438">
        <v>459</v>
      </c>
      <c r="F28" s="2439">
        <v>249</v>
      </c>
      <c r="G28" s="3944">
        <v>2015</v>
      </c>
      <c r="H28" s="2444">
        <v>4</v>
      </c>
      <c r="I28" s="2444">
        <v>1.63</v>
      </c>
      <c r="J28" s="2444">
        <v>1.1100000000000001</v>
      </c>
      <c r="K28" s="2444">
        <v>1.77</v>
      </c>
      <c r="L28" s="2445">
        <v>1.89</v>
      </c>
      <c r="N28" s="2446">
        <f t="shared" si="20"/>
        <v>1.6299999999999999E-2</v>
      </c>
      <c r="O28" s="2447">
        <f t="shared" si="16"/>
        <v>1.11E-2</v>
      </c>
      <c r="P28" s="2447">
        <f t="shared" si="16"/>
        <v>1.77E-2</v>
      </c>
      <c r="Q28" s="2447">
        <f t="shared" si="16"/>
        <v>1.89E-2</v>
      </c>
      <c r="R28" s="2427"/>
      <c r="X28" s="2410">
        <f>ROUND(SUMPRODUCT(PRODUCT(1+N28:N$34)),4)</f>
        <v>1.0826</v>
      </c>
      <c r="Y28" s="2410">
        <f>ROUND(SUMPRODUCT(PRODUCT(1+O28:O$34)),4)</f>
        <v>1.0738000000000001</v>
      </c>
      <c r="Z28" s="2410">
        <f t="shared" si="7"/>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0"/>
        <v>1.1900000000000001E-2</v>
      </c>
      <c r="AG28" s="2411">
        <f>ROUND(AVERAGE(K28:K$35)/100,4)</f>
        <v>1.4500000000000001E-2</v>
      </c>
      <c r="AH28" s="2411">
        <f>ROUND(AVERAGE(L28:L$35)/100,4)</f>
        <v>1.18E-2</v>
      </c>
    </row>
    <row r="29" spans="1:34">
      <c r="A29" s="2423" t="s">
        <v>150</v>
      </c>
      <c r="B29" s="2424">
        <f t="shared" ref="B29:C31" si="21">B28/(1+N28)</f>
        <v>327.65915576109415</v>
      </c>
      <c r="C29" s="2424">
        <f t="shared" si="21"/>
        <v>273.95905449510434</v>
      </c>
      <c r="D29" s="2424">
        <f t="shared" si="18"/>
        <v>273.95905449510434</v>
      </c>
      <c r="E29" s="2424">
        <f t="shared" ref="E29:F31" si="22">E28/(1+P28)</f>
        <v>451.01699911565294</v>
      </c>
      <c r="F29" s="2424">
        <f t="shared" si="22"/>
        <v>244.38119540681129</v>
      </c>
      <c r="G29" s="3945"/>
      <c r="H29" s="2449">
        <v>3</v>
      </c>
      <c r="I29" s="2449">
        <v>1.65</v>
      </c>
      <c r="J29" s="2449">
        <v>0.92</v>
      </c>
      <c r="K29" s="2449">
        <v>1.88</v>
      </c>
      <c r="L29" s="2450">
        <v>1.26</v>
      </c>
      <c r="N29" s="2426">
        <f t="shared" si="20"/>
        <v>1.6500000000000001E-2</v>
      </c>
      <c r="O29" s="2451">
        <f t="shared" si="16"/>
        <v>9.1999999999999998E-3</v>
      </c>
      <c r="P29" s="2451">
        <f t="shared" si="16"/>
        <v>1.8799999999999997E-2</v>
      </c>
      <c r="Q29" s="2451">
        <f t="shared" si="16"/>
        <v>1.26E-2</v>
      </c>
      <c r="R29" s="2427"/>
      <c r="S29" s="2426"/>
      <c r="T29" s="2411"/>
      <c r="U29" s="2411"/>
      <c r="V29" s="2411"/>
      <c r="X29" s="2410">
        <f>ROUND(SUMPRODUCT(PRODUCT(1+N29:N$34)),4)</f>
        <v>1.0651999999999999</v>
      </c>
      <c r="Y29" s="2410">
        <f>ROUND(SUMPRODUCT(PRODUCT(1+O29:O$34)),4)</f>
        <v>1.0621</v>
      </c>
      <c r="Z29" s="2410">
        <f t="shared" si="7"/>
        <v>1.0621</v>
      </c>
      <c r="AA29" s="2410">
        <f>ROUND(SUMPRODUCT(PRODUCT(1+P29:P$34)),4)</f>
        <v>1.0668</v>
      </c>
      <c r="AB29" s="2410">
        <f>ROUND(SUMPRODUCT(PRODUCT(1+Q29:Q$34)),4)</f>
        <v>1.0636000000000001</v>
      </c>
      <c r="AD29" s="2411">
        <f>ROUND(AVERAGE(I29:I$35)/100,4)</f>
        <v>1.3299999999999999E-2</v>
      </c>
      <c r="AE29" s="2411">
        <f>ROUND(AVERAGE(J29:J$35)/100,4)</f>
        <v>1.2E-2</v>
      </c>
      <c r="AF29" s="2411">
        <f t="shared" si="0"/>
        <v>1.2E-2</v>
      </c>
      <c r="AG29" s="2411">
        <f>ROUND(AVERAGE(K29:K$35)/100,4)</f>
        <v>1.4E-2</v>
      </c>
      <c r="AH29" s="2411">
        <f>ROUND(AVERAGE(L29:L$35)/100,4)</f>
        <v>1.0800000000000001E-2</v>
      </c>
    </row>
    <row r="30" spans="1:34">
      <c r="A30" s="2423" t="s">
        <v>149</v>
      </c>
      <c r="B30" s="2424">
        <f t="shared" si="21"/>
        <v>322.34053690220776</v>
      </c>
      <c r="C30" s="2424">
        <f t="shared" si="21"/>
        <v>271.46160770422546</v>
      </c>
      <c r="D30" s="2424">
        <f t="shared" si="18"/>
        <v>271.46160770422546</v>
      </c>
      <c r="E30" s="2424">
        <f t="shared" si="22"/>
        <v>442.69434542172456</v>
      </c>
      <c r="F30" s="2424">
        <f t="shared" si="22"/>
        <v>241.34030753190925</v>
      </c>
      <c r="G30" s="3945"/>
      <c r="H30" s="2436">
        <v>2</v>
      </c>
      <c r="I30" s="2436">
        <v>0.77</v>
      </c>
      <c r="J30" s="2436">
        <v>0.69</v>
      </c>
      <c r="K30" s="2436">
        <v>0.8</v>
      </c>
      <c r="L30" s="2437">
        <v>0.88</v>
      </c>
      <c r="N30" s="2426">
        <f t="shared" si="20"/>
        <v>7.7000000000000002E-3</v>
      </c>
      <c r="O30" s="2451">
        <f t="shared" si="16"/>
        <v>6.8999999999999999E-3</v>
      </c>
      <c r="P30" s="2451">
        <f t="shared" si="16"/>
        <v>8.0000000000000002E-3</v>
      </c>
      <c r="Q30" s="2451">
        <f t="shared" si="16"/>
        <v>8.8000000000000005E-3</v>
      </c>
      <c r="R30" s="2427"/>
      <c r="S30" s="2426"/>
      <c r="T30" s="2411"/>
      <c r="U30" s="2411"/>
      <c r="V30" s="2411"/>
      <c r="X30" s="2410">
        <f>ROUND(SUMPRODUCT(PRODUCT(1+N30:N$34)),4)</f>
        <v>1.048</v>
      </c>
      <c r="Y30" s="2410">
        <f>ROUND(SUMPRODUCT(PRODUCT(1+O30:O$34)),4)</f>
        <v>1.0524</v>
      </c>
      <c r="Z30" s="2410">
        <f t="shared" si="7"/>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0"/>
        <v>1.2500000000000001E-2</v>
      </c>
      <c r="AG30" s="2411">
        <f>ROUND(AVERAGE(K30:K$35)/100,4)</f>
        <v>1.32E-2</v>
      </c>
      <c r="AH30" s="2411">
        <f>ROUND(AVERAGE(L30:L$35)/100,4)</f>
        <v>1.0500000000000001E-2</v>
      </c>
    </row>
    <row r="31" spans="1:34">
      <c r="A31" s="2423" t="s">
        <v>148</v>
      </c>
      <c r="B31" s="2424">
        <f t="shared" si="21"/>
        <v>319.87748030386797</v>
      </c>
      <c r="C31" s="2424">
        <f t="shared" si="21"/>
        <v>269.60135833173649</v>
      </c>
      <c r="D31" s="2424">
        <f t="shared" si="18"/>
        <v>269.60135833173649</v>
      </c>
      <c r="E31" s="2424">
        <f t="shared" si="22"/>
        <v>439.18089823583784</v>
      </c>
      <c r="F31" s="2424">
        <f t="shared" si="22"/>
        <v>239.23503918706311</v>
      </c>
      <c r="G31" s="3946"/>
      <c r="H31" s="2425">
        <v>1</v>
      </c>
      <c r="I31" s="2425">
        <v>0.51</v>
      </c>
      <c r="J31" s="2425">
        <v>0.54</v>
      </c>
      <c r="K31" s="2425">
        <v>0.48</v>
      </c>
      <c r="L31" s="2431">
        <v>0.93</v>
      </c>
      <c r="N31" s="2442">
        <f t="shared" si="20"/>
        <v>5.1000000000000004E-3</v>
      </c>
      <c r="O31" s="2443">
        <f t="shared" si="16"/>
        <v>5.4000000000000003E-3</v>
      </c>
      <c r="P31" s="2443">
        <f t="shared" si="16"/>
        <v>4.7999999999999996E-3</v>
      </c>
      <c r="Q31" s="2443">
        <f t="shared" si="16"/>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7"/>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0"/>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8"/>
        <v>268</v>
      </c>
      <c r="E32" s="2452">
        <v>437</v>
      </c>
      <c r="F32" s="2453">
        <v>237</v>
      </c>
      <c r="G32" s="3944">
        <v>2014</v>
      </c>
      <c r="H32" s="2444">
        <v>4</v>
      </c>
      <c r="I32" s="2444">
        <v>0.21</v>
      </c>
      <c r="J32" s="2444">
        <v>0.41</v>
      </c>
      <c r="K32" s="2444">
        <v>0.12</v>
      </c>
      <c r="L32" s="2445">
        <v>0.89</v>
      </c>
      <c r="N32" s="2426">
        <f t="shared" si="20"/>
        <v>2.0999999999999999E-3</v>
      </c>
      <c r="O32" s="2411">
        <f t="shared" si="16"/>
        <v>4.0999999999999995E-3</v>
      </c>
      <c r="P32" s="2411">
        <f t="shared" si="16"/>
        <v>1.1999999999999999E-3</v>
      </c>
      <c r="Q32" s="2411">
        <f t="shared" si="16"/>
        <v>8.8999999999999999E-3</v>
      </c>
      <c r="R32" s="2427"/>
      <c r="S32" s="2440"/>
      <c r="T32" s="2441"/>
      <c r="U32" s="2441"/>
      <c r="V32" s="2441"/>
      <c r="X32" s="2410">
        <f>ROUND(SUMPRODUCT(PRODUCT(1+N32:N$34)),4)</f>
        <v>1.0347</v>
      </c>
      <c r="Y32" s="2410">
        <f>ROUND(SUMPRODUCT(PRODUCT(1+O32:O$34)),4)</f>
        <v>1.0395000000000001</v>
      </c>
      <c r="Z32" s="2410">
        <f t="shared" si="7"/>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0"/>
        <v>1.5599999999999999E-2</v>
      </c>
      <c r="AG32" s="2411">
        <f>ROUND(AVERAGE(K32:K$35)/100,4)</f>
        <v>1.66E-2</v>
      </c>
      <c r="AH32" s="2411">
        <f>ROUND(AVERAGE(L32:L$35)/100,4)</f>
        <v>1.12E-2</v>
      </c>
    </row>
    <row r="33" spans="1:34">
      <c r="A33" s="2423" t="s">
        <v>146</v>
      </c>
      <c r="B33" s="2424">
        <f t="shared" ref="B33:C35" si="23">B32/(1+N32)</f>
        <v>317.33359944117353</v>
      </c>
      <c r="C33" s="2424">
        <f t="shared" si="23"/>
        <v>266.90568668459315</v>
      </c>
      <c r="D33" s="2424">
        <f t="shared" si="18"/>
        <v>266.90568668459315</v>
      </c>
      <c r="E33" s="2424">
        <f t="shared" ref="E33:F35" si="24">E32/(1+P32)</f>
        <v>436.47622852576905</v>
      </c>
      <c r="F33" s="2424">
        <f t="shared" si="24"/>
        <v>234.90930716622066</v>
      </c>
      <c r="G33" s="3945"/>
      <c r="H33" s="2454">
        <v>3</v>
      </c>
      <c r="I33" s="2454">
        <v>0.83</v>
      </c>
      <c r="J33" s="2454">
        <v>1.47</v>
      </c>
      <c r="K33" s="2454">
        <v>0.65</v>
      </c>
      <c r="L33" s="2455">
        <v>0.72</v>
      </c>
      <c r="N33" s="2426">
        <f t="shared" si="20"/>
        <v>8.3000000000000001E-3</v>
      </c>
      <c r="O33" s="2411">
        <f t="shared" si="16"/>
        <v>1.47E-2</v>
      </c>
      <c r="P33" s="2411">
        <f t="shared" si="16"/>
        <v>6.5000000000000006E-3</v>
      </c>
      <c r="Q33" s="2411">
        <f t="shared" si="16"/>
        <v>7.1999999999999998E-3</v>
      </c>
      <c r="R33" s="2427"/>
      <c r="S33" s="2426"/>
      <c r="T33" s="2411"/>
      <c r="U33" s="2411"/>
      <c r="V33" s="2411"/>
      <c r="X33" s="2410">
        <f>ROUND(SUMPRODUCT(PRODUCT(1+N33:N$34)),4)</f>
        <v>1.0325</v>
      </c>
      <c r="Y33" s="2410">
        <f>ROUND(SUMPRODUCT(PRODUCT(1+O33:O$34)),4)</f>
        <v>1.0353000000000001</v>
      </c>
      <c r="Z33" s="2410">
        <f t="shared" si="7"/>
        <v>1.0353000000000001</v>
      </c>
      <c r="AA33" s="2410">
        <f>ROUND(SUMPRODUCT(PRODUCT(1+P33:P$34)),4)</f>
        <v>1.0326</v>
      </c>
      <c r="AB33" s="2410">
        <f>ROUND(SUMPRODUCT(PRODUCT(1+Q33:Q$34)),4)</f>
        <v>1.0225</v>
      </c>
      <c r="AD33" s="2411">
        <f>ROUND(AVERAGE(I33:I$35)/100,4)</f>
        <v>2.07E-2</v>
      </c>
      <c r="AE33" s="2411">
        <f>ROUND(AVERAGE(J33:J$35)/100,4)</f>
        <v>1.95E-2</v>
      </c>
      <c r="AF33" s="2411">
        <f t="shared" si="0"/>
        <v>1.95E-2</v>
      </c>
      <c r="AG33" s="2411">
        <f>ROUND(AVERAGE(K33:K$35)/100,4)</f>
        <v>2.1700000000000001E-2</v>
      </c>
      <c r="AH33" s="2411">
        <f>ROUND(AVERAGE(L33:L$35)/100,4)</f>
        <v>1.2E-2</v>
      </c>
    </row>
    <row r="34" spans="1:34" ht="13.5" thickBot="1">
      <c r="A34" s="2423" t="s">
        <v>145</v>
      </c>
      <c r="B34" s="2424">
        <f t="shared" si="23"/>
        <v>314.72141172386546</v>
      </c>
      <c r="C34" s="2424">
        <f t="shared" si="23"/>
        <v>263.03901319069001</v>
      </c>
      <c r="D34" s="2424">
        <f t="shared" si="18"/>
        <v>263.03901319069001</v>
      </c>
      <c r="E34" s="2424">
        <f t="shared" si="24"/>
        <v>433.65745506782821</v>
      </c>
      <c r="F34" s="2424">
        <f t="shared" si="24"/>
        <v>233.23005080045735</v>
      </c>
      <c r="G34" s="3945"/>
      <c r="H34" s="2444">
        <v>2</v>
      </c>
      <c r="I34" s="2444">
        <v>2.4</v>
      </c>
      <c r="J34" s="2444">
        <v>2.0299999999999998</v>
      </c>
      <c r="K34" s="2444">
        <v>2.59</v>
      </c>
      <c r="L34" s="2445">
        <v>1.52</v>
      </c>
      <c r="N34" s="2426">
        <f t="shared" si="20"/>
        <v>2.4E-2</v>
      </c>
      <c r="O34" s="2411">
        <f t="shared" si="16"/>
        <v>2.0299999999999999E-2</v>
      </c>
      <c r="P34" s="2411">
        <f t="shared" si="16"/>
        <v>2.5899999999999999E-2</v>
      </c>
      <c r="Q34" s="2411">
        <f t="shared" si="16"/>
        <v>1.52E-2</v>
      </c>
      <c r="R34" s="2427"/>
      <c r="S34" s="2426"/>
      <c r="T34" s="2411"/>
      <c r="U34" s="2411"/>
      <c r="V34" s="2411"/>
      <c r="X34" s="2410">
        <f>1+N34</f>
        <v>1.024</v>
      </c>
      <c r="Y34" s="2410">
        <f>1+O34</f>
        <v>1.0203</v>
      </c>
      <c r="Z34" s="2410">
        <f t="shared" si="7"/>
        <v>1.0203</v>
      </c>
      <c r="AA34" s="2410">
        <f>1+P34</f>
        <v>1.0259</v>
      </c>
      <c r="AB34" s="2410">
        <f>1+Q34</f>
        <v>1.0152000000000001</v>
      </c>
      <c r="AD34" s="2411">
        <f>ROUND(AVERAGE(I34:I$35)/100,4)</f>
        <v>2.69E-2</v>
      </c>
      <c r="AE34" s="2411">
        <f>ROUND(AVERAGE(J34:J$35)/100,4)</f>
        <v>2.1899999999999999E-2</v>
      </c>
      <c r="AF34" s="2411">
        <f>AE34</f>
        <v>2.1899999999999999E-2</v>
      </c>
      <c r="AG34" s="2411">
        <f>ROUND(AVERAGE(K34:K$35)/100,4)</f>
        <v>2.9399999999999999E-2</v>
      </c>
      <c r="AH34" s="2411">
        <f>ROUND(AVERAGE(L34:L$35)/100,4)</f>
        <v>1.44E-2</v>
      </c>
    </row>
    <row r="35" spans="1:34" s="2460" customFormat="1" ht="13.5" thickBot="1">
      <c r="A35" s="2456" t="s">
        <v>144</v>
      </c>
      <c r="B35" s="2457">
        <f t="shared" si="23"/>
        <v>307.34512863658733</v>
      </c>
      <c r="C35" s="2457">
        <f t="shared" si="23"/>
        <v>257.80556031626975</v>
      </c>
      <c r="D35" s="2457">
        <f t="shared" si="18"/>
        <v>257.80556031626975</v>
      </c>
      <c r="E35" s="2457">
        <f t="shared" si="24"/>
        <v>422.70928459677179</v>
      </c>
      <c r="F35" s="2457">
        <f t="shared" si="24"/>
        <v>229.73803270336617</v>
      </c>
      <c r="G35" s="3946"/>
      <c r="H35" s="2458">
        <v>1</v>
      </c>
      <c r="I35" s="2458">
        <v>2.97</v>
      </c>
      <c r="J35" s="2458">
        <v>2.34</v>
      </c>
      <c r="K35" s="2458">
        <v>3.28</v>
      </c>
      <c r="L35" s="2459">
        <v>1.36</v>
      </c>
      <c r="N35" s="2461">
        <f t="shared" si="20"/>
        <v>2.9700000000000001E-2</v>
      </c>
      <c r="O35" s="2462">
        <f t="shared" si="16"/>
        <v>2.3399999999999997E-2</v>
      </c>
      <c r="P35" s="2462">
        <f t="shared" si="16"/>
        <v>3.2799999999999996E-2</v>
      </c>
      <c r="Q35" s="2462">
        <f t="shared" si="16"/>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8"/>
        <v>252</v>
      </c>
      <c r="E36" s="2438">
        <v>409</v>
      </c>
      <c r="F36" s="2439">
        <v>227</v>
      </c>
      <c r="G36" s="3951">
        <v>2013</v>
      </c>
      <c r="H36" s="2468">
        <v>4</v>
      </c>
      <c r="I36" s="2468">
        <v>1.83</v>
      </c>
      <c r="J36" s="2468">
        <v>1.68</v>
      </c>
      <c r="K36" s="2468">
        <v>1.97</v>
      </c>
      <c r="L36" s="2469">
        <v>0.87</v>
      </c>
      <c r="N36" s="2446">
        <f t="shared" si="20"/>
        <v>1.83E-2</v>
      </c>
      <c r="O36" s="2447">
        <f t="shared" si="16"/>
        <v>1.6799999999999999E-2</v>
      </c>
      <c r="P36" s="2447">
        <f t="shared" si="16"/>
        <v>1.9699999999999999E-2</v>
      </c>
      <c r="Q36" s="2447">
        <f t="shared" si="16"/>
        <v>8.6999999999999994E-3</v>
      </c>
      <c r="R36" s="2427"/>
      <c r="S36" s="2440"/>
      <c r="T36" s="2441"/>
      <c r="U36" s="2441"/>
      <c r="V36" s="2441"/>
      <c r="X36" s="2441"/>
      <c r="Y36" s="2441"/>
      <c r="Z36" s="2441"/>
    </row>
    <row r="37" spans="1:34">
      <c r="A37" s="2423" t="s">
        <v>1131</v>
      </c>
      <c r="B37" s="2424">
        <f t="shared" ref="B37:C39" si="25">B36/(1+N36)</f>
        <v>293.62663262299913</v>
      </c>
      <c r="C37" s="2424">
        <f t="shared" si="25"/>
        <v>247.83634933123525</v>
      </c>
      <c r="D37" s="2424">
        <f t="shared" si="18"/>
        <v>247.83634933123525</v>
      </c>
      <c r="E37" s="2424">
        <f t="shared" ref="E37:F39" si="26">E36/(1+P36)</f>
        <v>401.09836226341076</v>
      </c>
      <c r="F37" s="2424">
        <f t="shared" si="26"/>
        <v>225.04213343908003</v>
      </c>
      <c r="G37" s="3952"/>
      <c r="H37" s="2449">
        <v>3</v>
      </c>
      <c r="I37" s="2449">
        <v>1.86</v>
      </c>
      <c r="J37" s="2449">
        <v>1.72</v>
      </c>
      <c r="K37" s="2449">
        <v>1.98</v>
      </c>
      <c r="L37" s="2450">
        <v>0.88</v>
      </c>
      <c r="N37" s="2426">
        <f t="shared" si="20"/>
        <v>1.8600000000000002E-2</v>
      </c>
      <c r="O37" s="2451">
        <f t="shared" si="16"/>
        <v>1.72E-2</v>
      </c>
      <c r="P37" s="2451">
        <f t="shared" si="16"/>
        <v>1.9799999999999998E-2</v>
      </c>
      <c r="Q37" s="2451">
        <f t="shared" si="16"/>
        <v>8.8000000000000005E-3</v>
      </c>
      <c r="R37" s="2427"/>
      <c r="S37" s="2426"/>
      <c r="T37" s="2411"/>
      <c r="U37" s="2411"/>
      <c r="V37" s="2411"/>
    </row>
    <row r="38" spans="1:34">
      <c r="A38" s="2423" t="s">
        <v>1132</v>
      </c>
      <c r="B38" s="2424">
        <f t="shared" si="25"/>
        <v>288.2649053828776</v>
      </c>
      <c r="C38" s="2424">
        <f t="shared" si="25"/>
        <v>243.64564425013293</v>
      </c>
      <c r="D38" s="2424">
        <f t="shared" si="18"/>
        <v>243.64564425013293</v>
      </c>
      <c r="E38" s="2424">
        <f t="shared" si="26"/>
        <v>393.31080825986544</v>
      </c>
      <c r="F38" s="2424">
        <f t="shared" si="26"/>
        <v>223.07903790551154</v>
      </c>
      <c r="G38" s="3952"/>
      <c r="H38" s="2436">
        <v>2</v>
      </c>
      <c r="I38" s="2436">
        <v>2.04</v>
      </c>
      <c r="J38" s="2436">
        <v>2.33</v>
      </c>
      <c r="K38" s="2436">
        <v>2.0699999999999998</v>
      </c>
      <c r="L38" s="2437">
        <v>0.69</v>
      </c>
      <c r="N38" s="2426">
        <f t="shared" si="20"/>
        <v>2.0400000000000001E-2</v>
      </c>
      <c r="O38" s="2451">
        <f t="shared" si="16"/>
        <v>2.3300000000000001E-2</v>
      </c>
      <c r="P38" s="2451">
        <f t="shared" si="16"/>
        <v>2.07E-2</v>
      </c>
      <c r="Q38" s="2451">
        <f t="shared" si="16"/>
        <v>6.8999999999999999E-3</v>
      </c>
      <c r="R38" s="2427"/>
      <c r="S38" s="2426"/>
      <c r="T38" s="2411"/>
      <c r="U38" s="2411"/>
      <c r="V38" s="2411"/>
      <c r="X38" s="2470"/>
      <c r="Y38" s="2471"/>
    </row>
    <row r="39" spans="1:34">
      <c r="A39" s="2423" t="s">
        <v>1133</v>
      </c>
      <c r="B39" s="2424">
        <f t="shared" si="25"/>
        <v>282.50186729015837</v>
      </c>
      <c r="C39" s="2424">
        <f t="shared" si="25"/>
        <v>238.09796174155468</v>
      </c>
      <c r="D39" s="2424">
        <f t="shared" si="18"/>
        <v>238.09796174155468</v>
      </c>
      <c r="E39" s="2424">
        <f t="shared" si="26"/>
        <v>385.33438646014054</v>
      </c>
      <c r="F39" s="2424">
        <f t="shared" si="26"/>
        <v>221.55034055567739</v>
      </c>
      <c r="G39" s="3953"/>
      <c r="H39" s="2425">
        <v>1</v>
      </c>
      <c r="I39" s="2425">
        <v>1.67</v>
      </c>
      <c r="J39" s="2425">
        <v>1.31</v>
      </c>
      <c r="K39" s="2425">
        <v>1.85</v>
      </c>
      <c r="L39" s="2431">
        <v>0.96</v>
      </c>
      <c r="N39" s="2442">
        <f t="shared" si="20"/>
        <v>1.67E-2</v>
      </c>
      <c r="O39" s="2443">
        <f t="shared" si="20"/>
        <v>1.3100000000000001E-2</v>
      </c>
      <c r="P39" s="2443">
        <f t="shared" si="20"/>
        <v>1.8500000000000003E-2</v>
      </c>
      <c r="Q39" s="2443">
        <f t="shared" si="20"/>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8"/>
        <v>234</v>
      </c>
      <c r="E40" s="2473">
        <v>379</v>
      </c>
      <c r="F40" s="2474">
        <v>220</v>
      </c>
      <c r="G40" s="3944">
        <v>2012</v>
      </c>
      <c r="H40" s="2444">
        <v>4</v>
      </c>
      <c r="I40" s="2444">
        <v>0.91</v>
      </c>
      <c r="J40" s="2444">
        <v>0.68</v>
      </c>
      <c r="K40" s="2444">
        <v>0.98</v>
      </c>
      <c r="L40" s="2445">
        <v>0.9</v>
      </c>
      <c r="N40" s="2426">
        <f t="shared" si="20"/>
        <v>9.1000000000000004E-3</v>
      </c>
      <c r="O40" s="2411">
        <f t="shared" si="20"/>
        <v>6.8000000000000005E-3</v>
      </c>
      <c r="P40" s="2411">
        <f t="shared" si="20"/>
        <v>9.7999999999999997E-3</v>
      </c>
      <c r="Q40" s="2411">
        <f t="shared" si="20"/>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8"/>
        <v>232.41954707985698</v>
      </c>
      <c r="E41" s="2424">
        <f t="shared" ref="E41:F43" si="27">E40/(1+P40)</f>
        <v>375.32184591008121</v>
      </c>
      <c r="F41" s="2424">
        <f t="shared" si="27"/>
        <v>218.03766105054513</v>
      </c>
      <c r="G41" s="3945"/>
      <c r="H41" s="2449">
        <v>3</v>
      </c>
      <c r="I41" s="2449">
        <v>0.09</v>
      </c>
      <c r="J41" s="2449">
        <v>0.28999999999999998</v>
      </c>
      <c r="K41" s="2449">
        <v>-0.01</v>
      </c>
      <c r="L41" s="2450">
        <v>0.57999999999999996</v>
      </c>
      <c r="N41" s="2426">
        <f t="shared" si="20"/>
        <v>8.9999999999999998E-4</v>
      </c>
      <c r="O41" s="2411">
        <f t="shared" si="20"/>
        <v>2.8999999999999998E-3</v>
      </c>
      <c r="P41" s="2411">
        <f t="shared" si="20"/>
        <v>-1E-4</v>
      </c>
      <c r="Q41" s="2411">
        <f t="shared" si="20"/>
        <v>5.7999999999999996E-3</v>
      </c>
      <c r="R41" s="2427"/>
      <c r="S41" s="2426"/>
      <c r="T41" s="2411"/>
      <c r="U41" s="2411"/>
      <c r="V41" s="2411"/>
    </row>
    <row r="42" spans="1:34">
      <c r="A42" s="2423" t="s">
        <v>1136</v>
      </c>
      <c r="B42" s="2424">
        <f>B41/(1+N41)</f>
        <v>275.24529281292263</v>
      </c>
      <c r="C42" s="2424">
        <f>C41/(1+O41)</f>
        <v>231.74747938962707</v>
      </c>
      <c r="D42" s="2424">
        <f t="shared" si="18"/>
        <v>231.74747938962707</v>
      </c>
      <c r="E42" s="2424">
        <f t="shared" si="27"/>
        <v>375.35938184826603</v>
      </c>
      <c r="F42" s="2424">
        <f t="shared" si="27"/>
        <v>216.78033510692495</v>
      </c>
      <c r="G42" s="3945"/>
      <c r="H42" s="2436">
        <v>2</v>
      </c>
      <c r="I42" s="2436">
        <v>0.02</v>
      </c>
      <c r="J42" s="2436">
        <v>0.12</v>
      </c>
      <c r="K42" s="2436">
        <v>-0.08</v>
      </c>
      <c r="L42" s="2437">
        <v>1.24</v>
      </c>
      <c r="N42" s="2426">
        <f t="shared" si="20"/>
        <v>2.0000000000000001E-4</v>
      </c>
      <c r="O42" s="2411">
        <f t="shared" si="20"/>
        <v>1.1999999999999999E-3</v>
      </c>
      <c r="P42" s="2411">
        <f t="shared" si="20"/>
        <v>-8.0000000000000004E-4</v>
      </c>
      <c r="Q42" s="2411">
        <f t="shared" si="20"/>
        <v>1.24E-2</v>
      </c>
      <c r="R42" s="2427"/>
      <c r="S42" s="2426"/>
      <c r="T42" s="2411"/>
      <c r="U42" s="2411"/>
      <c r="V42" s="2411"/>
    </row>
    <row r="43" spans="1:34" ht="13.5" thickBot="1">
      <c r="A43" s="2423" t="s">
        <v>1137</v>
      </c>
      <c r="B43" s="2424">
        <f>B42/(1+N42)</f>
        <v>275.19025476197027</v>
      </c>
      <c r="C43" s="2475">
        <v>232</v>
      </c>
      <c r="D43" s="2475">
        <f t="shared" si="18"/>
        <v>232</v>
      </c>
      <c r="E43" s="2424">
        <f t="shared" si="27"/>
        <v>375.65990977608692</v>
      </c>
      <c r="F43" s="2424">
        <f t="shared" si="27"/>
        <v>214.12518283971252</v>
      </c>
      <c r="G43" s="3946"/>
      <c r="H43" s="2425">
        <v>1</v>
      </c>
      <c r="I43" s="2425">
        <v>0.02</v>
      </c>
      <c r="J43" s="2425">
        <v>0.13</v>
      </c>
      <c r="K43" s="2425">
        <v>-0.04</v>
      </c>
      <c r="L43" s="2431">
        <v>0.46</v>
      </c>
      <c r="N43" s="2426">
        <f t="shared" si="20"/>
        <v>2.0000000000000001E-4</v>
      </c>
      <c r="O43" s="2411">
        <f t="shared" si="20"/>
        <v>1.2999999999999999E-3</v>
      </c>
      <c r="P43" s="2411">
        <f t="shared" si="20"/>
        <v>-4.0000000000000002E-4</v>
      </c>
      <c r="Q43" s="2411">
        <f t="shared" si="20"/>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8"/>
        <v>232</v>
      </c>
      <c r="E44" s="2438">
        <v>376</v>
      </c>
      <c r="F44" s="2439">
        <v>213</v>
      </c>
      <c r="G44" s="3944">
        <v>2011</v>
      </c>
      <c r="H44" s="2444">
        <v>4</v>
      </c>
      <c r="I44" s="2444">
        <v>-0.2</v>
      </c>
      <c r="J44" s="2444">
        <v>0.04</v>
      </c>
      <c r="K44" s="2444">
        <v>-0.34</v>
      </c>
      <c r="L44" s="2445">
        <v>0.46</v>
      </c>
      <c r="N44" s="2446">
        <f t="shared" si="20"/>
        <v>-2E-3</v>
      </c>
      <c r="O44" s="2447">
        <f t="shared" si="20"/>
        <v>4.0000000000000002E-4</v>
      </c>
      <c r="P44" s="2447">
        <f t="shared" si="20"/>
        <v>-3.4000000000000002E-3</v>
      </c>
      <c r="Q44" s="2447">
        <f t="shared" si="20"/>
        <v>4.5999999999999999E-3</v>
      </c>
      <c r="R44" s="2427"/>
      <c r="S44" s="2440"/>
      <c r="T44" s="2441"/>
      <c r="U44" s="2441"/>
      <c r="V44" s="2441"/>
      <c r="X44" s="2441"/>
      <c r="Y44" s="2441"/>
      <c r="Z44" s="2441"/>
    </row>
    <row r="45" spans="1:34">
      <c r="A45" s="2423" t="s">
        <v>1139</v>
      </c>
      <c r="B45" s="2424">
        <f t="shared" ref="B45:C47" si="28">B44/(1+N44)</f>
        <v>275.55110220440883</v>
      </c>
      <c r="C45" s="2424">
        <f t="shared" si="28"/>
        <v>231.90723710515795</v>
      </c>
      <c r="D45" s="2424">
        <f t="shared" si="18"/>
        <v>231.90723710515795</v>
      </c>
      <c r="E45" s="2424">
        <f t="shared" ref="E45:F47" si="29">E44/(1+P44)</f>
        <v>377.28276138872161</v>
      </c>
      <c r="F45" s="2424">
        <f t="shared" si="29"/>
        <v>212.02468644236512</v>
      </c>
      <c r="G45" s="3945">
        <v>2011</v>
      </c>
      <c r="H45" s="2449">
        <v>3</v>
      </c>
      <c r="I45" s="2449">
        <v>0.13</v>
      </c>
      <c r="J45" s="2449">
        <v>0.75</v>
      </c>
      <c r="K45" s="2449">
        <v>-0.08</v>
      </c>
      <c r="L45" s="2450">
        <v>0.53</v>
      </c>
      <c r="N45" s="2426">
        <f t="shared" si="20"/>
        <v>1.2999999999999999E-3</v>
      </c>
      <c r="O45" s="2451">
        <f t="shared" si="20"/>
        <v>7.4999999999999997E-3</v>
      </c>
      <c r="P45" s="2451">
        <f t="shared" si="20"/>
        <v>-8.0000000000000004E-4</v>
      </c>
      <c r="Q45" s="2451">
        <f t="shared" si="20"/>
        <v>5.3E-3</v>
      </c>
      <c r="R45" s="2427"/>
      <c r="S45" s="2426"/>
      <c r="T45" s="2411"/>
      <c r="U45" s="2411"/>
      <c r="V45" s="2411"/>
    </row>
    <row r="46" spans="1:34">
      <c r="A46" s="2423" t="s">
        <v>1140</v>
      </c>
      <c r="B46" s="2424">
        <f t="shared" si="28"/>
        <v>275.19335084830601</v>
      </c>
      <c r="C46" s="2424">
        <f t="shared" si="28"/>
        <v>230.18088050139744</v>
      </c>
      <c r="D46" s="2424">
        <f t="shared" si="18"/>
        <v>230.18088050139744</v>
      </c>
      <c r="E46" s="2424">
        <f t="shared" si="29"/>
        <v>377.58482925212331</v>
      </c>
      <c r="F46" s="2424">
        <f t="shared" si="29"/>
        <v>210.90687997847917</v>
      </c>
      <c r="G46" s="3945">
        <v>2011</v>
      </c>
      <c r="H46" s="2436">
        <v>2</v>
      </c>
      <c r="I46" s="2436">
        <v>-0.4</v>
      </c>
      <c r="J46" s="2436">
        <v>0.17</v>
      </c>
      <c r="K46" s="2436">
        <v>-0.57999999999999996</v>
      </c>
      <c r="L46" s="2437">
        <v>-0.2</v>
      </c>
      <c r="N46" s="2426">
        <f t="shared" si="20"/>
        <v>-4.0000000000000001E-3</v>
      </c>
      <c r="O46" s="2451">
        <f t="shared" si="20"/>
        <v>1.7000000000000001E-3</v>
      </c>
      <c r="P46" s="2451">
        <f t="shared" si="20"/>
        <v>-5.7999999999999996E-3</v>
      </c>
      <c r="Q46" s="2451">
        <f t="shared" si="20"/>
        <v>-2E-3</v>
      </c>
      <c r="R46" s="2427"/>
      <c r="S46" s="2426"/>
      <c r="T46" s="2411"/>
      <c r="U46" s="2411"/>
      <c r="V46" s="2411"/>
    </row>
    <row r="47" spans="1:34" ht="13.5" thickBot="1">
      <c r="A47" s="2423" t="s">
        <v>1141</v>
      </c>
      <c r="B47" s="2424">
        <f t="shared" si="28"/>
        <v>276.29854502841971</v>
      </c>
      <c r="C47" s="2424">
        <f t="shared" si="28"/>
        <v>229.79023709833027</v>
      </c>
      <c r="D47" s="2424">
        <f t="shared" si="18"/>
        <v>229.79023709833027</v>
      </c>
      <c r="E47" s="2424">
        <f t="shared" si="29"/>
        <v>379.78759731655936</v>
      </c>
      <c r="F47" s="2424">
        <f t="shared" si="29"/>
        <v>211.32953905659235</v>
      </c>
      <c r="G47" s="3946">
        <v>2011</v>
      </c>
      <c r="H47" s="2425">
        <v>1</v>
      </c>
      <c r="I47" s="2425">
        <v>2.65</v>
      </c>
      <c r="J47" s="2425">
        <v>3.76</v>
      </c>
      <c r="K47" s="2425">
        <v>1.89</v>
      </c>
      <c r="L47" s="2431">
        <v>7.95</v>
      </c>
      <c r="N47" s="2442">
        <f t="shared" si="20"/>
        <v>2.6499999999999999E-2</v>
      </c>
      <c r="O47" s="2443">
        <f t="shared" si="20"/>
        <v>3.7599999999999995E-2</v>
      </c>
      <c r="P47" s="2443">
        <f t="shared" si="20"/>
        <v>1.89E-2</v>
      </c>
      <c r="Q47" s="2443">
        <f t="shared" si="20"/>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8"/>
        <v>221</v>
      </c>
      <c r="E48" s="2438">
        <v>373</v>
      </c>
      <c r="F48" s="2439">
        <v>196</v>
      </c>
      <c r="G48" s="3944">
        <v>2010</v>
      </c>
      <c r="H48" s="2444">
        <v>4</v>
      </c>
      <c r="I48" s="2444">
        <v>5.72</v>
      </c>
      <c r="J48" s="2444">
        <v>6.57</v>
      </c>
      <c r="K48" s="2444">
        <v>5.72</v>
      </c>
      <c r="L48" s="2445">
        <v>2.72</v>
      </c>
      <c r="N48" s="2426">
        <f t="shared" si="20"/>
        <v>5.7200000000000001E-2</v>
      </c>
      <c r="O48" s="2411">
        <f t="shared" si="20"/>
        <v>6.5700000000000008E-2</v>
      </c>
      <c r="P48" s="2411">
        <f t="shared" si="20"/>
        <v>5.7200000000000001E-2</v>
      </c>
      <c r="Q48" s="2411">
        <f t="shared" si="20"/>
        <v>2.7200000000000002E-2</v>
      </c>
      <c r="R48" s="2427"/>
      <c r="S48" s="2440"/>
      <c r="T48" s="2441"/>
      <c r="U48" s="2441"/>
      <c r="V48" s="2441"/>
      <c r="X48" s="2441"/>
      <c r="Y48" s="2441"/>
      <c r="Z48" s="2441"/>
    </row>
    <row r="49" spans="1:26">
      <c r="A49" s="2423" t="s">
        <v>1143</v>
      </c>
      <c r="B49" s="2424">
        <f t="shared" ref="B49:C51" si="30">B48/(1+N48)</f>
        <v>254.44570563753314</v>
      </c>
      <c r="C49" s="2424">
        <f t="shared" si="30"/>
        <v>207.37543398705074</v>
      </c>
      <c r="D49" s="2424">
        <f t="shared" si="18"/>
        <v>207.37543398705074</v>
      </c>
      <c r="E49" s="2424">
        <f t="shared" ref="E49:F51" si="31">E48/(1+P48)</f>
        <v>352.81876655315932</v>
      </c>
      <c r="F49" s="2424">
        <f t="shared" si="31"/>
        <v>190.809968847352</v>
      </c>
      <c r="G49" s="3945">
        <v>2010</v>
      </c>
      <c r="H49" s="2449">
        <v>3</v>
      </c>
      <c r="I49" s="2449">
        <v>4.7300000000000004</v>
      </c>
      <c r="J49" s="2449">
        <v>3.9</v>
      </c>
      <c r="K49" s="2449">
        <v>5.03</v>
      </c>
      <c r="L49" s="2450">
        <v>4.21</v>
      </c>
      <c r="N49" s="2426">
        <f t="shared" si="20"/>
        <v>4.7300000000000002E-2</v>
      </c>
      <c r="O49" s="2411">
        <f t="shared" si="20"/>
        <v>3.9E-2</v>
      </c>
      <c r="P49" s="2411">
        <f t="shared" si="20"/>
        <v>5.0300000000000004E-2</v>
      </c>
      <c r="Q49" s="2411">
        <f t="shared" si="20"/>
        <v>4.2099999999999999E-2</v>
      </c>
      <c r="R49" s="2427"/>
      <c r="S49" s="2426"/>
      <c r="T49" s="2411"/>
      <c r="U49" s="2411"/>
      <c r="V49" s="2411"/>
    </row>
    <row r="50" spans="1:26">
      <c r="A50" s="2423" t="s">
        <v>1144</v>
      </c>
      <c r="B50" s="2424">
        <f t="shared" si="30"/>
        <v>242.95398227588385</v>
      </c>
      <c r="C50" s="2424">
        <f t="shared" si="30"/>
        <v>199.59137053614126</v>
      </c>
      <c r="D50" s="2424">
        <f t="shared" si="18"/>
        <v>199.59137053614126</v>
      </c>
      <c r="E50" s="2424">
        <f t="shared" si="31"/>
        <v>335.92189522342125</v>
      </c>
      <c r="F50" s="2424">
        <f t="shared" si="31"/>
        <v>183.10139991109489</v>
      </c>
      <c r="G50" s="3945">
        <v>2010</v>
      </c>
      <c r="H50" s="2436">
        <v>2</v>
      </c>
      <c r="I50" s="2436">
        <v>4.6900000000000004</v>
      </c>
      <c r="J50" s="2436">
        <v>3.55</v>
      </c>
      <c r="K50" s="2436">
        <v>5.07</v>
      </c>
      <c r="L50" s="2437">
        <v>4.2300000000000004</v>
      </c>
      <c r="N50" s="2426">
        <f t="shared" si="20"/>
        <v>4.6900000000000004E-2</v>
      </c>
      <c r="O50" s="2411">
        <f t="shared" si="20"/>
        <v>3.5499999999999997E-2</v>
      </c>
      <c r="P50" s="2411">
        <f t="shared" si="20"/>
        <v>5.0700000000000002E-2</v>
      </c>
      <c r="Q50" s="2411">
        <f t="shared" si="20"/>
        <v>4.2300000000000004E-2</v>
      </c>
      <c r="R50" s="2427"/>
      <c r="S50" s="2426"/>
      <c r="T50" s="2411"/>
      <c r="U50" s="2411"/>
      <c r="V50" s="2411"/>
    </row>
    <row r="51" spans="1:26" ht="13.5" thickBot="1">
      <c r="A51" s="2423" t="s">
        <v>1145</v>
      </c>
      <c r="B51" s="2424">
        <f t="shared" si="30"/>
        <v>232.06990378821649</v>
      </c>
      <c r="C51" s="2424">
        <f t="shared" si="30"/>
        <v>192.74878854286936</v>
      </c>
      <c r="D51" s="2424">
        <f t="shared" si="18"/>
        <v>192.74878854286936</v>
      </c>
      <c r="E51" s="2424">
        <f t="shared" si="31"/>
        <v>319.71247284992984</v>
      </c>
      <c r="F51" s="2424">
        <f t="shared" si="31"/>
        <v>175.67053622862409</v>
      </c>
      <c r="G51" s="3946">
        <v>2010</v>
      </c>
      <c r="H51" s="2425">
        <v>1</v>
      </c>
      <c r="I51" s="2425">
        <v>5.4</v>
      </c>
      <c r="J51" s="2425">
        <v>3.2</v>
      </c>
      <c r="K51" s="2425">
        <v>6.16</v>
      </c>
      <c r="L51" s="2431">
        <v>4.51</v>
      </c>
      <c r="N51" s="2426">
        <f t="shared" si="20"/>
        <v>5.4000000000000006E-2</v>
      </c>
      <c r="O51" s="2411">
        <f t="shared" si="20"/>
        <v>3.2000000000000001E-2</v>
      </c>
      <c r="P51" s="2411">
        <f t="shared" si="20"/>
        <v>6.1600000000000002E-2</v>
      </c>
      <c r="Q51" s="2411">
        <f t="shared" si="20"/>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8"/>
        <v>187</v>
      </c>
      <c r="E52" s="2438">
        <v>301</v>
      </c>
      <c r="F52" s="2439">
        <v>168</v>
      </c>
      <c r="G52" s="3944">
        <v>2009</v>
      </c>
      <c r="H52" s="2444">
        <v>4</v>
      </c>
      <c r="I52" s="2444">
        <v>2.2999999999999998</v>
      </c>
      <c r="J52" s="2444">
        <v>1.04</v>
      </c>
      <c r="K52" s="2444">
        <v>2.84</v>
      </c>
      <c r="L52" s="2445">
        <v>0.67</v>
      </c>
      <c r="N52" s="2446">
        <f t="shared" si="20"/>
        <v>2.3E-2</v>
      </c>
      <c r="O52" s="2447">
        <f t="shared" si="20"/>
        <v>1.04E-2</v>
      </c>
      <c r="P52" s="2447">
        <f t="shared" si="20"/>
        <v>2.8399999999999998E-2</v>
      </c>
      <c r="Q52" s="2447">
        <f t="shared" si="20"/>
        <v>6.7000000000000002E-3</v>
      </c>
      <c r="R52" s="2427"/>
      <c r="S52" s="2440"/>
      <c r="T52" s="2441"/>
      <c r="U52" s="2441"/>
      <c r="V52" s="2441"/>
      <c r="X52" s="2441"/>
      <c r="Y52" s="2441"/>
      <c r="Z52" s="2441"/>
    </row>
    <row r="53" spans="1:26">
      <c r="A53" s="2423" t="s">
        <v>1147</v>
      </c>
      <c r="B53" s="2424">
        <f t="shared" ref="B53:C55" si="32">B52/(1+N52)</f>
        <v>215.05376344086022</v>
      </c>
      <c r="C53" s="2424">
        <f t="shared" si="32"/>
        <v>185.0752177355503</v>
      </c>
      <c r="D53" s="2424">
        <f t="shared" si="18"/>
        <v>185.0752177355503</v>
      </c>
      <c r="E53" s="2424">
        <f t="shared" ref="E53:F55" si="33">E52/(1+P52)</f>
        <v>292.68767016725008</v>
      </c>
      <c r="F53" s="2424">
        <f t="shared" si="33"/>
        <v>166.88189132810174</v>
      </c>
      <c r="G53" s="3945">
        <v>2009</v>
      </c>
      <c r="H53" s="2449">
        <v>3</v>
      </c>
      <c r="I53" s="2449">
        <v>2.1</v>
      </c>
      <c r="J53" s="2449">
        <v>1.86</v>
      </c>
      <c r="K53" s="2449">
        <v>2.29</v>
      </c>
      <c r="L53" s="2450">
        <v>0.85</v>
      </c>
      <c r="N53" s="2426">
        <f t="shared" si="20"/>
        <v>2.1000000000000001E-2</v>
      </c>
      <c r="O53" s="2451">
        <f t="shared" si="20"/>
        <v>1.8600000000000002E-2</v>
      </c>
      <c r="P53" s="2451">
        <f t="shared" si="20"/>
        <v>2.29E-2</v>
      </c>
      <c r="Q53" s="2451">
        <f t="shared" si="20"/>
        <v>8.5000000000000006E-3</v>
      </c>
      <c r="R53" s="2427"/>
      <c r="S53" s="2426"/>
      <c r="T53" s="2411"/>
      <c r="U53" s="2411"/>
      <c r="V53" s="2411"/>
    </row>
    <row r="54" spans="1:26">
      <c r="A54" s="2423" t="s">
        <v>1148</v>
      </c>
      <c r="B54" s="2424">
        <f t="shared" si="32"/>
        <v>210.630522469011</v>
      </c>
      <c r="C54" s="2424">
        <f t="shared" si="32"/>
        <v>181.69567812247232</v>
      </c>
      <c r="D54" s="2424">
        <f t="shared" si="18"/>
        <v>181.69567812247232</v>
      </c>
      <c r="E54" s="2424">
        <f t="shared" si="33"/>
        <v>286.13517466736738</v>
      </c>
      <c r="F54" s="2424">
        <f t="shared" si="33"/>
        <v>165.47535084591149</v>
      </c>
      <c r="G54" s="3945">
        <v>2009</v>
      </c>
      <c r="H54" s="2436">
        <v>2</v>
      </c>
      <c r="I54" s="2436">
        <v>0.86</v>
      </c>
      <c r="J54" s="2436">
        <v>-1.1299999999999999</v>
      </c>
      <c r="K54" s="2436">
        <v>1.79</v>
      </c>
      <c r="L54" s="2437">
        <v>-2.0699999999999998</v>
      </c>
      <c r="N54" s="2426">
        <f t="shared" si="20"/>
        <v>8.6E-3</v>
      </c>
      <c r="O54" s="2451">
        <f t="shared" si="20"/>
        <v>-1.1299999999999999E-2</v>
      </c>
      <c r="P54" s="2451">
        <f t="shared" si="20"/>
        <v>1.7899999999999999E-2</v>
      </c>
      <c r="Q54" s="2451">
        <f t="shared" si="20"/>
        <v>-2.07E-2</v>
      </c>
      <c r="R54" s="2427"/>
      <c r="S54" s="2426"/>
      <c r="T54" s="2411"/>
      <c r="U54" s="2411"/>
      <c r="V54" s="2411"/>
    </row>
    <row r="55" spans="1:26">
      <c r="A55" s="2423" t="s">
        <v>1149</v>
      </c>
      <c r="B55" s="2424">
        <f t="shared" si="32"/>
        <v>208.83454537875372</v>
      </c>
      <c r="C55" s="2424">
        <f t="shared" si="32"/>
        <v>183.77230517090351</v>
      </c>
      <c r="D55" s="2424">
        <f t="shared" si="18"/>
        <v>183.77230517090351</v>
      </c>
      <c r="E55" s="2424">
        <f t="shared" si="33"/>
        <v>281.10342338870947</v>
      </c>
      <c r="F55" s="2424">
        <f t="shared" si="33"/>
        <v>168.97309388942256</v>
      </c>
      <c r="G55" s="3946">
        <v>2009</v>
      </c>
      <c r="H55" s="2425">
        <v>1</v>
      </c>
      <c r="I55" s="2425">
        <v>-2.64</v>
      </c>
      <c r="J55" s="2425">
        <v>-2.5299999999999998</v>
      </c>
      <c r="K55" s="2425">
        <v>-3.02</v>
      </c>
      <c r="L55" s="2431">
        <v>1.52</v>
      </c>
      <c r="N55" s="2442">
        <f t="shared" si="20"/>
        <v>-2.64E-2</v>
      </c>
      <c r="O55" s="2443">
        <f t="shared" si="20"/>
        <v>-2.53E-2</v>
      </c>
      <c r="P55" s="2443">
        <f t="shared" si="20"/>
        <v>-3.0200000000000001E-2</v>
      </c>
      <c r="Q55" s="2443">
        <f t="shared" si="20"/>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8"/>
        <v>188</v>
      </c>
      <c r="E56" s="2473">
        <v>289</v>
      </c>
      <c r="F56" s="2474">
        <v>166</v>
      </c>
      <c r="G56" s="3944">
        <v>2008</v>
      </c>
      <c r="H56" s="2444">
        <v>4</v>
      </c>
      <c r="I56" s="2444">
        <v>1.73</v>
      </c>
      <c r="J56" s="2444">
        <v>0.03</v>
      </c>
      <c r="K56" s="2444">
        <v>2.59</v>
      </c>
      <c r="L56" s="2445">
        <v>-1.66</v>
      </c>
      <c r="N56" s="2426">
        <f t="shared" si="20"/>
        <v>1.7299999999999999E-2</v>
      </c>
      <c r="O56" s="2411">
        <f t="shared" si="20"/>
        <v>2.9999999999999997E-4</v>
      </c>
      <c r="P56" s="2411">
        <f t="shared" si="20"/>
        <v>2.5899999999999999E-2</v>
      </c>
      <c r="Q56" s="2411">
        <f t="shared" si="20"/>
        <v>-1.66E-2</v>
      </c>
      <c r="R56" s="2427"/>
      <c r="S56" s="2440"/>
      <c r="T56" s="2441"/>
      <c r="U56" s="2441"/>
      <c r="V56" s="2441"/>
      <c r="X56" s="2441"/>
      <c r="Y56" s="2441"/>
      <c r="Z56" s="2441"/>
    </row>
    <row r="57" spans="1:26">
      <c r="A57" s="2423" t="s">
        <v>1151</v>
      </c>
      <c r="B57" s="2424">
        <f t="shared" ref="B57:C59" si="34">B56/(1+N56)</f>
        <v>210.36075887152265</v>
      </c>
      <c r="C57" s="2424">
        <f t="shared" si="34"/>
        <v>187.94361691492554</v>
      </c>
      <c r="D57" s="2424">
        <f t="shared" si="18"/>
        <v>187.94361691492554</v>
      </c>
      <c r="E57" s="2424">
        <f t="shared" ref="E57:F59" si="35">E56/(1+P56)</f>
        <v>281.70386977288234</v>
      </c>
      <c r="F57" s="2424">
        <f t="shared" si="35"/>
        <v>168.80211511083994</v>
      </c>
      <c r="G57" s="3945">
        <v>2008</v>
      </c>
      <c r="H57" s="2449">
        <v>3</v>
      </c>
      <c r="I57" s="2449">
        <v>1.96</v>
      </c>
      <c r="J57" s="2449">
        <v>2.36</v>
      </c>
      <c r="K57" s="2449">
        <v>1.82</v>
      </c>
      <c r="L57" s="2450">
        <v>2.2200000000000002</v>
      </c>
      <c r="N57" s="2426">
        <f t="shared" si="20"/>
        <v>1.9599999999999999E-2</v>
      </c>
      <c r="O57" s="2411">
        <f t="shared" si="20"/>
        <v>2.3599999999999999E-2</v>
      </c>
      <c r="P57" s="2411">
        <f t="shared" si="20"/>
        <v>1.8200000000000001E-2</v>
      </c>
      <c r="Q57" s="2411">
        <f t="shared" si="20"/>
        <v>2.2200000000000001E-2</v>
      </c>
      <c r="R57" s="2427"/>
      <c r="S57" s="2426"/>
      <c r="T57" s="2411"/>
      <c r="U57" s="2411"/>
      <c r="V57" s="2411"/>
    </row>
    <row r="58" spans="1:26">
      <c r="A58" s="2423" t="s">
        <v>1152</v>
      </c>
      <c r="B58" s="2424">
        <f t="shared" si="34"/>
        <v>206.31694671589116</v>
      </c>
      <c r="C58" s="2424">
        <f t="shared" si="34"/>
        <v>183.61041121036101</v>
      </c>
      <c r="D58" s="2424">
        <f t="shared" si="18"/>
        <v>183.61041121036101</v>
      </c>
      <c r="E58" s="2424">
        <f t="shared" si="35"/>
        <v>276.66850301795557</v>
      </c>
      <c r="F58" s="2424">
        <f t="shared" si="35"/>
        <v>165.1360938278614</v>
      </c>
      <c r="G58" s="3945">
        <v>2008</v>
      </c>
      <c r="H58" s="2436">
        <v>2</v>
      </c>
      <c r="I58" s="2436">
        <v>4.93</v>
      </c>
      <c r="J58" s="2436">
        <v>7.38</v>
      </c>
      <c r="K58" s="2436">
        <v>3.98</v>
      </c>
      <c r="L58" s="2437">
        <v>6.86</v>
      </c>
      <c r="N58" s="2426">
        <f t="shared" si="20"/>
        <v>4.9299999999999997E-2</v>
      </c>
      <c r="O58" s="2411">
        <f t="shared" si="20"/>
        <v>7.3800000000000004E-2</v>
      </c>
      <c r="P58" s="2411">
        <f t="shared" si="20"/>
        <v>3.9800000000000002E-2</v>
      </c>
      <c r="Q58" s="2411">
        <f t="shared" si="20"/>
        <v>6.8600000000000008E-2</v>
      </c>
      <c r="R58" s="2427"/>
      <c r="S58" s="2426"/>
      <c r="T58" s="2411"/>
      <c r="U58" s="2411"/>
      <c r="V58" s="2411"/>
    </row>
    <row r="59" spans="1:26" s="2479" customFormat="1" ht="13.5" thickBot="1">
      <c r="A59" s="2423" t="s">
        <v>1153</v>
      </c>
      <c r="B59" s="2476">
        <f t="shared" si="34"/>
        <v>196.62341248059772</v>
      </c>
      <c r="C59" s="2476">
        <f t="shared" si="34"/>
        <v>170.99125648199012</v>
      </c>
      <c r="D59" s="2476">
        <f t="shared" si="18"/>
        <v>170.99125648199012</v>
      </c>
      <c r="E59" s="2476">
        <f t="shared" si="35"/>
        <v>266.07857570490052</v>
      </c>
      <c r="F59" s="2476">
        <f t="shared" si="35"/>
        <v>154.53499328828505</v>
      </c>
      <c r="G59" s="3946">
        <v>2008</v>
      </c>
      <c r="H59" s="2477">
        <v>1</v>
      </c>
      <c r="I59" s="2477">
        <v>4.1399999999999997</v>
      </c>
      <c r="J59" s="2477">
        <v>3.45</v>
      </c>
      <c r="K59" s="2477">
        <v>4.95</v>
      </c>
      <c r="L59" s="2478">
        <v>4.82</v>
      </c>
      <c r="N59" s="2480">
        <f t="shared" si="20"/>
        <v>4.1399999999999999E-2</v>
      </c>
      <c r="O59" s="2481">
        <f t="shared" si="20"/>
        <v>3.4500000000000003E-2</v>
      </c>
      <c r="P59" s="2481">
        <f t="shared" si="20"/>
        <v>4.9500000000000002E-2</v>
      </c>
      <c r="Q59" s="2481">
        <f t="shared" si="20"/>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8"/>
        <v>165</v>
      </c>
      <c r="E60" s="2438">
        <v>254</v>
      </c>
      <c r="F60" s="2439">
        <v>148</v>
      </c>
      <c r="G60" s="3944">
        <v>2007</v>
      </c>
      <c r="H60" s="2483">
        <v>4</v>
      </c>
      <c r="I60" s="2483">
        <v>5.51</v>
      </c>
      <c r="J60" s="2483">
        <v>4.8899999999999997</v>
      </c>
      <c r="K60" s="2483">
        <v>6.43</v>
      </c>
      <c r="L60" s="2484">
        <v>5.36</v>
      </c>
      <c r="N60" s="2485">
        <f t="shared" ref="N60:O63" si="36">B60/B61-1</f>
        <v>4.1339718365245526E-2</v>
      </c>
      <c r="O60" s="2486">
        <f t="shared" si="36"/>
        <v>4.0324492593776018E-2</v>
      </c>
      <c r="P60" s="2486">
        <f t="shared" ref="P60:Q63" si="37">E60/E61-1</f>
        <v>6.1625555347990968E-2</v>
      </c>
      <c r="Q60" s="2486">
        <f t="shared" si="37"/>
        <v>4.6757569250590603E-2</v>
      </c>
      <c r="R60" s="2427"/>
      <c r="S60" s="2440"/>
      <c r="T60" s="2441"/>
      <c r="U60" s="2441"/>
      <c r="V60" s="2441"/>
      <c r="X60" s="2441"/>
      <c r="Y60" s="2441"/>
      <c r="Z60" s="2441"/>
    </row>
    <row r="61" spans="1:26">
      <c r="A61" s="2423" t="s">
        <v>1155</v>
      </c>
      <c r="B61" s="2424">
        <f t="shared" ref="B61:C63" si="38">B62+(B$60-B$64)*I61/SUM(I$60:I$63)</f>
        <v>180.5366651097618</v>
      </c>
      <c r="C61" s="2424">
        <f t="shared" si="38"/>
        <v>158.60435967302453</v>
      </c>
      <c r="D61" s="2424">
        <f t="shared" si="18"/>
        <v>158.60435967302453</v>
      </c>
      <c r="E61" s="2424">
        <f t="shared" ref="E61:F63" si="39">E62+(E$60-E$64)*K61/SUM(K$60:K$63)</f>
        <v>239.25573260785075</v>
      </c>
      <c r="F61" s="2424">
        <f t="shared" si="39"/>
        <v>141.38899430740037</v>
      </c>
      <c r="G61" s="3945">
        <v>2007</v>
      </c>
      <c r="H61" s="2449">
        <v>3</v>
      </c>
      <c r="I61" s="2449">
        <v>8.65</v>
      </c>
      <c r="J61" s="2449">
        <v>8.06</v>
      </c>
      <c r="K61" s="2449">
        <v>9.94</v>
      </c>
      <c r="L61" s="2450">
        <v>5.8</v>
      </c>
      <c r="N61" s="2485">
        <f t="shared" si="36"/>
        <v>6.940217571740015E-2</v>
      </c>
      <c r="O61" s="2486">
        <f t="shared" si="36"/>
        <v>7.1197482471153428E-2</v>
      </c>
      <c r="P61" s="2486">
        <f t="shared" si="37"/>
        <v>0.10529679922579582</v>
      </c>
      <c r="Q61" s="2486">
        <f t="shared" si="37"/>
        <v>5.3292245059512133E-2</v>
      </c>
      <c r="R61" s="2427"/>
      <c r="S61" s="2426"/>
      <c r="T61" s="2411"/>
      <c r="U61" s="2411"/>
      <c r="V61" s="2411"/>
      <c r="X61" s="2487"/>
      <c r="Y61" s="2487"/>
      <c r="Z61" s="2487"/>
    </row>
    <row r="62" spans="1:26">
      <c r="A62" s="2423" t="s">
        <v>1156</v>
      </c>
      <c r="B62" s="2424">
        <f t="shared" si="38"/>
        <v>168.82017748715555</v>
      </c>
      <c r="C62" s="2424">
        <f t="shared" si="38"/>
        <v>148.06267029972753</v>
      </c>
      <c r="D62" s="2424">
        <f t="shared" si="18"/>
        <v>148.06267029972753</v>
      </c>
      <c r="E62" s="2424">
        <f t="shared" si="39"/>
        <v>216.46288379323747</v>
      </c>
      <c r="F62" s="2424">
        <f t="shared" si="39"/>
        <v>134.23529411764704</v>
      </c>
      <c r="G62" s="3945">
        <v>2007</v>
      </c>
      <c r="H62" s="2436">
        <v>2</v>
      </c>
      <c r="I62" s="2436">
        <v>3.67</v>
      </c>
      <c r="J62" s="2436">
        <v>2.3199999999999998</v>
      </c>
      <c r="K62" s="2436">
        <v>5.0199999999999996</v>
      </c>
      <c r="L62" s="2437">
        <v>6.71</v>
      </c>
      <c r="N62" s="2485">
        <f t="shared" si="36"/>
        <v>3.0339138143848032E-2</v>
      </c>
      <c r="O62" s="2486">
        <f t="shared" si="36"/>
        <v>2.0922341588790472E-2</v>
      </c>
      <c r="P62" s="2486">
        <f t="shared" si="37"/>
        <v>5.6164796592717003E-2</v>
      </c>
      <c r="Q62" s="2486">
        <f t="shared" si="37"/>
        <v>6.5704536723887319E-2</v>
      </c>
      <c r="R62" s="2427"/>
      <c r="S62" s="2426"/>
      <c r="T62" s="2411"/>
      <c r="U62" s="2411"/>
      <c r="V62" s="2411"/>
      <c r="X62" s="2487"/>
      <c r="Y62" s="2487"/>
      <c r="Z62" s="2487"/>
    </row>
    <row r="63" spans="1:26">
      <c r="A63" s="2423" t="s">
        <v>1157</v>
      </c>
      <c r="B63" s="2424">
        <f t="shared" si="38"/>
        <v>163.84913591779542</v>
      </c>
      <c r="C63" s="2424">
        <f t="shared" si="38"/>
        <v>145.0283378746594</v>
      </c>
      <c r="D63" s="2424">
        <f t="shared" si="18"/>
        <v>145.0283378746594</v>
      </c>
      <c r="E63" s="2424">
        <f t="shared" si="39"/>
        <v>204.95180722891567</v>
      </c>
      <c r="F63" s="2424">
        <f t="shared" si="39"/>
        <v>125.95920303605313</v>
      </c>
      <c r="G63" s="3946">
        <v>2007</v>
      </c>
      <c r="H63" s="2425">
        <v>1</v>
      </c>
      <c r="I63" s="2425">
        <v>3.58</v>
      </c>
      <c r="J63" s="2425">
        <v>3.08</v>
      </c>
      <c r="K63" s="2425">
        <v>4.34</v>
      </c>
      <c r="L63" s="2431">
        <v>3.21</v>
      </c>
      <c r="N63" s="2488">
        <f t="shared" si="36"/>
        <v>3.0497710174814063E-2</v>
      </c>
      <c r="O63" s="2489">
        <f t="shared" si="36"/>
        <v>2.8569772160704998E-2</v>
      </c>
      <c r="P63" s="2489">
        <f t="shared" si="37"/>
        <v>5.1034908866234296E-2</v>
      </c>
      <c r="Q63" s="2489">
        <f t="shared" si="37"/>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8"/>
        <v>141</v>
      </c>
      <c r="E64" s="2452">
        <v>195</v>
      </c>
      <c r="F64" s="2453">
        <v>122</v>
      </c>
      <c r="G64" s="3944">
        <v>2006</v>
      </c>
      <c r="H64" s="2444">
        <v>4</v>
      </c>
      <c r="I64" s="2444">
        <v>3.79</v>
      </c>
      <c r="J64" s="2444">
        <v>2.21</v>
      </c>
      <c r="K64" s="2444">
        <v>5.65</v>
      </c>
      <c r="L64" s="2445">
        <v>5.41</v>
      </c>
      <c r="N64" s="2485">
        <f t="shared" ref="N64:O67" si="40">I64/SUM(I$64:I$67)*(B$64/B$68-1)</f>
        <v>7.245466462748526E-2</v>
      </c>
      <c r="O64" s="2486">
        <f t="shared" si="40"/>
        <v>2.3237230038062766E-2</v>
      </c>
      <c r="P64" s="2486">
        <f t="shared" ref="P64:Q67" si="41">K64/SUM(K$64:K$67)*(E$64/E$68-1)</f>
        <v>0.16146893866323722</v>
      </c>
      <c r="Q64" s="2486">
        <f t="shared" si="41"/>
        <v>5.0755230321793784E-2</v>
      </c>
      <c r="R64" s="2427"/>
      <c r="S64" s="2440"/>
      <c r="T64" s="2441"/>
      <c r="U64" s="2441"/>
      <c r="V64" s="2441"/>
      <c r="X64" s="2487"/>
      <c r="Y64" s="2487"/>
      <c r="Z64" s="2487"/>
    </row>
    <row r="65" spans="1:26">
      <c r="A65" s="2423" t="s">
        <v>1159</v>
      </c>
      <c r="B65" s="2424">
        <f t="shared" ref="B65:C67" si="42">B66+(B$64-B$68)*I65/SUM(I$64:I$67)</f>
        <v>149.00125628140702</v>
      </c>
      <c r="C65" s="2424">
        <f t="shared" si="42"/>
        <v>137.95592286501378</v>
      </c>
      <c r="D65" s="2424">
        <f t="shared" si="18"/>
        <v>137.95592286501378</v>
      </c>
      <c r="E65" s="2424">
        <f t="shared" ref="E65:F67" si="43">E66+(E$64-E$68)*K65/SUM(K$64:K$67)</f>
        <v>169.97231450719823</v>
      </c>
      <c r="F65" s="2424">
        <f t="shared" si="43"/>
        <v>116.21390374331551</v>
      </c>
      <c r="G65" s="3945">
        <v>2006</v>
      </c>
      <c r="H65" s="2449">
        <v>3</v>
      </c>
      <c r="I65" s="2449">
        <v>0.92</v>
      </c>
      <c r="J65" s="2449">
        <v>1.08</v>
      </c>
      <c r="K65" s="2449">
        <v>0.73</v>
      </c>
      <c r="L65" s="2450">
        <v>1.08</v>
      </c>
      <c r="N65" s="2485">
        <f t="shared" si="40"/>
        <v>1.7587939698492462E-2</v>
      </c>
      <c r="O65" s="2486">
        <f t="shared" si="40"/>
        <v>1.1355750425840628E-2</v>
      </c>
      <c r="P65" s="2486">
        <f t="shared" si="41"/>
        <v>2.0862358446754544E-2</v>
      </c>
      <c r="Q65" s="2486">
        <f t="shared" si="41"/>
        <v>1.0132282578103011E-2</v>
      </c>
      <c r="R65" s="2427"/>
      <c r="S65" s="2426"/>
      <c r="T65" s="2411"/>
      <c r="U65" s="2411"/>
      <c r="V65" s="2411"/>
      <c r="X65" s="2487"/>
      <c r="Y65" s="2487"/>
      <c r="Z65" s="2487"/>
    </row>
    <row r="66" spans="1:26">
      <c r="A66" s="2423" t="s">
        <v>1160</v>
      </c>
      <c r="B66" s="2424">
        <f t="shared" si="42"/>
        <v>146.57412060301507</v>
      </c>
      <c r="C66" s="2424">
        <f t="shared" si="42"/>
        <v>136.46831955922866</v>
      </c>
      <c r="D66" s="2424">
        <f t="shared" si="18"/>
        <v>136.46831955922866</v>
      </c>
      <c r="E66" s="2424">
        <f t="shared" si="43"/>
        <v>166.73864894795128</v>
      </c>
      <c r="F66" s="2424">
        <f t="shared" si="43"/>
        <v>115.05882352941177</v>
      </c>
      <c r="G66" s="3945">
        <v>2006</v>
      </c>
      <c r="H66" s="2436">
        <v>2</v>
      </c>
      <c r="I66" s="2436">
        <v>0.96</v>
      </c>
      <c r="J66" s="2436">
        <v>0.25</v>
      </c>
      <c r="K66" s="2436">
        <v>1.9</v>
      </c>
      <c r="L66" s="2437">
        <v>0.95</v>
      </c>
      <c r="N66" s="2485">
        <f t="shared" si="40"/>
        <v>1.8352632728861701E-2</v>
      </c>
      <c r="O66" s="2486">
        <f t="shared" si="40"/>
        <v>2.6286459319075526E-3</v>
      </c>
      <c r="P66" s="2486">
        <f t="shared" si="41"/>
        <v>5.4299289107991269E-2</v>
      </c>
      <c r="Q66" s="2486">
        <f t="shared" si="41"/>
        <v>8.9126559714794995E-3</v>
      </c>
      <c r="R66" s="2427"/>
      <c r="S66" s="2426"/>
      <c r="T66" s="2411"/>
      <c r="U66" s="2411"/>
      <c r="V66" s="2411"/>
      <c r="X66" s="2487"/>
      <c r="Y66" s="2487"/>
      <c r="Z66" s="2487"/>
    </row>
    <row r="67" spans="1:26">
      <c r="A67" s="2423" t="s">
        <v>1161</v>
      </c>
      <c r="B67" s="2424">
        <f t="shared" si="42"/>
        <v>144.04145728643215</v>
      </c>
      <c r="C67" s="2424">
        <f t="shared" si="42"/>
        <v>136.12396694214877</v>
      </c>
      <c r="D67" s="2424">
        <f t="shared" si="18"/>
        <v>136.12396694214877</v>
      </c>
      <c r="E67" s="2424">
        <f t="shared" si="43"/>
        <v>158.32225913621264</v>
      </c>
      <c r="F67" s="2424">
        <f t="shared" si="43"/>
        <v>114.04278074866311</v>
      </c>
      <c r="G67" s="3946">
        <v>2006</v>
      </c>
      <c r="H67" s="2425">
        <v>1</v>
      </c>
      <c r="I67" s="2425">
        <v>2.29</v>
      </c>
      <c r="J67" s="2425">
        <v>3.72</v>
      </c>
      <c r="K67" s="2425">
        <v>0.75</v>
      </c>
      <c r="L67" s="2431">
        <v>0.04</v>
      </c>
      <c r="N67" s="2488">
        <f t="shared" si="40"/>
        <v>4.3778675988638847E-2</v>
      </c>
      <c r="O67" s="2489">
        <f t="shared" si="40"/>
        <v>3.9114251466784385E-2</v>
      </c>
      <c r="P67" s="2489">
        <f t="shared" si="41"/>
        <v>2.1433929911049188E-2</v>
      </c>
      <c r="Q67" s="2489">
        <f t="shared" si="41"/>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8"/>
        <v>131</v>
      </c>
      <c r="E68" s="2452">
        <v>155</v>
      </c>
      <c r="F68" s="2453">
        <v>114</v>
      </c>
      <c r="G68" s="3944">
        <v>2005</v>
      </c>
      <c r="H68" s="2444">
        <v>4</v>
      </c>
      <c r="I68" s="2444">
        <v>3.29</v>
      </c>
      <c r="J68" s="2444">
        <v>1.44</v>
      </c>
      <c r="K68" s="2444">
        <v>0.66</v>
      </c>
      <c r="L68" s="2445">
        <v>7.78</v>
      </c>
      <c r="N68" s="2485">
        <f t="shared" ref="N68:O71" si="44">I68/SUM(I$68:I$71)*(B$68/B$72-1)</f>
        <v>9.9404603216919935E-2</v>
      </c>
      <c r="O68" s="2486">
        <f t="shared" si="44"/>
        <v>4.7636550760861554E-2</v>
      </c>
      <c r="P68" s="2486">
        <f t="shared" ref="P68:Q71" si="45">K68/SUM(K$68:K$71)*(E$68/E$72-1)</f>
        <v>8.3756345177664976E-2</v>
      </c>
      <c r="Q68" s="2486">
        <f t="shared" si="45"/>
        <v>5.2148766661559584E-2</v>
      </c>
      <c r="R68" s="2427"/>
      <c r="S68" s="2440"/>
      <c r="T68" s="2441"/>
      <c r="U68" s="2441"/>
      <c r="V68" s="2441"/>
      <c r="X68" s="2487"/>
      <c r="Y68" s="2487"/>
      <c r="Z68" s="2487"/>
    </row>
    <row r="69" spans="1:26">
      <c r="A69" s="2423" t="s">
        <v>1163</v>
      </c>
      <c r="B69" s="2424">
        <f t="shared" ref="B69:C71" si="46">B70+(B$68-B$72)*I69/SUM(I$68:I$71)</f>
        <v>125.9720430107527</v>
      </c>
      <c r="C69" s="2424">
        <f t="shared" si="46"/>
        <v>125.1883408071749</v>
      </c>
      <c r="D69" s="2424">
        <f t="shared" si="18"/>
        <v>125.1883408071749</v>
      </c>
      <c r="E69" s="2424">
        <f t="shared" ref="E69:F71" si="47">E70+(E$68-E$72)*K69/SUM(K$68:K$71)</f>
        <v>144.61421319796952</v>
      </c>
      <c r="F69" s="2424">
        <f t="shared" si="47"/>
        <v>108.42008196721311</v>
      </c>
      <c r="G69" s="3945">
        <v>2005</v>
      </c>
      <c r="H69" s="2449">
        <v>3</v>
      </c>
      <c r="I69" s="2449">
        <v>0.46</v>
      </c>
      <c r="J69" s="2449">
        <v>0.32</v>
      </c>
      <c r="K69" s="2449">
        <v>0.42</v>
      </c>
      <c r="L69" s="2450">
        <v>0.64</v>
      </c>
      <c r="N69" s="2485">
        <f t="shared" si="44"/>
        <v>1.3898515951301874E-2</v>
      </c>
      <c r="O69" s="2486">
        <f t="shared" si="44"/>
        <v>1.0585900169080346E-2</v>
      </c>
      <c r="P69" s="2486">
        <f t="shared" si="45"/>
        <v>5.3299492385786795E-2</v>
      </c>
      <c r="Q69" s="2486">
        <f t="shared" si="45"/>
        <v>4.2898728359123568E-3</v>
      </c>
      <c r="R69" s="2427"/>
      <c r="S69" s="2426"/>
      <c r="T69" s="2411"/>
      <c r="U69" s="2411"/>
      <c r="V69" s="2411"/>
      <c r="X69" s="2487"/>
      <c r="Y69" s="2487"/>
      <c r="Z69" s="2487"/>
    </row>
    <row r="70" spans="1:26">
      <c r="A70" s="2423" t="s">
        <v>1164</v>
      </c>
      <c r="B70" s="2424">
        <f t="shared" si="46"/>
        <v>124.29032258064517</v>
      </c>
      <c r="C70" s="2424">
        <f t="shared" si="46"/>
        <v>123.8968609865471</v>
      </c>
      <c r="D70" s="2424">
        <f t="shared" si="18"/>
        <v>123.8968609865471</v>
      </c>
      <c r="E70" s="2424">
        <f t="shared" si="47"/>
        <v>138.00507614213197</v>
      </c>
      <c r="F70" s="2424">
        <f t="shared" si="47"/>
        <v>107.96106557377048</v>
      </c>
      <c r="G70" s="3945">
        <v>2005</v>
      </c>
      <c r="H70" s="2436">
        <v>2</v>
      </c>
      <c r="I70" s="2436">
        <v>0.47</v>
      </c>
      <c r="J70" s="2436">
        <v>0.1</v>
      </c>
      <c r="K70" s="2436">
        <v>0.52</v>
      </c>
      <c r="L70" s="2437">
        <v>0.79</v>
      </c>
      <c r="N70" s="2485">
        <f t="shared" si="44"/>
        <v>1.420065760241713E-2</v>
      </c>
      <c r="O70" s="2486">
        <f t="shared" si="44"/>
        <v>3.3080938028376083E-3</v>
      </c>
      <c r="P70" s="2486">
        <f t="shared" si="45"/>
        <v>6.598984771573603E-2</v>
      </c>
      <c r="Q70" s="2486">
        <f t="shared" si="45"/>
        <v>5.2953117818293153E-3</v>
      </c>
      <c r="R70" s="2427"/>
      <c r="S70" s="2426"/>
      <c r="T70" s="2411"/>
      <c r="U70" s="2411"/>
      <c r="V70" s="2411"/>
      <c r="X70" s="2487"/>
      <c r="Y70" s="2487"/>
      <c r="Z70" s="2487"/>
    </row>
    <row r="71" spans="1:26">
      <c r="A71" s="2423" t="s">
        <v>1165</v>
      </c>
      <c r="B71" s="2424">
        <f t="shared" si="46"/>
        <v>122.57204301075269</v>
      </c>
      <c r="C71" s="2424">
        <f t="shared" si="46"/>
        <v>123.4932735426009</v>
      </c>
      <c r="D71" s="2424">
        <f t="shared" si="18"/>
        <v>123.4932735426009</v>
      </c>
      <c r="E71" s="2424">
        <f t="shared" si="47"/>
        <v>129.82233502538071</v>
      </c>
      <c r="F71" s="2424">
        <f t="shared" si="47"/>
        <v>107.39446721311475</v>
      </c>
      <c r="G71" s="3946">
        <v>2005</v>
      </c>
      <c r="H71" s="2425">
        <v>1</v>
      </c>
      <c r="I71" s="2425">
        <v>0.43</v>
      </c>
      <c r="J71" s="2425">
        <v>0.37</v>
      </c>
      <c r="K71" s="2425">
        <v>0.37</v>
      </c>
      <c r="L71" s="2431">
        <v>0.55000000000000004</v>
      </c>
      <c r="N71" s="2488">
        <f t="shared" si="44"/>
        <v>1.2992090997956099E-2</v>
      </c>
      <c r="O71" s="2489">
        <f t="shared" si="44"/>
        <v>1.2239947070499151E-2</v>
      </c>
      <c r="P71" s="2489">
        <f t="shared" si="45"/>
        <v>4.6954314720812178E-2</v>
      </c>
      <c r="Q71" s="2489">
        <f t="shared" si="45"/>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8"/>
        <v>122</v>
      </c>
      <c r="E72" s="2473">
        <v>124</v>
      </c>
      <c r="F72" s="2474">
        <v>107</v>
      </c>
      <c r="G72" s="3944">
        <v>2004</v>
      </c>
      <c r="H72" s="2444">
        <v>4</v>
      </c>
      <c r="I72" s="2444">
        <v>0.33</v>
      </c>
      <c r="J72" s="2444">
        <v>0.5</v>
      </c>
      <c r="K72" s="2444">
        <v>0.5</v>
      </c>
      <c r="L72" s="2445">
        <v>0</v>
      </c>
      <c r="N72" s="2485">
        <f t="shared" ref="N72:O75" si="48">I72/SUM(I$72:I$75)*(B$72/B$76-1)</f>
        <v>1.3391770148526898E-2</v>
      </c>
      <c r="O72" s="2486">
        <f t="shared" si="48"/>
        <v>1.063264221158958E-2</v>
      </c>
      <c r="P72" s="2486">
        <f t="shared" ref="P72:Q75" si="49">K72/SUM(K$72:K$75)*(E$72/E$76-1)</f>
        <v>2.2244466688911134E-2</v>
      </c>
      <c r="Q72" s="2486">
        <f t="shared" si="49"/>
        <v>0</v>
      </c>
      <c r="R72" s="2427"/>
      <c r="S72" s="2440"/>
      <c r="T72" s="2441"/>
      <c r="U72" s="2441"/>
      <c r="V72" s="2441"/>
      <c r="X72" s="2487"/>
      <c r="Y72" s="2487"/>
      <c r="Z72" s="2487"/>
    </row>
    <row r="73" spans="1:26">
      <c r="A73" s="2423" t="s">
        <v>1167</v>
      </c>
      <c r="B73" s="2424">
        <f t="shared" ref="B73:C75" si="50">B74+(B$72-B$76)*I73/SUM(I$72:I$75)</f>
        <v>119.51351351351352</v>
      </c>
      <c r="C73" s="2424">
        <f t="shared" si="50"/>
        <v>120.7878787878788</v>
      </c>
      <c r="D73" s="2424">
        <f t="shared" si="18"/>
        <v>120.7878787878788</v>
      </c>
      <c r="E73" s="2424">
        <f t="shared" ref="E73:F75" si="51">E74+(E$72-E$76)*K73/SUM(K$72:K$75)</f>
        <v>121.5975975975976</v>
      </c>
      <c r="F73" s="2424">
        <f t="shared" si="51"/>
        <v>107</v>
      </c>
      <c r="G73" s="3945">
        <v>2004</v>
      </c>
      <c r="H73" s="2449">
        <v>3</v>
      </c>
      <c r="I73" s="2449">
        <v>0.56000000000000005</v>
      </c>
      <c r="J73" s="2449">
        <v>0.8</v>
      </c>
      <c r="K73" s="2449">
        <v>0.83</v>
      </c>
      <c r="L73" s="2450">
        <v>0.06</v>
      </c>
      <c r="N73" s="2485">
        <f t="shared" si="48"/>
        <v>2.2725428130833527E-2</v>
      </c>
      <c r="O73" s="2486">
        <f t="shared" si="48"/>
        <v>1.7012227538543329E-2</v>
      </c>
      <c r="P73" s="2486">
        <f t="shared" si="49"/>
        <v>3.6925814703592477E-2</v>
      </c>
      <c r="Q73" s="2486">
        <f t="shared" si="49"/>
        <v>2.8846153846153744E-2</v>
      </c>
      <c r="R73" s="2427"/>
      <c r="S73" s="2426"/>
      <c r="T73" s="2411"/>
      <c r="U73" s="2411"/>
      <c r="V73" s="2411"/>
      <c r="X73" s="2487"/>
      <c r="Y73" s="2487"/>
      <c r="Z73" s="2487"/>
    </row>
    <row r="74" spans="1:26">
      <c r="A74" s="2423" t="s">
        <v>1168</v>
      </c>
      <c r="B74" s="2424">
        <f t="shared" si="50"/>
        <v>116.99099099099099</v>
      </c>
      <c r="C74" s="2424">
        <f t="shared" si="50"/>
        <v>118.84848484848486</v>
      </c>
      <c r="D74" s="2424">
        <f t="shared" si="18"/>
        <v>118.84848484848486</v>
      </c>
      <c r="E74" s="2424">
        <f t="shared" si="51"/>
        <v>117.60960960960961</v>
      </c>
      <c r="F74" s="2424">
        <f t="shared" si="51"/>
        <v>104</v>
      </c>
      <c r="G74" s="3945">
        <v>2004</v>
      </c>
      <c r="H74" s="2436">
        <v>2</v>
      </c>
      <c r="I74" s="2436">
        <v>1</v>
      </c>
      <c r="J74" s="2436">
        <v>1.5</v>
      </c>
      <c r="K74" s="2436">
        <v>1.5</v>
      </c>
      <c r="L74" s="2437">
        <v>0</v>
      </c>
      <c r="N74" s="2485">
        <f t="shared" si="48"/>
        <v>4.0581121662202721E-2</v>
      </c>
      <c r="O74" s="2486">
        <f t="shared" si="48"/>
        <v>3.1897926634768738E-2</v>
      </c>
      <c r="P74" s="2486">
        <f t="shared" si="49"/>
        <v>6.6733400066733395E-2</v>
      </c>
      <c r="Q74" s="2486">
        <f t="shared" si="49"/>
        <v>0</v>
      </c>
      <c r="R74" s="2427"/>
      <c r="S74" s="2426"/>
      <c r="T74" s="2411"/>
      <c r="U74" s="2411"/>
      <c r="V74" s="2411"/>
      <c r="X74" s="2487"/>
      <c r="Y74" s="2487"/>
      <c r="Z74" s="2487"/>
    </row>
    <row r="75" spans="1:26" s="2479" customFormat="1" ht="13.5" thickBot="1">
      <c r="A75" s="2423" t="s">
        <v>1169</v>
      </c>
      <c r="B75" s="2476">
        <f t="shared" si="50"/>
        <v>112.48648648648648</v>
      </c>
      <c r="C75" s="2476">
        <f t="shared" si="50"/>
        <v>115.21212121212122</v>
      </c>
      <c r="D75" s="2476">
        <f t="shared" si="18"/>
        <v>115.21212121212122</v>
      </c>
      <c r="E75" s="2476">
        <f t="shared" si="51"/>
        <v>110.4024024024024</v>
      </c>
      <c r="F75" s="2476">
        <f t="shared" si="51"/>
        <v>104</v>
      </c>
      <c r="G75" s="3946">
        <v>2004</v>
      </c>
      <c r="H75" s="2477">
        <v>1</v>
      </c>
      <c r="I75" s="2477">
        <v>0.33</v>
      </c>
      <c r="J75" s="2477">
        <v>0.5</v>
      </c>
      <c r="K75" s="2477">
        <v>0.5</v>
      </c>
      <c r="L75" s="2478">
        <v>0</v>
      </c>
      <c r="N75" s="2490">
        <f t="shared" si="48"/>
        <v>1.3391770148526898E-2</v>
      </c>
      <c r="O75" s="2491">
        <f t="shared" si="48"/>
        <v>1.063264221158958E-2</v>
      </c>
      <c r="P75" s="2491">
        <f t="shared" si="49"/>
        <v>2.2244466688911134E-2</v>
      </c>
      <c r="Q75" s="2491">
        <f t="shared" si="49"/>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8"/>
        <v>114</v>
      </c>
      <c r="E76" s="2493">
        <v>108</v>
      </c>
      <c r="F76" s="2494">
        <v>104</v>
      </c>
      <c r="G76" s="3944">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52">B78+(B$76-B$80)/4</f>
        <v>109.75</v>
      </c>
      <c r="C77" s="2497">
        <f t="shared" si="52"/>
        <v>112.25</v>
      </c>
      <c r="D77" s="2497">
        <f t="shared" si="18"/>
        <v>112.25</v>
      </c>
      <c r="E77" s="2497">
        <f t="shared" ref="E77:F79" si="53">E78+(E$76-E$80)/4</f>
        <v>107.25</v>
      </c>
      <c r="F77" s="2497">
        <f t="shared" si="53"/>
        <v>103.5</v>
      </c>
      <c r="G77" s="3945">
        <v>2003</v>
      </c>
      <c r="H77" s="2449">
        <v>3</v>
      </c>
      <c r="I77" s="2495"/>
      <c r="J77" s="2495"/>
      <c r="K77" s="2495"/>
      <c r="L77" s="2495"/>
      <c r="X77" s="2487"/>
      <c r="Y77" s="2487"/>
      <c r="Z77" s="2487"/>
    </row>
    <row r="78" spans="1:26">
      <c r="A78" s="2423" t="s">
        <v>1172</v>
      </c>
      <c r="B78" s="2497">
        <f t="shared" si="52"/>
        <v>108.5</v>
      </c>
      <c r="C78" s="2497">
        <f t="shared" si="52"/>
        <v>110.5</v>
      </c>
      <c r="D78" s="2497">
        <f t="shared" si="18"/>
        <v>110.5</v>
      </c>
      <c r="E78" s="2497">
        <f t="shared" si="53"/>
        <v>106.5</v>
      </c>
      <c r="F78" s="2497">
        <f t="shared" si="53"/>
        <v>103</v>
      </c>
      <c r="G78" s="3945">
        <v>2003</v>
      </c>
      <c r="H78" s="2436">
        <v>2</v>
      </c>
      <c r="I78" s="2495"/>
      <c r="J78" s="2495"/>
      <c r="K78" s="2495"/>
      <c r="L78" s="2495"/>
      <c r="X78" s="2487"/>
      <c r="Y78" s="2487"/>
      <c r="Z78" s="2487"/>
    </row>
    <row r="79" spans="1:26" ht="13.5" thickBot="1">
      <c r="A79" s="2423" t="s">
        <v>1173</v>
      </c>
      <c r="B79" s="2497">
        <f t="shared" si="52"/>
        <v>107.25</v>
      </c>
      <c r="C79" s="2497">
        <f t="shared" si="52"/>
        <v>108.75</v>
      </c>
      <c r="D79" s="2497">
        <f t="shared" si="18"/>
        <v>108.75</v>
      </c>
      <c r="E79" s="2497">
        <f t="shared" si="53"/>
        <v>105.75</v>
      </c>
      <c r="F79" s="2497">
        <f t="shared" si="53"/>
        <v>102.5</v>
      </c>
      <c r="G79" s="3946">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8"/>
        <v>107</v>
      </c>
      <c r="E80" s="2499">
        <v>105</v>
      </c>
      <c r="F80" s="2500">
        <v>102</v>
      </c>
      <c r="G80" s="3944">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54">B82+(B$80-B$84)/4</f>
        <v>105</v>
      </c>
      <c r="C81" s="2497">
        <f t="shared" si="54"/>
        <v>106</v>
      </c>
      <c r="D81" s="2497">
        <f t="shared" si="18"/>
        <v>106</v>
      </c>
      <c r="E81" s="2497">
        <f t="shared" ref="E81:F83" si="55">E82+(E$80-E$84)/4</f>
        <v>104.5</v>
      </c>
      <c r="F81" s="2497">
        <f t="shared" si="55"/>
        <v>101.5</v>
      </c>
      <c r="G81" s="3945">
        <v>2002</v>
      </c>
      <c r="H81" s="2449">
        <v>3</v>
      </c>
      <c r="I81" s="2495"/>
      <c r="J81" s="2495"/>
      <c r="K81" s="2495"/>
      <c r="L81" s="2495"/>
      <c r="X81" s="2487"/>
      <c r="Y81" s="2487"/>
      <c r="Z81" s="2487"/>
    </row>
    <row r="82" spans="1:26">
      <c r="A82" s="2423" t="s">
        <v>1176</v>
      </c>
      <c r="B82" s="2497">
        <f t="shared" si="54"/>
        <v>104</v>
      </c>
      <c r="C82" s="2497">
        <f t="shared" si="54"/>
        <v>105</v>
      </c>
      <c r="D82" s="2497">
        <f t="shared" si="18"/>
        <v>105</v>
      </c>
      <c r="E82" s="2497">
        <f t="shared" si="55"/>
        <v>104</v>
      </c>
      <c r="F82" s="2497">
        <f t="shared" si="55"/>
        <v>101</v>
      </c>
      <c r="G82" s="3945">
        <v>2002</v>
      </c>
      <c r="H82" s="2436">
        <v>2</v>
      </c>
      <c r="I82" s="2495"/>
      <c r="J82" s="2495"/>
      <c r="K82" s="2495"/>
      <c r="L82" s="2495"/>
      <c r="X82" s="2487"/>
      <c r="Y82" s="2487"/>
      <c r="Z82" s="2487"/>
    </row>
    <row r="83" spans="1:26" s="2460" customFormat="1" ht="13.5" thickBot="1">
      <c r="A83" s="2456" t="s">
        <v>1177</v>
      </c>
      <c r="B83" s="2463">
        <f t="shared" si="54"/>
        <v>103</v>
      </c>
      <c r="C83" s="2463">
        <f t="shared" si="54"/>
        <v>104</v>
      </c>
      <c r="D83" s="2463">
        <f t="shared" si="18"/>
        <v>104</v>
      </c>
      <c r="E83" s="2463">
        <f t="shared" si="55"/>
        <v>103.5</v>
      </c>
      <c r="F83" s="2463">
        <f t="shared" si="55"/>
        <v>100.5</v>
      </c>
      <c r="G83" s="3946">
        <v>2002</v>
      </c>
      <c r="H83" s="2501">
        <v>1</v>
      </c>
      <c r="I83" s="2502"/>
      <c r="J83" s="2502"/>
      <c r="K83" s="2502"/>
      <c r="L83" s="2502"/>
      <c r="N83" s="2503"/>
      <c r="S83" s="2503"/>
      <c r="X83" s="2504"/>
      <c r="Y83" s="2504"/>
      <c r="Z83" s="2504"/>
    </row>
    <row r="84" spans="1:26" ht="13.5" thickBot="1">
      <c r="B84" s="2505">
        <v>102</v>
      </c>
      <c r="C84" s="2506">
        <v>103</v>
      </c>
      <c r="D84" s="2506">
        <f t="shared" si="18"/>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523" t="str">
        <f>IF(项目基本情况!B9="房地产市场价值","估价结果一览表","结果表-2")</f>
        <v>结果表-2</v>
      </c>
      <c r="B1" s="3523"/>
      <c r="C1" s="3523"/>
      <c r="D1" s="3523"/>
      <c r="E1" s="3523"/>
      <c r="F1" s="3523"/>
      <c r="G1" s="3523"/>
      <c r="H1" s="3523"/>
      <c r="I1" s="3523"/>
    </row>
    <row r="2" spans="1:9" ht="30" customHeight="1" thickTop="1">
      <c r="A2" s="3524" t="s">
        <v>1606</v>
      </c>
      <c r="B2" s="3524" t="s">
        <v>1607</v>
      </c>
      <c r="C2" s="3524" t="s">
        <v>1608</v>
      </c>
      <c r="D2" s="3524" t="str">
        <f>结果表!D116</f>
        <v>出让国有建设用地使用权价值</v>
      </c>
      <c r="E2" s="3524"/>
      <c r="F2" s="3524" t="str">
        <f>结果表!F116</f>
        <v>在建建筑物价值</v>
      </c>
      <c r="G2" s="3524"/>
      <c r="H2" s="3524" t="str">
        <f>IF(项目基本情况!B9="房地产市场价值","房地产市场价值","房地产价值")</f>
        <v>房地产价值</v>
      </c>
      <c r="I2" s="3524"/>
    </row>
    <row r="3" spans="1:9" ht="15">
      <c r="A3" s="3518"/>
      <c r="B3" s="3518"/>
      <c r="C3" s="3518"/>
      <c r="D3" s="963" t="s">
        <v>1603</v>
      </c>
      <c r="E3" s="963" t="s">
        <v>1609</v>
      </c>
      <c r="F3" s="963" t="s">
        <v>1603</v>
      </c>
      <c r="G3" s="963" t="s">
        <v>1604</v>
      </c>
      <c r="H3" s="963" t="s">
        <v>1603</v>
      </c>
      <c r="I3" s="963" t="s">
        <v>1604</v>
      </c>
    </row>
    <row r="4" spans="1:9" ht="15">
      <c r="A4" s="1690" t="str">
        <f>项目基本情况!S2</f>
        <v>北京市房地产</v>
      </c>
      <c r="B4" s="963">
        <f>项目基本情况!C17</f>
        <v>47689.05</v>
      </c>
      <c r="C4" s="963">
        <f>项目基本情况!C18</f>
        <v>5933.24</v>
      </c>
      <c r="D4" s="963" t="e">
        <f ca="1">结果表!D118</f>
        <v>#REF!</v>
      </c>
      <c r="E4" s="963" t="e">
        <f ca="1">结果表!E118</f>
        <v>#REF!</v>
      </c>
      <c r="F4" s="963" t="e">
        <f ca="1">结果表!F118</f>
        <v>#REF!</v>
      </c>
      <c r="G4" s="963" t="e">
        <f ca="1">结果表!G118</f>
        <v>#REF!</v>
      </c>
      <c r="H4" s="963">
        <f ca="1">结果表!H118</f>
        <v>179559</v>
      </c>
      <c r="I4" s="963">
        <f ca="1">结果表!I118</f>
        <v>37652</v>
      </c>
    </row>
    <row r="5" spans="1:9" ht="30" customHeight="1">
      <c r="A5" s="3518" t="s">
        <v>1605</v>
      </c>
      <c r="B5" s="3518"/>
      <c r="C5" s="3518"/>
      <c r="D5" s="3519" t="e">
        <f ca="1">结果表!D119</f>
        <v>#REF!</v>
      </c>
      <c r="E5" s="3519"/>
      <c r="F5" s="3519" t="e">
        <f ca="1">结果表!F119</f>
        <v>#REF!</v>
      </c>
      <c r="G5" s="3519"/>
      <c r="H5" s="3519" t="str">
        <f ca="1">结果表!H119</f>
        <v>壹拾柒亿玖仟伍佰伍拾玖万元整</v>
      </c>
      <c r="I5" s="3519"/>
    </row>
    <row r="6" spans="1:9" ht="15.75">
      <c r="A6" s="3517" t="str">
        <f>结果表!A120</f>
        <v>估价师知悉的法定优先受偿款</v>
      </c>
      <c r="B6" s="3517"/>
      <c r="C6" s="3517"/>
      <c r="D6" s="3517">
        <f>结果表!D120</f>
        <v>0</v>
      </c>
      <c r="E6" s="3517"/>
      <c r="F6" s="3517"/>
      <c r="G6" s="3517"/>
      <c r="H6" s="3517"/>
      <c r="I6" s="3517"/>
    </row>
    <row r="7" spans="1:9" ht="15">
      <c r="A7" s="3518" t="s">
        <v>1605</v>
      </c>
      <c r="B7" s="3518"/>
      <c r="C7" s="3518"/>
      <c r="D7" s="3520" t="str">
        <f>结果表!D121</f>
        <v>零元整</v>
      </c>
      <c r="E7" s="3521"/>
      <c r="F7" s="3521"/>
      <c r="G7" s="3521"/>
      <c r="H7" s="3521"/>
      <c r="I7" s="3522"/>
    </row>
    <row r="8" spans="1:9" ht="15.75">
      <c r="A8" s="3517" t="str">
        <f>结果表!A122</f>
        <v>房地产抵押价值</v>
      </c>
      <c r="B8" s="3517"/>
      <c r="C8" s="3517"/>
      <c r="D8" s="3517">
        <f ca="1">结果表!D122</f>
        <v>179559</v>
      </c>
      <c r="E8" s="3517"/>
      <c r="F8" s="3517"/>
      <c r="G8" s="3517"/>
      <c r="H8" s="3517"/>
      <c r="I8" s="3517"/>
    </row>
    <row r="9" spans="1:9" ht="15">
      <c r="A9" s="3518" t="s">
        <v>1605</v>
      </c>
      <c r="B9" s="3518"/>
      <c r="C9" s="3518"/>
      <c r="D9" s="3519" t="str">
        <f ca="1">结果表!D123</f>
        <v>壹拾柒亿玖仟伍佰伍拾玖万元整</v>
      </c>
      <c r="E9" s="3519"/>
      <c r="F9" s="3519"/>
      <c r="G9" s="3519"/>
      <c r="H9" s="3519"/>
      <c r="I9" s="3519"/>
    </row>
    <row r="10" spans="1:9" ht="15.75">
      <c r="A10" s="3517" t="str">
        <f>结果表!A124</f>
        <v/>
      </c>
      <c r="B10" s="3517"/>
      <c r="C10" s="3517"/>
      <c r="D10" s="3517" t="str">
        <f>结果表!D124</f>
        <v>——</v>
      </c>
      <c r="E10" s="3517"/>
      <c r="F10" s="3517"/>
      <c r="G10" s="3517"/>
      <c r="H10" s="3517"/>
      <c r="I10" s="3517"/>
    </row>
    <row r="11" spans="1:9" ht="15">
      <c r="A11" s="3518" t="s">
        <v>1605</v>
      </c>
      <c r="B11" s="3518"/>
      <c r="C11" s="3518"/>
      <c r="D11" s="3519" t="e">
        <f>结果表!D125</f>
        <v>#VALUE!</v>
      </c>
      <c r="E11" s="3519"/>
      <c r="F11" s="3519"/>
      <c r="G11" s="3519"/>
      <c r="H11" s="3519"/>
      <c r="I11" s="3519"/>
    </row>
    <row r="12" spans="1:9" ht="15.75">
      <c r="A12" s="3517" t="str">
        <f>结果表!A126</f>
        <v/>
      </c>
      <c r="B12" s="3517"/>
      <c r="C12" s="3517"/>
      <c r="D12" s="3517" t="str">
        <f>结果表!D126</f>
        <v>——</v>
      </c>
      <c r="E12" s="3517"/>
      <c r="F12" s="3517"/>
      <c r="G12" s="3517"/>
      <c r="H12" s="3517"/>
      <c r="I12" s="3517"/>
    </row>
    <row r="13" spans="1:9" ht="15.75" thickBot="1">
      <c r="A13" s="3514" t="s">
        <v>1605</v>
      </c>
      <c r="B13" s="3514"/>
      <c r="C13" s="3514"/>
      <c r="D13" s="3515" t="e">
        <f>结果表!D127</f>
        <v>#VALUE!</v>
      </c>
      <c r="E13" s="3515"/>
      <c r="F13" s="3515"/>
      <c r="G13" s="3515"/>
      <c r="H13" s="3515"/>
      <c r="I13" s="3515"/>
    </row>
    <row r="14" spans="1:9" ht="15" thickTop="1">
      <c r="A14" s="3516" t="s">
        <v>1610</v>
      </c>
      <c r="B14" s="3516"/>
      <c r="C14" s="3516"/>
      <c r="D14" s="3516"/>
      <c r="E14" s="3516"/>
      <c r="F14" s="3516"/>
      <c r="G14" s="3516"/>
      <c r="H14" s="3516"/>
      <c r="I14" s="351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524"/>
  <sheetViews>
    <sheetView zoomScale="90" zoomScaleNormal="90" workbookViewId="0">
      <pane ySplit="24" topLeftCell="A27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958" t="s">
        <v>2822</v>
      </c>
      <c r="D1" s="3959"/>
      <c r="E1" s="3959"/>
      <c r="F1" s="3959"/>
      <c r="G1" s="3959"/>
      <c r="H1" s="3959"/>
      <c r="I1" s="3959"/>
      <c r="J1" s="3959"/>
      <c r="K1" s="3959"/>
      <c r="L1" s="3959"/>
      <c r="M1" s="3959"/>
      <c r="N1" s="3959"/>
      <c r="O1" s="3959"/>
      <c r="P1" s="3959"/>
      <c r="Q1" s="3959"/>
      <c r="R1" s="3959"/>
      <c r="S1" s="3960"/>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4">
        <f t="shared" si="2"/>
        <v>100</v>
      </c>
      <c r="G6" s="1484">
        <f t="shared" si="2"/>
        <v>100</v>
      </c>
      <c r="H6" s="1484">
        <f t="shared" si="2"/>
        <v>100</v>
      </c>
      <c r="I6" s="1484">
        <f t="shared" si="2"/>
        <v>100</v>
      </c>
      <c r="J6" s="1484">
        <f t="shared" si="2"/>
        <v>100</v>
      </c>
      <c r="K6" s="1484">
        <f t="shared" si="2"/>
        <v>100</v>
      </c>
      <c r="L6" s="1484">
        <f t="shared" si="2"/>
        <v>100</v>
      </c>
      <c r="M6" s="1484">
        <f t="shared" si="2"/>
        <v>100</v>
      </c>
      <c r="N6" s="1484">
        <f t="shared" si="2"/>
        <v>100</v>
      </c>
      <c r="O6" s="1484">
        <f t="shared" si="2"/>
        <v>100</v>
      </c>
      <c r="P6" s="1484">
        <f t="shared" si="2"/>
        <v>100</v>
      </c>
      <c r="Q6" s="1484">
        <f t="shared" si="2"/>
        <v>100</v>
      </c>
      <c r="R6" s="1484">
        <f t="shared" si="2"/>
        <v>100</v>
      </c>
      <c r="S6" s="1484">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4">
        <f t="shared" si="3"/>
        <v>100</v>
      </c>
      <c r="G8" s="1484">
        <f t="shared" si="3"/>
        <v>100</v>
      </c>
      <c r="H8" s="1484">
        <f t="shared" si="3"/>
        <v>100</v>
      </c>
      <c r="I8" s="1484">
        <f t="shared" si="3"/>
        <v>100</v>
      </c>
      <c r="J8" s="1484">
        <f t="shared" si="3"/>
        <v>100</v>
      </c>
      <c r="K8" s="1484">
        <f t="shared" si="3"/>
        <v>100</v>
      </c>
      <c r="L8" s="1484">
        <f t="shared" si="3"/>
        <v>100</v>
      </c>
      <c r="M8" s="1484">
        <f t="shared" si="3"/>
        <v>100</v>
      </c>
      <c r="N8" s="1484">
        <f t="shared" si="3"/>
        <v>100</v>
      </c>
      <c r="O8" s="1484">
        <f t="shared" si="3"/>
        <v>100</v>
      </c>
      <c r="P8" s="1484">
        <f t="shared" si="3"/>
        <v>100</v>
      </c>
      <c r="Q8" s="1484">
        <f t="shared" si="3"/>
        <v>100</v>
      </c>
      <c r="R8" s="1484">
        <f t="shared" si="3"/>
        <v>100</v>
      </c>
      <c r="S8" s="1484">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4">
        <f t="shared" si="4"/>
        <v>100</v>
      </c>
      <c r="G10" s="1494">
        <f t="shared" si="4"/>
        <v>100</v>
      </c>
      <c r="H10" s="1494">
        <f t="shared" si="4"/>
        <v>100</v>
      </c>
      <c r="I10" s="1494">
        <f t="shared" si="4"/>
        <v>100</v>
      </c>
      <c r="J10" s="1494">
        <f t="shared" si="4"/>
        <v>100</v>
      </c>
      <c r="K10" s="1494">
        <f t="shared" si="4"/>
        <v>100</v>
      </c>
      <c r="L10" s="1494">
        <f t="shared" si="4"/>
        <v>100</v>
      </c>
      <c r="M10" s="1494">
        <f t="shared" si="4"/>
        <v>100</v>
      </c>
      <c r="N10" s="1494">
        <f t="shared" si="4"/>
        <v>100</v>
      </c>
      <c r="O10" s="1494">
        <f t="shared" si="4"/>
        <v>100</v>
      </c>
      <c r="P10" s="1494">
        <f t="shared" si="4"/>
        <v>100</v>
      </c>
      <c r="Q10" s="1494">
        <f t="shared" si="4"/>
        <v>100</v>
      </c>
      <c r="R10" s="1494">
        <f t="shared" si="4"/>
        <v>100</v>
      </c>
      <c r="S10" s="1494">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955" t="s">
        <v>33</v>
      </c>
      <c r="D22" s="3956"/>
      <c r="E22" s="3956"/>
      <c r="F22" s="3956"/>
      <c r="G22" s="3956"/>
      <c r="H22" s="3956"/>
      <c r="I22" s="3956"/>
      <c r="J22" s="3956"/>
      <c r="K22" s="3956"/>
      <c r="L22" s="3956"/>
      <c r="M22" s="3956"/>
      <c r="N22" s="3956"/>
      <c r="O22" s="3956"/>
      <c r="P22" s="3956"/>
      <c r="Q22" s="3957"/>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D20" xr:uid="{00000000-0002-0000-3000-000007000000}">
      <formula1>"需扣减承租人权益,——"</formula1>
    </dataValidation>
    <dataValidation type="list" allowBlank="1" showInputMessage="1" showErrorMessage="1" sqref="H20" xr:uid="{00000000-0002-0000-30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41820</v>
      </c>
      <c r="C2" s="2" t="s">
        <v>133</v>
      </c>
      <c r="D2" s="205"/>
      <c r="E2" s="205"/>
      <c r="F2" s="205"/>
      <c r="G2" s="205"/>
    </row>
    <row r="3" spans="1:7" s="206" customFormat="1" ht="18" customHeight="1" thickBot="1">
      <c r="A3" s="209" t="s">
        <v>85</v>
      </c>
      <c r="B3" s="210">
        <f ca="1">ROUND(B2*10000/'数据-汇总表'!E3,0)</f>
        <v>8769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954</v>
      </c>
      <c r="D10" s="954">
        <f>'数据-汇总表'!E6</f>
        <v>47689.05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954</v>
      </c>
      <c r="D19" s="958">
        <f>'数据-汇总表'!E3</f>
        <v>47689.05</v>
      </c>
      <c r="E19" s="217">
        <f>'数据-取费表'!B31</f>
        <v>200</v>
      </c>
      <c r="F19" s="237"/>
      <c r="G19" s="1" t="s">
        <v>1042</v>
      </c>
    </row>
    <row r="20" spans="1:7" s="220" customFormat="1" ht="13.5" customHeight="1">
      <c r="A20" s="885" t="s">
        <v>1025</v>
      </c>
      <c r="B20" s="216" t="s">
        <v>104</v>
      </c>
      <c r="C20" s="238">
        <f>ROUND((C5+C19)*F20,0)</f>
        <v>431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2347</v>
      </c>
      <c r="D22" s="241">
        <f ca="1">C26</f>
        <v>1.1000000000000001E-3</v>
      </c>
      <c r="E22" s="242" t="s">
        <v>126</v>
      </c>
      <c r="F22" s="243">
        <f ca="1">'数据-取费表'!B40</f>
        <v>5.2499999999999998E-2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2221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103</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4179</v>
      </c>
      <c r="D27" s="241">
        <f>C29</f>
        <v>3.8E-3</v>
      </c>
      <c r="E27" s="242" t="s">
        <v>126</v>
      </c>
      <c r="F27" s="252">
        <f>'数据-取费表'!Q16</f>
        <v>0.19</v>
      </c>
      <c r="G27" s="253" t="s">
        <v>1037</v>
      </c>
    </row>
    <row r="28" spans="1:7" s="220" customFormat="1" ht="13.5" customHeight="1">
      <c r="A28" s="888" t="s">
        <v>794</v>
      </c>
      <c r="B28" s="254" t="s">
        <v>1030</v>
      </c>
      <c r="C28" s="255">
        <f>ROUND((C5+C19+C20)*F27*'数据-取费表'!B21/'数据-取费表'!B20,0)</f>
        <v>4179</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9889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8550</v>
      </c>
      <c r="D34" s="223"/>
      <c r="E34" s="226"/>
      <c r="F34" s="263">
        <f>IF('数据-取费表'!B24=0,1,'数据-取费表'!N16)</f>
        <v>1</v>
      </c>
      <c r="G34" s="225" t="s">
        <v>116</v>
      </c>
    </row>
    <row r="35" spans="1:7" ht="13.5" customHeight="1">
      <c r="A35" s="888" t="s">
        <v>796</v>
      </c>
      <c r="B35" s="221" t="s">
        <v>60</v>
      </c>
      <c r="C35" s="226">
        <f>ROUND(C34*F35,0)</f>
        <v>257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954</v>
      </c>
      <c r="D37" s="223">
        <f>'数据-汇总表'!E3</f>
        <v>47689.05</v>
      </c>
      <c r="E37" s="255">
        <f>'数据-取费表'!B35</f>
        <v>200</v>
      </c>
      <c r="F37" s="265"/>
      <c r="G37" s="267" t="s">
        <v>119</v>
      </c>
    </row>
    <row r="38" spans="1:7" ht="13.5" customHeight="1">
      <c r="A38" s="888" t="s">
        <v>799</v>
      </c>
      <c r="B38" s="221" t="s">
        <v>63</v>
      </c>
      <c r="C38" s="226">
        <f>ROUND(C34*F38,0)</f>
        <v>128</v>
      </c>
      <c r="D38" s="226"/>
      <c r="E38" s="226"/>
      <c r="F38" s="265">
        <f>'数据-取费表'!B36</f>
        <v>1.4999999999999999E-2</v>
      </c>
      <c r="G38" s="225" t="s">
        <v>117</v>
      </c>
    </row>
    <row r="39" spans="1:7" s="220" customFormat="1" ht="13.5" customHeight="1">
      <c r="A39" s="885" t="s">
        <v>783</v>
      </c>
      <c r="B39" s="216" t="s">
        <v>104</v>
      </c>
      <c r="C39" s="238">
        <f>ROUND(C33*F20,0)</f>
        <v>198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529</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519</v>
      </c>
      <c r="D42" s="244"/>
      <c r="E42" s="244"/>
      <c r="F42" s="245"/>
      <c r="G42" s="3732" t="s">
        <v>121</v>
      </c>
    </row>
    <row r="43" spans="1:7" ht="13.5" customHeight="1">
      <c r="A43" s="888" t="s">
        <v>792</v>
      </c>
      <c r="B43" s="221" t="s">
        <v>1032</v>
      </c>
      <c r="C43" s="244">
        <f ca="1">ROUND(IF('数据-取费表'!B22&lt;=1,C39*F22*'数据-取费表'!B21/2,C39*(POWER((1+F22),'数据-取费表'!B21/2)-1)),0)</f>
        <v>10</v>
      </c>
      <c r="D43" s="244"/>
      <c r="E43" s="244"/>
      <c r="F43" s="245"/>
      <c r="G43" s="3733"/>
    </row>
    <row r="44" spans="1:7" ht="13.5" customHeight="1">
      <c r="A44" s="888" t="s">
        <v>793</v>
      </c>
      <c r="B44" s="221" t="s">
        <v>1034</v>
      </c>
      <c r="C44" s="244">
        <f ca="1">ROUND(IF('数据-取费表'!B22&lt;=1,C40*F22*'数据-取费表'!B21/2,C40*(POWER((1+F22),'数据-取费表'!B21/2)-1)),4)</f>
        <v>1.1000000000000001E-3</v>
      </c>
      <c r="D44" s="244"/>
      <c r="E44" s="244"/>
      <c r="F44" s="245"/>
      <c r="G44" s="3734"/>
    </row>
    <row r="45" spans="1:7" s="220" customFormat="1" ht="13.5" customHeight="1">
      <c r="A45" s="885" t="s">
        <v>786</v>
      </c>
      <c r="B45" s="250" t="s">
        <v>112</v>
      </c>
      <c r="C45" s="251">
        <f>C46</f>
        <v>1917</v>
      </c>
      <c r="D45" s="241">
        <f>C47</f>
        <v>3.8E-3</v>
      </c>
      <c r="E45" s="242" t="s">
        <v>129</v>
      </c>
      <c r="F45" s="252"/>
      <c r="G45" s="253" t="s">
        <v>1040</v>
      </c>
    </row>
    <row r="46" spans="1:7" s="220" customFormat="1" ht="13.5" customHeight="1">
      <c r="A46" s="888" t="s">
        <v>794</v>
      </c>
      <c r="B46" s="254" t="s">
        <v>1033</v>
      </c>
      <c r="C46" s="255">
        <f>ROUND((C33+C39)*F27,0)</f>
        <v>1917</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13597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10878</v>
      </c>
      <c r="D51" s="238"/>
      <c r="E51" s="238"/>
      <c r="F51" s="270"/>
      <c r="G51" s="240" t="s">
        <v>64</v>
      </c>
    </row>
    <row r="52" spans="1:7" s="214" customFormat="1" ht="16.5" thickBot="1">
      <c r="A52" s="271" t="s">
        <v>65</v>
      </c>
      <c r="B52" s="272"/>
      <c r="C52" s="273">
        <f ca="1">C31+C51</f>
        <v>41820</v>
      </c>
      <c r="D52" s="272"/>
      <c r="E52" s="272"/>
      <c r="F52" s="272"/>
      <c r="G52" s="274"/>
    </row>
    <row r="55" spans="1:7" ht="15">
      <c r="B55" s="276" t="s">
        <v>66</v>
      </c>
      <c r="C55" s="277"/>
    </row>
    <row r="56" spans="1:7">
      <c r="B56" s="279" t="s">
        <v>67</v>
      </c>
      <c r="C56" s="280">
        <f ca="1">ROUND(C51/C52,3)</f>
        <v>0.26</v>
      </c>
    </row>
    <row r="57" spans="1:7">
      <c r="B57" s="279" t="s">
        <v>68</v>
      </c>
      <c r="C57" s="281">
        <f ca="1">1-C56</f>
        <v>0.74</v>
      </c>
    </row>
  </sheetData>
  <mergeCells count="1">
    <mergeCell ref="G42:G44"/>
  </mergeCells>
  <phoneticPr fontId="19"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961" t="s">
        <v>156</v>
      </c>
      <c r="B1" s="3961"/>
      <c r="C1" s="3961"/>
      <c r="D1" s="3961"/>
      <c r="E1" s="3961"/>
      <c r="F1" s="39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962" t="s">
        <v>169</v>
      </c>
      <c r="B2" s="3962"/>
      <c r="C2" s="3962"/>
      <c r="D2" s="3962"/>
      <c r="E2" s="3962"/>
      <c r="F2" s="39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9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9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961" t="s">
        <v>839</v>
      </c>
      <c r="B1" s="39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42914</v>
      </c>
      <c r="D1" s="1470" t="s">
        <v>1268</v>
      </c>
      <c r="E1" s="1465">
        <f>'数据-取费表'!B22</f>
        <v>2</v>
      </c>
      <c r="F1" s="1470" t="s">
        <v>1269</v>
      </c>
      <c r="G1" s="1466">
        <f ca="1">INDIRECT("d"&amp;$K$1)/100</f>
        <v>4.7500000000000001E-2</v>
      </c>
      <c r="H1" s="1470" t="s">
        <v>1299</v>
      </c>
      <c r="I1" s="1466">
        <f ca="1">F4/100</f>
        <v>1.4999999999999999E-2</v>
      </c>
      <c r="J1" s="1471">
        <f>IF(C1&gt;C13,0,MATCH(C1,C$13:C$105,-1))+IF(SUMIF(C13:C105,C1,D13:D105)=0,13,12)</f>
        <v>18</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3054</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1"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531" t="s">
        <v>1627</v>
      </c>
      <c r="B1" s="3531"/>
      <c r="C1" s="3531"/>
      <c r="D1" s="3531"/>
    </row>
    <row r="2" spans="1:4" ht="18">
      <c r="A2" s="3532" t="s">
        <v>1611</v>
      </c>
      <c r="B2" s="3532"/>
      <c r="C2" s="3532"/>
      <c r="D2" s="3532"/>
    </row>
    <row r="3" spans="1:4" ht="18.75">
      <c r="A3" s="1694" t="s">
        <v>1612</v>
      </c>
      <c r="B3" s="1694" t="s">
        <v>1613</v>
      </c>
      <c r="C3" s="1694" t="s">
        <v>1614</v>
      </c>
      <c r="D3" s="1694" t="s">
        <v>1615</v>
      </c>
    </row>
    <row r="4" spans="1:4" ht="56.25" customHeight="1">
      <c r="A4" s="1695" t="str">
        <f>项目基本情况!B4</f>
        <v>梁津</v>
      </c>
      <c r="B4" s="1696">
        <f ca="1">项目基本情况!C4</f>
        <v>1119970066</v>
      </c>
      <c r="C4" s="1697"/>
      <c r="D4" s="1698" t="s">
        <v>1616</v>
      </c>
    </row>
    <row r="5" spans="1:4" ht="56.25" customHeight="1">
      <c r="A5" s="1695" t="str">
        <f>项目基本情况!D4</f>
        <v>陈颖</v>
      </c>
      <c r="B5" s="1696">
        <f ca="1">项目基本情况!E4</f>
        <v>0</v>
      </c>
      <c r="C5" s="1699"/>
      <c r="D5" s="1698" t="s">
        <v>1616</v>
      </c>
    </row>
    <row r="6" spans="1:4" ht="18">
      <c r="A6" s="3532" t="s">
        <v>1617</v>
      </c>
      <c r="B6" s="3532"/>
      <c r="C6" s="3532"/>
      <c r="D6" s="353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533" t="s">
        <v>1620</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0"/>
      <c r="C12" s="3530"/>
      <c r="D12" s="3530"/>
    </row>
    <row r="13" spans="1:4" ht="30" customHeight="1">
      <c r="A13" s="3525" t="str">
        <f>IF(项目基本情况!B8="抵押","3.抵押双方在办理抵押登记手续时，应使用本公司出具的正式《房地产评估报告》，特提醒报告使用者注意。","——")</f>
        <v>——</v>
      </c>
      <c r="B13" s="3530"/>
      <c r="C13" s="3530"/>
      <c r="D13" s="3530"/>
    </row>
    <row r="14" spans="1:4" ht="15.75" customHeight="1">
      <c r="A14" s="3525" t="str">
        <f>IF(项目基本情况!B8="抵押","4.本次评估估价师所知悉的法定优先受偿款情况说明如下：","——")</f>
        <v>——</v>
      </c>
      <c r="B14" s="3530"/>
      <c r="C14" s="3530"/>
      <c r="D14" s="3530"/>
    </row>
    <row r="15" spans="1:4" ht="42" customHeight="1">
      <c r="A15" s="3525" t="str">
        <f>IF(项目基本情况!B8="抵押","（1）"&amp;CONCATENATE(项目基本情况!L20,项目基本情况!L21,项目基本情况!L22),"——")</f>
        <v>——</v>
      </c>
      <c r="B15" s="3525"/>
      <c r="C15" s="3525"/>
      <c r="D15" s="3525"/>
    </row>
    <row r="16" spans="1:4" ht="30" customHeight="1">
      <c r="A16" s="3527" t="s">
        <v>1621</v>
      </c>
      <c r="B16" s="3527"/>
      <c r="C16" s="3527"/>
      <c r="D16" s="3527"/>
    </row>
    <row r="17" spans="1:4" ht="144" customHeight="1">
      <c r="A17" s="3527" t="s">
        <v>1622</v>
      </c>
      <c r="B17" s="3527"/>
      <c r="C17" s="3527"/>
      <c r="D17" s="3527"/>
    </row>
    <row r="18" spans="1:4" ht="15.75" customHeight="1">
      <c r="A18" s="3525" t="str">
        <f>IF(项目基本情况!B8="抵押",结果表!K120,"——")</f>
        <v>——</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1623</v>
      </c>
      <c r="B22" s="3529"/>
      <c r="C22" s="3529"/>
      <c r="D22" s="352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526">
        <v>42551</v>
      </c>
      <c r="D31" s="35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539" t="s">
        <v>1634</v>
      </c>
      <c r="B15" s="3534" t="s">
        <v>136</v>
      </c>
      <c r="C15" s="3535"/>
    </row>
    <row r="16" spans="1:7" ht="13.5">
      <c r="A16" s="3540"/>
      <c r="B16" s="3534" t="s">
        <v>69</v>
      </c>
      <c r="C16" s="3535"/>
    </row>
    <row r="17" spans="1:3" ht="13.5">
      <c r="A17" s="3540"/>
      <c r="B17" s="3537" t="s">
        <v>1635</v>
      </c>
      <c r="C17" s="1717" t="s">
        <v>1634</v>
      </c>
    </row>
    <row r="18" spans="1:3" ht="13.5">
      <c r="A18" s="3540"/>
      <c r="B18" s="3537"/>
      <c r="C18" s="1717" t="s">
        <v>1636</v>
      </c>
    </row>
    <row r="19" spans="1:3" ht="13.5">
      <c r="A19" s="3540"/>
      <c r="B19" s="3537"/>
      <c r="C19" s="1717" t="s">
        <v>1637</v>
      </c>
    </row>
    <row r="20" spans="1:3" ht="13.5">
      <c r="A20" s="3541"/>
      <c r="B20" s="3536" t="s">
        <v>1638</v>
      </c>
      <c r="C20" s="3535"/>
    </row>
    <row r="21" spans="1:3" ht="13.5">
      <c r="A21" s="1718" t="s">
        <v>1639</v>
      </c>
      <c r="B21" s="1719"/>
      <c r="C21" s="1720"/>
    </row>
    <row r="22" spans="1:3" ht="13.5">
      <c r="A22" s="3538" t="s">
        <v>1640</v>
      </c>
      <c r="B22" s="3536" t="s">
        <v>1641</v>
      </c>
      <c r="C22" s="3535"/>
    </row>
    <row r="23" spans="1:3" ht="13.5">
      <c r="A23" s="3538"/>
      <c r="B23" s="3536" t="s">
        <v>1642</v>
      </c>
      <c r="C23" s="3535"/>
    </row>
    <row r="24" spans="1:3" ht="13.5">
      <c r="A24" s="3538"/>
      <c r="B24" s="3536" t="s">
        <v>1643</v>
      </c>
      <c r="C24" s="3535"/>
    </row>
    <row r="25" spans="1:3" ht="13.5">
      <c r="A25" s="3538"/>
      <c r="B25" s="3537" t="s">
        <v>1644</v>
      </c>
      <c r="C25" s="1717" t="s">
        <v>1645</v>
      </c>
    </row>
    <row r="26" spans="1:3" ht="13.5">
      <c r="A26" s="3538"/>
      <c r="B26" s="3537"/>
      <c r="C26" s="1717" t="s">
        <v>1646</v>
      </c>
    </row>
    <row r="27" spans="1:3" ht="13.5">
      <c r="A27" s="3538"/>
      <c r="B27" s="3537"/>
      <c r="C27" s="1717" t="s">
        <v>1647</v>
      </c>
    </row>
    <row r="28" spans="1:3" ht="13.5">
      <c r="A28" s="3538"/>
      <c r="B28" s="3537"/>
      <c r="C28" s="1717" t="s">
        <v>1648</v>
      </c>
    </row>
    <row r="29" spans="1:3" ht="13.5">
      <c r="A29" s="3538"/>
      <c r="B29" s="3537"/>
      <c r="C29" s="1717" t="s">
        <v>1649</v>
      </c>
    </row>
    <row r="30" spans="1:3" ht="13.5">
      <c r="A30" s="3538"/>
      <c r="B30" s="3537"/>
      <c r="C30" s="1717" t="s">
        <v>1650</v>
      </c>
    </row>
    <row r="31" spans="1:3" ht="13.5">
      <c r="A31" s="3538"/>
      <c r="B31" s="3537"/>
      <c r="C31" s="1717" t="s">
        <v>1651</v>
      </c>
    </row>
    <row r="32" spans="1:3" ht="13.5">
      <c r="A32" s="3538"/>
      <c r="B32" s="3537"/>
      <c r="C32" s="1717" t="s">
        <v>1652</v>
      </c>
    </row>
    <row r="33" spans="1:3" ht="13.5">
      <c r="A33" s="3538"/>
      <c r="B33" s="353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44567</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t="str">
        <f ca="1">IF(C9&lt;B2,"已过期",1120060040)</f>
        <v>已过期</v>
      </c>
      <c r="C9" s="2573">
        <v>44554</v>
      </c>
      <c r="D9" s="2569" t="str">
        <f t="shared" ca="1" si="0"/>
        <v>陈颖（注册号：已过期）</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542" t="s">
        <v>2899</v>
      </c>
      <c r="B17" s="3542"/>
      <c r="C17" s="3542"/>
      <c r="D17" s="3542"/>
      <c r="E17" s="3542"/>
      <c r="F17" s="3542"/>
      <c r="G17" s="3542"/>
      <c r="H17" s="3542"/>
    </row>
    <row r="18" spans="1:8" ht="24" customHeight="1">
      <c r="A18" s="3543" t="s">
        <v>2900</v>
      </c>
      <c r="B18" s="3543"/>
      <c r="C18" s="3543"/>
      <c r="D18" s="2566"/>
      <c r="E18" s="3544" t="s">
        <v>2901</v>
      </c>
      <c r="F18" s="3543"/>
      <c r="G18" s="3543"/>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95" priority="51">
      <formula>AND($C4-TODAY()&lt;30,TODAY()&lt;$C4)</formula>
    </cfRule>
  </conditionalFormatting>
  <conditionalFormatting sqref="C20:D20">
    <cfRule type="expression" dxfId="294" priority="50">
      <formula>AND($C20-TODAY()&lt;30,TODAY()&lt;$C20)</formula>
    </cfRule>
  </conditionalFormatting>
  <conditionalFormatting sqref="C20:D20 G4 C4:D5 C13:D13">
    <cfRule type="cellIs" dxfId="293" priority="52" stopIfTrue="1" operator="lessThan">
      <formula>$B$2</formula>
    </cfRule>
  </conditionalFormatting>
  <conditionalFormatting sqref="G5 G7 G9">
    <cfRule type="cellIs" dxfId="292" priority="49" stopIfTrue="1" operator="lessThan">
      <formula>$B$2</formula>
    </cfRule>
  </conditionalFormatting>
  <conditionalFormatting sqref="C6:D6 D14 D16">
    <cfRule type="expression" dxfId="291" priority="47">
      <formula>AND($C6-TODAY()&lt;30,TODAY()&lt;$C6)</formula>
    </cfRule>
  </conditionalFormatting>
  <conditionalFormatting sqref="G6 G8 G10 C6:D6 D7:D12 D14 D16">
    <cfRule type="cellIs" dxfId="290" priority="48" stopIfTrue="1" operator="lessThan">
      <formula>$B$2</formula>
    </cfRule>
  </conditionalFormatting>
  <conditionalFormatting sqref="D12">
    <cfRule type="expression" dxfId="289" priority="45">
      <formula>AND($C12-TODAY()&lt;30,TODAY()&lt;$C12)</formula>
    </cfRule>
  </conditionalFormatting>
  <conditionalFormatting sqref="D12">
    <cfRule type="cellIs" dxfId="288" priority="46" stopIfTrue="1" operator="lessThan">
      <formula>$B$2</formula>
    </cfRule>
  </conditionalFormatting>
  <conditionalFormatting sqref="C13:D13">
    <cfRule type="expression" dxfId="287" priority="43">
      <formula>AND($C13-TODAY()&lt;30,TODAY()&lt;$C13)</formula>
    </cfRule>
  </conditionalFormatting>
  <conditionalFormatting sqref="C13:D13">
    <cfRule type="cellIs" dxfId="286" priority="44" stopIfTrue="1" operator="lessThan">
      <formula>$B$2</formula>
    </cfRule>
  </conditionalFormatting>
  <conditionalFormatting sqref="D14">
    <cfRule type="expression" dxfId="285" priority="41">
      <formula>AND($C14-TODAY()&lt;30,TODAY()&lt;$C14)</formula>
    </cfRule>
  </conditionalFormatting>
  <conditionalFormatting sqref="D14">
    <cfRule type="cellIs" dxfId="284" priority="42" stopIfTrue="1" operator="lessThan">
      <formula>$B$2</formula>
    </cfRule>
  </conditionalFormatting>
  <conditionalFormatting sqref="G13">
    <cfRule type="cellIs" dxfId="283" priority="40" stopIfTrue="1" operator="lessThan">
      <formula>$B$2</formula>
    </cfRule>
  </conditionalFormatting>
  <conditionalFormatting sqref="B4:B11 F4:F11 B13 F13:F14">
    <cfRule type="cellIs" dxfId="282" priority="39" stopIfTrue="1" operator="equal">
      <formula>"已过期"</formula>
    </cfRule>
  </conditionalFormatting>
  <conditionalFormatting sqref="G20">
    <cfRule type="expression" dxfId="281" priority="37">
      <formula>AND($E20-TODAY()&lt;30,TODAY()&lt;$E20)</formula>
    </cfRule>
  </conditionalFormatting>
  <conditionalFormatting sqref="G20">
    <cfRule type="cellIs" dxfId="280" priority="38" stopIfTrue="1" operator="lessThan">
      <formula>$B$2</formula>
    </cfRule>
  </conditionalFormatting>
  <conditionalFormatting sqref="C7">
    <cfRule type="expression" dxfId="279" priority="35">
      <formula>AND($C7-TODAY()&lt;30,TODAY()&lt;$C7)</formula>
    </cfRule>
  </conditionalFormatting>
  <conditionalFormatting sqref="C7">
    <cfRule type="cellIs" dxfId="278" priority="36" stopIfTrue="1" operator="lessThan">
      <formula>$B$2</formula>
    </cfRule>
  </conditionalFormatting>
  <conditionalFormatting sqref="C8">
    <cfRule type="expression" dxfId="277" priority="33">
      <formula>AND($C8-TODAY()&lt;30,TODAY()&lt;$C8)</formula>
    </cfRule>
  </conditionalFormatting>
  <conditionalFormatting sqref="C8">
    <cfRule type="cellIs" dxfId="276" priority="34" stopIfTrue="1" operator="lessThan">
      <formula>$B$2</formula>
    </cfRule>
  </conditionalFormatting>
  <conditionalFormatting sqref="C11">
    <cfRule type="expression" dxfId="275" priority="31">
      <formula>AND($C11-TODAY()&lt;30,TODAY()&lt;$C11)</formula>
    </cfRule>
  </conditionalFormatting>
  <conditionalFormatting sqref="C11">
    <cfRule type="cellIs" dxfId="274" priority="32" stopIfTrue="1" operator="lessThan">
      <formula>$B$2</formula>
    </cfRule>
  </conditionalFormatting>
  <conditionalFormatting sqref="A16:C16">
    <cfRule type="cellIs" dxfId="273" priority="30" stopIfTrue="1" operator="equal">
      <formula>"已过期"</formula>
    </cfRule>
  </conditionalFormatting>
  <conditionalFormatting sqref="E16:G16">
    <cfRule type="cellIs" dxfId="272" priority="29" stopIfTrue="1" operator="equal">
      <formula>"已过期"</formula>
    </cfRule>
  </conditionalFormatting>
  <conditionalFormatting sqref="G11">
    <cfRule type="cellIs" dxfId="271" priority="28" stopIfTrue="1" operator="lessThan">
      <formula>$B$2</formula>
    </cfRule>
  </conditionalFormatting>
  <conditionalFormatting sqref="F12">
    <cfRule type="cellIs" dxfId="270" priority="27" stopIfTrue="1" operator="equal">
      <formula>"已过期"</formula>
    </cfRule>
  </conditionalFormatting>
  <conditionalFormatting sqref="G12">
    <cfRule type="cellIs" dxfId="269" priority="26" stopIfTrue="1" operator="lessThan">
      <formula>$B$2</formula>
    </cfRule>
  </conditionalFormatting>
  <conditionalFormatting sqref="C12">
    <cfRule type="cellIs" dxfId="268" priority="25" stopIfTrue="1" operator="lessThan">
      <formula>$B$2</formula>
    </cfRule>
  </conditionalFormatting>
  <conditionalFormatting sqref="C12">
    <cfRule type="expression" dxfId="267" priority="23">
      <formula>AND($C12-TODAY()&lt;30,TODAY()&lt;$C12)</formula>
    </cfRule>
  </conditionalFormatting>
  <conditionalFormatting sqref="C12">
    <cfRule type="cellIs" dxfId="266" priority="24" stopIfTrue="1" operator="lessThan">
      <formula>$B$2</formula>
    </cfRule>
  </conditionalFormatting>
  <conditionalFormatting sqref="B12">
    <cfRule type="cellIs" dxfId="265" priority="22" stopIfTrue="1" operator="equal">
      <formula>"已过期"</formula>
    </cfRule>
  </conditionalFormatting>
  <conditionalFormatting sqref="C9:C10">
    <cfRule type="expression" dxfId="264" priority="20">
      <formula>AND($C9-TODAY()&lt;30,TODAY()&lt;$C9)</formula>
    </cfRule>
  </conditionalFormatting>
  <conditionalFormatting sqref="C9:C10">
    <cfRule type="cellIs" dxfId="263" priority="21" stopIfTrue="1" operator="lessThan">
      <formula>$B$2</formula>
    </cfRule>
  </conditionalFormatting>
  <conditionalFormatting sqref="G21">
    <cfRule type="expression" dxfId="262" priority="18" stopIfTrue="1">
      <formula>AND(#REF!-TODAY()&lt;30,TODAY()&lt;#REF!)</formula>
    </cfRule>
  </conditionalFormatting>
  <conditionalFormatting sqref="G21">
    <cfRule type="cellIs" dxfId="261" priority="19"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198</vt:i4>
      </vt:variant>
    </vt:vector>
  </HeadingPairs>
  <TitlesOfParts>
    <vt:vector size="2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结果一览表</vt:lpstr>
      <vt:lpstr>结果表</vt:lpstr>
      <vt:lpstr>成本法</vt:lpstr>
      <vt:lpstr>成本法 (元)</vt:lpstr>
      <vt:lpstr>假设开发法</vt:lpstr>
      <vt:lpstr>收益法 (元)</vt:lpstr>
      <vt:lpstr>收益法（汇总）</vt:lpstr>
      <vt:lpstr>酒店收入计算</vt:lpstr>
      <vt:lpstr>比较法-住宅</vt:lpstr>
      <vt:lpstr>比较法-工业</vt:lpstr>
      <vt:lpstr>比较法-仓储</vt:lpstr>
      <vt:lpstr>土地比较法-住宅、综合</vt:lpstr>
      <vt:lpstr>土地比较法-工业</vt:lpstr>
      <vt:lpstr>基准地价（汇总）</vt:lpstr>
      <vt:lpstr>基准地价修正-办公</vt:lpstr>
      <vt:lpstr>修正</vt:lpstr>
      <vt:lpstr>容积率修正</vt:lpstr>
      <vt:lpstr>基准地价修正-商业</vt:lpstr>
      <vt:lpstr>收益法</vt:lpstr>
      <vt:lpstr>比较法-商业</vt:lpstr>
      <vt:lpstr>比较法-大宗交易</vt:lpstr>
      <vt:lpstr>比较法-商业租金</vt:lpstr>
      <vt:lpstr>比较法-地下商业租金</vt:lpstr>
      <vt:lpstr>比较法租金-办公</vt:lpstr>
      <vt:lpstr>比较法-车位租金</vt:lpstr>
      <vt:lpstr>面积表及结果</vt:lpstr>
      <vt:lpstr>案例-租金</vt:lpstr>
      <vt:lpstr>案例-销售</vt:lpstr>
      <vt:lpstr>Sheet1</vt:lpstr>
      <vt:lpstr>市场走势</vt:lpstr>
      <vt:lpstr>Sheet2</vt:lpstr>
      <vt:lpstr>地价</vt:lpstr>
      <vt:lpstr>典型户型修正</vt:lpstr>
      <vt:lpstr>成本法（废）</vt:lpstr>
      <vt:lpstr>区片价</vt:lpstr>
      <vt:lpstr>因素修正幅度</vt:lpstr>
      <vt:lpstr>存贷款利率</vt:lpstr>
      <vt:lpstr>区片价（范围）</vt:lpstr>
      <vt:lpstr>'比较法-仓储'!Print_Area</vt:lpstr>
      <vt:lpstr>'比较法-车位租金'!Print_Area</vt:lpstr>
      <vt:lpstr>'比较法-大宗交易'!Print_Area</vt:lpstr>
      <vt:lpstr>'比较法-地下商业租金'!Print_Area</vt:lpstr>
      <vt:lpstr>'比较法-工业'!Print_Area</vt:lpstr>
      <vt:lpstr>'比较法-商业'!Print_Area</vt:lpstr>
      <vt:lpstr>'比较法-商业租金'!Print_Area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'比较法-大宗交易'!办公层高</vt:lpstr>
      <vt:lpstr>办公层高</vt:lpstr>
      <vt:lpstr>'比较法-大宗交易'!办公朝向</vt:lpstr>
      <vt:lpstr>办公朝向</vt:lpstr>
      <vt:lpstr>'比较法-大宗交易'!办公道路级别</vt:lpstr>
      <vt:lpstr>办公道路级别</vt:lpstr>
      <vt:lpstr>'比较法-大宗交易'!办公公共部分装修</vt:lpstr>
      <vt:lpstr>办公公共部分装修</vt:lpstr>
      <vt:lpstr>'比较法-大宗交易'!办公基础设施水平</vt:lpstr>
      <vt:lpstr>办公基础设施水平</vt:lpstr>
      <vt:lpstr>办公集聚程度</vt:lpstr>
      <vt:lpstr>'比较法-大宗交易'!办公建筑结构</vt:lpstr>
      <vt:lpstr>办公建筑结构</vt:lpstr>
      <vt:lpstr>'比较法-大宗交易'!办公建筑类型</vt:lpstr>
      <vt:lpstr>办公建筑类型</vt:lpstr>
      <vt:lpstr>'比较法-大宗交易'!办公交易情况</vt:lpstr>
      <vt:lpstr>办公交易情况</vt:lpstr>
      <vt:lpstr>'比较法-大宗交易'!办公楼层</vt:lpstr>
      <vt:lpstr>办公楼层</vt:lpstr>
      <vt:lpstr>'比较法-大宗交易'!办公内部装修</vt:lpstr>
      <vt:lpstr>办公内部装修</vt:lpstr>
      <vt:lpstr>'比较法-大宗交易'!办公物业管理</vt:lpstr>
      <vt:lpstr>办公物业管理</vt:lpstr>
      <vt:lpstr>'比较法-大宗交易'!办公用途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'比较法-地下商业租金'!商业层高</vt:lpstr>
      <vt:lpstr>'比较法-商业'!商业层高</vt:lpstr>
      <vt:lpstr>商业层高</vt:lpstr>
      <vt:lpstr>'比较法-地下商业租金'!商业成新度</vt:lpstr>
      <vt:lpstr>'比较法-商业'!商业成新度</vt:lpstr>
      <vt:lpstr>商业成新度</vt:lpstr>
      <vt:lpstr>商业繁华度</vt:lpstr>
      <vt:lpstr>'比较法-地下商业租金'!商业公共部分装修</vt:lpstr>
      <vt:lpstr>'比较法-商业'!商业公共部分装修</vt:lpstr>
      <vt:lpstr>商业公共部分装修</vt:lpstr>
      <vt:lpstr>'比较法-地下商业租金'!商业基础设施水平</vt:lpstr>
      <vt:lpstr>'比较法-商业'!商业基础设施水平</vt:lpstr>
      <vt:lpstr>商业基础设施水平</vt:lpstr>
      <vt:lpstr>'比较法-地下商业租金'!商业建筑结构</vt:lpstr>
      <vt:lpstr>'比较法-商业'!商业建筑结构</vt:lpstr>
      <vt:lpstr>商业建筑结构</vt:lpstr>
      <vt:lpstr>'比较法-地下商业租金'!商业交易情况</vt:lpstr>
      <vt:lpstr>'比较法-商业'!商业交易情况</vt:lpstr>
      <vt:lpstr>商业交易情况</vt:lpstr>
      <vt:lpstr>商业街名称</vt:lpstr>
      <vt:lpstr>'比较法-地下商业租金'!商业进深比</vt:lpstr>
      <vt:lpstr>'比较法-商业'!商业进深比</vt:lpstr>
      <vt:lpstr>商业进深比</vt:lpstr>
      <vt:lpstr>'比较法-地下商业租金'!商业类型</vt:lpstr>
      <vt:lpstr>'比较法-商业'!商业类型</vt:lpstr>
      <vt:lpstr>商业类型</vt:lpstr>
      <vt:lpstr>'比较法-地下商业租金'!商业临街状况</vt:lpstr>
      <vt:lpstr>'比较法-商业'!商业临街状况</vt:lpstr>
      <vt:lpstr>商业临街状况</vt:lpstr>
      <vt:lpstr>'比较法-地下商业租金'!商业楼层</vt:lpstr>
      <vt:lpstr>'比较法-商业'!商业楼层</vt:lpstr>
      <vt:lpstr>商业楼层</vt:lpstr>
      <vt:lpstr>'比较法-地下商业租金'!商业内部装修</vt:lpstr>
      <vt:lpstr>'比较法-商业'!商业内部装修</vt:lpstr>
      <vt:lpstr>商业内部装修</vt:lpstr>
      <vt:lpstr>'比较法-地下商业租金'!商业人流量</vt:lpstr>
      <vt:lpstr>'比较法-商业'!商业人流量</vt:lpstr>
      <vt:lpstr>商业人流量</vt:lpstr>
      <vt:lpstr>'比较法-地下商业租金'!商业业态</vt:lpstr>
      <vt:lpstr>'比较法-商业'!商业业态</vt:lpstr>
      <vt:lpstr>商业业态</vt:lpstr>
      <vt:lpstr>'比较法-地下商业租金'!商业用途</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'比较法-大宗交易'!写字楼等级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2022-01-06T09:09:07Z</dcterms:modified>
</cp:coreProperties>
</file>